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24226"/>
  <mc:AlternateContent xmlns:mc="http://schemas.openxmlformats.org/markup-compatibility/2006">
    <mc:Choice Requires="x15">
      <x15ac:absPath xmlns:x15ac="http://schemas.microsoft.com/office/spreadsheetml/2010/11/ac" url="https://usepa.sharepoint.com/sites/ocspp_Work/wpc/carbontet/Shared Documents/Ready for OSCP Transmission/"/>
    </mc:Choice>
  </mc:AlternateContent>
  <xr:revisionPtr revIDLastSave="3" documentId="8_{F445D0D8-3BFE-43BA-9023-407E28F3362A}" xr6:coauthVersionLast="45" xr6:coauthVersionMax="45" xr10:uidLastSave="{2F43DA0F-85D8-4248-9181-041DEC3C851F}"/>
  <bookViews>
    <workbookView xWindow="-108" yWindow="-108" windowWidth="16608" windowHeight="8832" xr2:uid="{D0F4D34B-98B9-4BE0-8C7D-46FE47356535}"/>
  </bookViews>
  <sheets>
    <sheet name="Cover Page" sheetId="47" r:id="rId1"/>
    <sheet name="Table of Contents" sheetId="48" r:id="rId2"/>
    <sheet name="Read Me" sheetId="45" r:id="rId3"/>
    <sheet name="Dashboard" sheetId="31" r:id="rId4"/>
    <sheet name="RR" sheetId="40" r:id="rId5"/>
    <sheet name="Health Data" sheetId="39" r:id="rId6"/>
    <sheet name="Dermal Crosswalk" sheetId="42" r:id="rId7"/>
    <sheet name="Dermal Exposure" sheetId="41" r:id="rId8"/>
    <sheet name="Inhalation Exposure" sheetId="37" r:id="rId9"/>
    <sheet name="List Values" sheetId="35" r:id="rId10"/>
    <sheet name="Exposure Factors" sheetId="38" r:id="rId11"/>
    <sheet name="Manufacture_raw data" sheetId="46" r:id="rId12"/>
  </sheet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definedName>
    <definedName name="_AtRisk_SimSetting_ConvergenceTolerance" hidden="1">0.01</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sList" hidden="1">15</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localSheetId="8" hidden="1">'Inhalation Exposure'!#REF!</definedName>
    <definedName name="_xlnm._FilterDatabase" localSheetId="9" hidden="1">'List Values'!$B$2:$B$19</definedName>
    <definedName name="_xlnm._FilterDatabase" localSheetId="11" hidden="1">'Manufacture_raw data'!$A$4:$AO$399</definedName>
    <definedName name="AT">'List Values'!$H$18</definedName>
    <definedName name="AT_ADC_high">'List Values'!$H$25</definedName>
    <definedName name="AT_ADC_high_12">'List Values'!$H$26</definedName>
    <definedName name="AT_ADC_high_8">'List Values'!$H$25</definedName>
    <definedName name="AT_ADC_mid">'List Values'!$H$23</definedName>
    <definedName name="AT_ADC_mid_12">'List Values'!$H$24</definedName>
    <definedName name="AT_ADC_mid_8">'List Values'!$H$23</definedName>
    <definedName name="AT_ADC_mid8">'List Values'!$H$23</definedName>
    <definedName name="AT_LADC">'List Values'!$H$27</definedName>
    <definedName name="ED_12">'List Values'!$H$17</definedName>
    <definedName name="ED_8">'List Values'!$H$16</definedName>
    <definedName name="EF">'List Values'!$H$19</definedName>
    <definedName name="LT">'List Values'!$H$22</definedName>
    <definedName name="Mol_Vol">'List Values'!$G$13</definedName>
    <definedName name="MolVol" localSheetId="11">'List Values'!$G$13</definedName>
    <definedName name="MolW" localSheetId="11">'List Values'!$G$12</definedName>
    <definedName name="MW">'List Values'!$G$12</definedName>
    <definedName name="Pal_Workbook_GUID" hidden="1">"QFFA8IQU6YFGRFCXE7L4LIWR"</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6</definedName>
    <definedName name="RiskMinimizeOnStart" hidden="1">FALSE</definedName>
    <definedName name="RiskMonitorConvergence" hidden="1">FALSE</definedName>
    <definedName name="RiskMultipleCPUSupportEnabled" hidden="1">TRUE</definedName>
    <definedName name="RiskNumIterations" hidden="1">1000000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TRUE</definedName>
    <definedName name="solver_adj" localSheetId="4" hidden="1">RR!#REF!</definedName>
    <definedName name="solver_cvg" localSheetId="4" hidden="1">0.0001</definedName>
    <definedName name="solver_drv" localSheetId="4" hidden="1">1</definedName>
    <definedName name="solver_eng" localSheetId="4" hidden="1">1</definedName>
    <definedName name="solver_est" localSheetId="4" hidden="1">1</definedName>
    <definedName name="solver_itr" localSheetId="4" hidden="1">2147483647</definedName>
    <definedName name="solver_mip" localSheetId="4" hidden="1">2147483647</definedName>
    <definedName name="solver_mni" localSheetId="4" hidden="1">30</definedName>
    <definedName name="solver_mrt" localSheetId="4" hidden="1">0.075</definedName>
    <definedName name="solver_msl" localSheetId="4" hidden="1">2</definedName>
    <definedName name="solver_neg" localSheetId="4" hidden="1">1</definedName>
    <definedName name="solver_nod" localSheetId="4" hidden="1">2147483647</definedName>
    <definedName name="solver_num" localSheetId="4" hidden="1">0</definedName>
    <definedName name="solver_nwt" localSheetId="4" hidden="1">1</definedName>
    <definedName name="solver_opt" localSheetId="4" hidden="1">RR!#REF!</definedName>
    <definedName name="solver_pre" localSheetId="4" hidden="1">0.000001</definedName>
    <definedName name="solver_rbv" localSheetId="4" hidden="1">1</definedName>
    <definedName name="solver_rlx" localSheetId="4" hidden="1">2</definedName>
    <definedName name="solver_rsd" localSheetId="4" hidden="1">0</definedName>
    <definedName name="solver_scl" localSheetId="4" hidden="1">1</definedName>
    <definedName name="solver_sho" localSheetId="4" hidden="1">2</definedName>
    <definedName name="solver_ssz" localSheetId="4" hidden="1">100</definedName>
    <definedName name="solver_tim" localSheetId="4" hidden="1">2147483647</definedName>
    <definedName name="solver_tol" localSheetId="4" hidden="1">0.01</definedName>
    <definedName name="solver_typ" localSheetId="4" hidden="1">3</definedName>
    <definedName name="solver_val" localSheetId="4" hidden="1">1</definedName>
    <definedName name="solver_ver" localSheetId="4" hidden="1">3</definedName>
    <definedName name="WY_high">'List Values'!$H$21</definedName>
    <definedName name="WY_mid">'List Values'!$H$20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Z32" i="40" l="1"/>
  <c r="Z31" i="40"/>
  <c r="X31" i="40"/>
  <c r="J32" i="40"/>
  <c r="J31" i="40"/>
  <c r="H31" i="40"/>
  <c r="N39" i="31"/>
  <c r="P39" i="31"/>
  <c r="D39" i="31" l="1"/>
  <c r="F39" i="31"/>
  <c r="F34" i="31"/>
  <c r="F33" i="31"/>
  <c r="F28" i="31"/>
  <c r="F27" i="31"/>
  <c r="F22" i="31"/>
  <c r="F21" i="31"/>
  <c r="I17" i="39"/>
  <c r="J9" i="39" l="1"/>
  <c r="N12" i="39" l="1"/>
  <c r="J30" i="40"/>
  <c r="J29" i="40"/>
  <c r="J28" i="40"/>
  <c r="J27" i="40"/>
  <c r="J26" i="40"/>
  <c r="J25" i="40"/>
  <c r="Z30" i="40"/>
  <c r="Z29" i="40"/>
  <c r="X29" i="40"/>
  <c r="H29" i="40"/>
  <c r="N33" i="31"/>
  <c r="D33" i="31"/>
  <c r="P34" i="31" l="1"/>
  <c r="P33" i="31"/>
  <c r="R32" i="31"/>
  <c r="I31" i="31"/>
  <c r="P28" i="31" l="1"/>
  <c r="P27" i="31"/>
  <c r="P22" i="31"/>
  <c r="P21" i="31"/>
  <c r="Z28" i="40" l="1"/>
  <c r="Z27" i="40"/>
  <c r="Z26" i="40"/>
  <c r="Z25" i="40"/>
  <c r="P11" i="37" l="1"/>
  <c r="P9" i="37"/>
  <c r="D5" i="31" l="1"/>
  <c r="I26" i="37" l="1"/>
  <c r="AG13" i="46"/>
  <c r="AH13" i="46"/>
  <c r="AG14" i="46"/>
  <c r="AH14" i="46"/>
  <c r="AG15" i="46"/>
  <c r="AH15" i="46"/>
  <c r="AG16" i="46"/>
  <c r="AH16" i="46"/>
  <c r="AG17" i="46"/>
  <c r="AH17" i="46"/>
  <c r="AG18" i="46"/>
  <c r="AH18" i="46"/>
  <c r="AG19" i="46"/>
  <c r="AH19" i="46"/>
  <c r="AG20" i="46"/>
  <c r="AH20" i="46"/>
  <c r="AG21" i="46"/>
  <c r="AH21" i="46"/>
  <c r="AG22" i="46"/>
  <c r="AH22" i="46"/>
  <c r="AG23" i="46"/>
  <c r="AH23" i="46"/>
  <c r="AG24" i="46"/>
  <c r="AH24" i="46"/>
  <c r="AG25" i="46"/>
  <c r="AH25" i="46"/>
  <c r="AG26" i="46"/>
  <c r="AH26" i="46"/>
  <c r="AG27" i="46"/>
  <c r="AH27" i="46"/>
  <c r="AG28" i="46"/>
  <c r="AH28" i="46"/>
  <c r="AG29" i="46"/>
  <c r="AH29" i="46"/>
  <c r="AG30" i="46"/>
  <c r="AH30" i="46"/>
  <c r="AG31" i="46"/>
  <c r="AH31" i="46"/>
  <c r="AG32" i="46"/>
  <c r="AH32" i="46"/>
  <c r="AG33" i="46"/>
  <c r="AH33" i="46"/>
  <c r="AG34" i="46"/>
  <c r="AH34" i="46"/>
  <c r="AG35" i="46"/>
  <c r="AH35" i="46"/>
  <c r="AG36" i="46"/>
  <c r="AH36" i="46"/>
  <c r="AG37" i="46"/>
  <c r="AH37" i="46"/>
  <c r="AG38" i="46"/>
  <c r="AH38" i="46"/>
  <c r="AG39" i="46"/>
  <c r="AH39" i="46"/>
  <c r="AG40" i="46"/>
  <c r="AH40" i="46"/>
  <c r="AG41" i="46"/>
  <c r="AH41" i="46"/>
  <c r="AG42" i="46"/>
  <c r="AH42" i="46"/>
  <c r="AG43" i="46"/>
  <c r="AH43" i="46"/>
  <c r="AG44" i="46"/>
  <c r="AH44" i="46"/>
  <c r="AG45" i="46"/>
  <c r="AH45" i="46"/>
  <c r="AG46" i="46"/>
  <c r="AH46" i="46"/>
  <c r="AG47" i="46"/>
  <c r="AH47" i="46"/>
  <c r="AG48" i="46"/>
  <c r="AH48" i="46"/>
  <c r="AG49" i="46"/>
  <c r="AH49" i="46"/>
  <c r="AG50" i="46"/>
  <c r="AH50" i="46"/>
  <c r="AG51" i="46"/>
  <c r="AH51" i="46"/>
  <c r="AG52" i="46"/>
  <c r="AH52" i="46"/>
  <c r="AG53" i="46"/>
  <c r="AH53" i="46"/>
  <c r="AG54" i="46"/>
  <c r="AH54" i="46"/>
  <c r="AG55" i="46"/>
  <c r="AH55" i="46"/>
  <c r="AG56" i="46"/>
  <c r="AH56" i="46"/>
  <c r="AG57" i="46"/>
  <c r="AH57" i="46"/>
  <c r="AG58" i="46"/>
  <c r="AH58" i="46"/>
  <c r="AG59" i="46"/>
  <c r="AH59" i="46"/>
  <c r="AG60" i="46"/>
  <c r="AH60" i="46"/>
  <c r="AG61" i="46"/>
  <c r="AH61" i="46"/>
  <c r="AG62" i="46"/>
  <c r="AH62" i="46"/>
  <c r="AG63" i="46"/>
  <c r="AH63" i="46"/>
  <c r="AG64" i="46"/>
  <c r="AH64" i="46"/>
  <c r="AG65" i="46"/>
  <c r="AH65" i="46"/>
  <c r="AG66" i="46"/>
  <c r="AH66" i="46"/>
  <c r="AG67" i="46"/>
  <c r="AH67" i="46"/>
  <c r="AG68" i="46"/>
  <c r="AH68" i="46"/>
  <c r="AG69" i="46"/>
  <c r="AH69" i="46"/>
  <c r="AG70" i="46"/>
  <c r="AH70" i="46"/>
  <c r="AG71" i="46"/>
  <c r="AH71" i="46"/>
  <c r="AG72" i="46"/>
  <c r="AH72" i="46"/>
  <c r="AG73" i="46"/>
  <c r="AH73" i="46"/>
  <c r="AG74" i="46"/>
  <c r="AH74" i="46"/>
  <c r="AG75" i="46"/>
  <c r="AH75" i="46"/>
  <c r="AG76" i="46"/>
  <c r="AH76" i="46"/>
  <c r="AG77" i="46"/>
  <c r="AH77" i="46"/>
  <c r="AG78" i="46"/>
  <c r="AH78" i="46"/>
  <c r="AG79" i="46"/>
  <c r="AH79" i="46"/>
  <c r="AG80" i="46"/>
  <c r="AH80" i="46"/>
  <c r="AG81" i="46"/>
  <c r="AH81" i="46"/>
  <c r="AG82" i="46"/>
  <c r="AH82" i="46"/>
  <c r="AG83" i="46"/>
  <c r="AH83" i="46"/>
  <c r="AG84" i="46"/>
  <c r="AH84" i="46"/>
  <c r="AG85" i="46"/>
  <c r="AH85" i="46"/>
  <c r="AG86" i="46"/>
  <c r="AH86" i="46"/>
  <c r="AG87" i="46"/>
  <c r="AH87" i="46"/>
  <c r="AG88" i="46"/>
  <c r="AH88" i="46"/>
  <c r="AG89" i="46"/>
  <c r="AH89" i="46"/>
  <c r="AG90" i="46"/>
  <c r="AH90" i="46"/>
  <c r="AG91" i="46"/>
  <c r="AH91" i="46"/>
  <c r="AG92" i="46"/>
  <c r="AH92" i="46"/>
  <c r="AG93" i="46"/>
  <c r="AH93" i="46"/>
  <c r="AG94" i="46"/>
  <c r="AH94" i="46"/>
  <c r="AG95" i="46"/>
  <c r="AH95" i="46"/>
  <c r="AG96" i="46"/>
  <c r="AH96" i="46"/>
  <c r="AG97" i="46"/>
  <c r="AH97" i="46"/>
  <c r="AG98" i="46"/>
  <c r="AH98" i="46"/>
  <c r="AG99" i="46"/>
  <c r="AH99" i="46"/>
  <c r="AG100" i="46"/>
  <c r="AH100" i="46"/>
  <c r="AG101" i="46"/>
  <c r="AH101" i="46"/>
  <c r="AG102" i="46"/>
  <c r="AH102" i="46"/>
  <c r="AG103" i="46"/>
  <c r="AH103" i="46"/>
  <c r="AG104" i="46"/>
  <c r="AH104" i="46"/>
  <c r="AG105" i="46"/>
  <c r="AH105" i="46"/>
  <c r="AG106" i="46"/>
  <c r="AH106" i="46"/>
  <c r="AG107" i="46"/>
  <c r="AH107" i="46"/>
  <c r="AG108" i="46"/>
  <c r="AH108" i="46"/>
  <c r="AG109" i="46"/>
  <c r="AH109" i="46"/>
  <c r="AG110" i="46"/>
  <c r="AH110" i="46"/>
  <c r="AG111" i="46"/>
  <c r="AH111" i="46"/>
  <c r="AG112" i="46"/>
  <c r="AH112" i="46"/>
  <c r="AG113" i="46"/>
  <c r="AH113" i="46"/>
  <c r="AG114" i="46"/>
  <c r="AH114" i="46"/>
  <c r="AG115" i="46"/>
  <c r="AH115" i="46"/>
  <c r="AG116" i="46"/>
  <c r="AH116" i="46"/>
  <c r="AG117" i="46"/>
  <c r="AH117" i="46"/>
  <c r="AG118" i="46"/>
  <c r="AH118" i="46"/>
  <c r="AG119" i="46"/>
  <c r="AH119" i="46"/>
  <c r="AG120" i="46"/>
  <c r="AH120" i="46"/>
  <c r="AG121" i="46"/>
  <c r="AH121" i="46"/>
  <c r="AG122" i="46"/>
  <c r="AH122" i="46"/>
  <c r="AG123" i="46"/>
  <c r="AH123" i="46"/>
  <c r="AG124" i="46"/>
  <c r="AH124" i="46"/>
  <c r="AG125" i="46"/>
  <c r="AH125" i="46"/>
  <c r="AG126" i="46"/>
  <c r="AH126" i="46"/>
  <c r="AG127" i="46"/>
  <c r="AH127" i="46"/>
  <c r="AG128" i="46"/>
  <c r="AH128" i="46"/>
  <c r="AG129" i="46"/>
  <c r="AH129" i="46"/>
  <c r="AG130" i="46"/>
  <c r="AH130" i="46"/>
  <c r="AG131" i="46"/>
  <c r="AH131" i="46"/>
  <c r="AG132" i="46"/>
  <c r="AH132" i="46"/>
  <c r="AG133" i="46"/>
  <c r="AH133" i="46"/>
  <c r="AG134" i="46"/>
  <c r="AH134" i="46"/>
  <c r="AG135" i="46"/>
  <c r="AH135" i="46"/>
  <c r="AG136" i="46"/>
  <c r="AH136" i="46"/>
  <c r="AG137" i="46"/>
  <c r="AH137" i="46"/>
  <c r="AG138" i="46"/>
  <c r="AH138" i="46"/>
  <c r="AG139" i="46"/>
  <c r="AH139" i="46"/>
  <c r="AG140" i="46"/>
  <c r="AH140" i="46"/>
  <c r="AG141" i="46"/>
  <c r="AH141" i="46"/>
  <c r="AG142" i="46"/>
  <c r="AH142" i="46"/>
  <c r="AG143" i="46"/>
  <c r="AH143" i="46"/>
  <c r="AG144" i="46"/>
  <c r="AH144" i="46"/>
  <c r="AG145" i="46"/>
  <c r="AH145" i="46"/>
  <c r="AG146" i="46"/>
  <c r="AH146" i="46"/>
  <c r="AG147" i="46"/>
  <c r="AH147" i="46"/>
  <c r="AG148" i="46"/>
  <c r="AH148" i="46"/>
  <c r="AG149" i="46"/>
  <c r="AH149" i="46"/>
  <c r="AG150" i="46"/>
  <c r="AH150" i="46"/>
  <c r="AG151" i="46"/>
  <c r="AH151" i="46"/>
  <c r="AG152" i="46"/>
  <c r="AH152" i="46"/>
  <c r="AG153" i="46"/>
  <c r="AH153" i="46"/>
  <c r="AG154" i="46"/>
  <c r="AH154" i="46"/>
  <c r="AG155" i="46"/>
  <c r="AH155" i="46"/>
  <c r="AG156" i="46"/>
  <c r="AH156" i="46"/>
  <c r="AG157" i="46"/>
  <c r="AH157" i="46"/>
  <c r="AG158" i="46"/>
  <c r="AH158" i="46"/>
  <c r="AG159" i="46"/>
  <c r="AH159" i="46"/>
  <c r="AG160" i="46"/>
  <c r="AH160" i="46"/>
  <c r="AG161" i="46"/>
  <c r="AH161" i="46"/>
  <c r="AG162" i="46"/>
  <c r="AH162" i="46"/>
  <c r="AG163" i="46"/>
  <c r="AH163" i="46"/>
  <c r="AG164" i="46"/>
  <c r="AH164" i="46"/>
  <c r="AG165" i="46"/>
  <c r="AH165" i="46"/>
  <c r="AG166" i="46"/>
  <c r="AH166" i="46"/>
  <c r="AG167" i="46"/>
  <c r="AH167" i="46"/>
  <c r="AG168" i="46"/>
  <c r="AH168" i="46"/>
  <c r="AG169" i="46"/>
  <c r="AH169" i="46"/>
  <c r="AG170" i="46"/>
  <c r="AH170" i="46"/>
  <c r="AG171" i="46"/>
  <c r="AH171" i="46"/>
  <c r="AG172" i="46"/>
  <c r="AH172" i="46"/>
  <c r="AG173" i="46"/>
  <c r="AH173" i="46"/>
  <c r="AG174" i="46"/>
  <c r="AH174" i="46"/>
  <c r="AG175" i="46"/>
  <c r="AH175" i="46"/>
  <c r="AG176" i="46"/>
  <c r="AH176" i="46"/>
  <c r="AG177" i="46"/>
  <c r="AH177" i="46"/>
  <c r="AG178" i="46"/>
  <c r="AH178" i="46"/>
  <c r="AG179" i="46"/>
  <c r="AH179" i="46"/>
  <c r="AG180" i="46"/>
  <c r="AH180" i="46"/>
  <c r="AG181" i="46"/>
  <c r="AH181" i="46"/>
  <c r="AG182" i="46"/>
  <c r="AH182" i="46"/>
  <c r="AG183" i="46"/>
  <c r="AH183" i="46"/>
  <c r="AG184" i="46"/>
  <c r="AH184" i="46"/>
  <c r="AG185" i="46"/>
  <c r="AH185" i="46"/>
  <c r="AG186" i="46"/>
  <c r="AH186" i="46"/>
  <c r="AG187" i="46"/>
  <c r="AH187" i="46"/>
  <c r="AG188" i="46"/>
  <c r="AH188" i="46"/>
  <c r="AG189" i="46"/>
  <c r="AH189" i="46"/>
  <c r="AG190" i="46"/>
  <c r="AH190" i="46"/>
  <c r="AG191" i="46"/>
  <c r="AH191" i="46"/>
  <c r="AG192" i="46"/>
  <c r="AH192" i="46"/>
  <c r="AG193" i="46"/>
  <c r="AH193" i="46"/>
  <c r="AG194" i="46"/>
  <c r="AH194" i="46"/>
  <c r="AG195" i="46"/>
  <c r="AH195" i="46"/>
  <c r="AG196" i="46"/>
  <c r="AH196" i="46"/>
  <c r="AG197" i="46"/>
  <c r="AH197" i="46"/>
  <c r="AG198" i="46"/>
  <c r="AH198" i="46"/>
  <c r="AG199" i="46"/>
  <c r="AH199" i="46"/>
  <c r="AG200" i="46"/>
  <c r="AH200" i="46"/>
  <c r="AG201" i="46"/>
  <c r="AH201" i="46"/>
  <c r="AG202" i="46"/>
  <c r="AH202" i="46"/>
  <c r="AG203" i="46"/>
  <c r="AH203" i="46"/>
  <c r="AG204" i="46"/>
  <c r="AH204" i="46"/>
  <c r="AG205" i="46"/>
  <c r="AH205" i="46"/>
  <c r="AG206" i="46"/>
  <c r="AH206" i="46"/>
  <c r="AG207" i="46"/>
  <c r="AH207" i="46"/>
  <c r="AG208" i="46"/>
  <c r="AH208" i="46"/>
  <c r="AG209" i="46"/>
  <c r="AH209" i="46"/>
  <c r="AG210" i="46"/>
  <c r="AH210" i="46"/>
  <c r="AG211" i="46"/>
  <c r="AH211" i="46"/>
  <c r="AG212" i="46"/>
  <c r="AH212" i="46"/>
  <c r="AG213" i="46"/>
  <c r="AH213" i="46"/>
  <c r="AG214" i="46"/>
  <c r="AH214" i="46"/>
  <c r="AG215" i="46"/>
  <c r="AH215" i="46"/>
  <c r="AG216" i="46"/>
  <c r="AH216" i="46"/>
  <c r="AG217" i="46"/>
  <c r="AH217" i="46"/>
  <c r="AG218" i="46"/>
  <c r="AH218" i="46"/>
  <c r="AG219" i="46"/>
  <c r="AH219" i="46"/>
  <c r="AG220" i="46"/>
  <c r="AH220" i="46"/>
  <c r="AG221" i="46"/>
  <c r="AH221" i="46"/>
  <c r="AG222" i="46"/>
  <c r="AH222" i="46"/>
  <c r="AG223" i="46"/>
  <c r="AH223" i="46"/>
  <c r="AG224" i="46"/>
  <c r="AH224" i="46"/>
  <c r="AG225" i="46"/>
  <c r="AH225" i="46"/>
  <c r="AG226" i="46"/>
  <c r="AH226" i="46"/>
  <c r="AG227" i="46"/>
  <c r="AH227" i="46"/>
  <c r="AG228" i="46"/>
  <c r="AH228" i="46"/>
  <c r="AG229" i="46"/>
  <c r="AH229" i="46"/>
  <c r="AG230" i="46"/>
  <c r="AH230" i="46"/>
  <c r="AG231" i="46"/>
  <c r="AH231" i="46"/>
  <c r="AG232" i="46"/>
  <c r="AH232" i="46"/>
  <c r="AG233" i="46"/>
  <c r="AH233" i="46"/>
  <c r="AG234" i="46"/>
  <c r="AH234" i="46"/>
  <c r="AG235" i="46"/>
  <c r="AH235" i="46"/>
  <c r="AG236" i="46"/>
  <c r="AH236" i="46"/>
  <c r="AG237" i="46"/>
  <c r="AH237" i="46"/>
  <c r="AG238" i="46"/>
  <c r="AH238" i="46"/>
  <c r="AG239" i="46"/>
  <c r="AH239" i="46"/>
  <c r="AG240" i="46"/>
  <c r="AH240" i="46"/>
  <c r="AG241" i="46"/>
  <c r="AH241" i="46"/>
  <c r="AG242" i="46"/>
  <c r="AH242" i="46"/>
  <c r="AG243" i="46"/>
  <c r="AH243" i="46"/>
  <c r="AG244" i="46"/>
  <c r="AH244" i="46"/>
  <c r="AG245" i="46"/>
  <c r="AH245" i="46"/>
  <c r="AG246" i="46"/>
  <c r="AH246" i="46"/>
  <c r="AG247" i="46"/>
  <c r="AH247" i="46"/>
  <c r="AG248" i="46"/>
  <c r="AH248" i="46"/>
  <c r="AG249" i="46"/>
  <c r="AH249" i="46"/>
  <c r="AG250" i="46"/>
  <c r="AH250" i="46"/>
  <c r="AG251" i="46"/>
  <c r="AH251" i="46"/>
  <c r="AG252" i="46"/>
  <c r="AH252" i="46"/>
  <c r="AG253" i="46"/>
  <c r="AH253" i="46"/>
  <c r="AG254" i="46"/>
  <c r="AH254" i="46"/>
  <c r="AG255" i="46"/>
  <c r="AH255" i="46"/>
  <c r="AG256" i="46"/>
  <c r="AH256" i="46"/>
  <c r="AG257" i="46"/>
  <c r="AH257" i="46"/>
  <c r="AG258" i="46"/>
  <c r="AH258" i="46"/>
  <c r="AG259" i="46"/>
  <c r="AH259" i="46"/>
  <c r="AG260" i="46"/>
  <c r="AH260" i="46"/>
  <c r="AG261" i="46"/>
  <c r="AH261" i="46"/>
  <c r="AG262" i="46"/>
  <c r="AH262" i="46"/>
  <c r="AG263" i="46"/>
  <c r="AH263" i="46"/>
  <c r="AG264" i="46"/>
  <c r="AH264" i="46"/>
  <c r="AG265" i="46"/>
  <c r="AH265" i="46"/>
  <c r="AG266" i="46"/>
  <c r="AH266" i="46"/>
  <c r="AG267" i="46"/>
  <c r="AH267" i="46"/>
  <c r="AG268" i="46"/>
  <c r="AH268" i="46"/>
  <c r="AG269" i="46"/>
  <c r="AH269" i="46"/>
  <c r="AG270" i="46"/>
  <c r="AH270" i="46"/>
  <c r="AG271" i="46"/>
  <c r="AH271" i="46"/>
  <c r="AG272" i="46"/>
  <c r="AH272" i="46"/>
  <c r="AG273" i="46"/>
  <c r="AH273" i="46"/>
  <c r="AG274" i="46"/>
  <c r="AH274" i="46"/>
  <c r="AG275" i="46"/>
  <c r="AH275" i="46"/>
  <c r="AG276" i="46"/>
  <c r="AH276" i="46"/>
  <c r="AG277" i="46"/>
  <c r="AH277" i="46"/>
  <c r="AG278" i="46"/>
  <c r="AH278" i="46"/>
  <c r="AG279" i="46"/>
  <c r="AH279" i="46"/>
  <c r="AG280" i="46"/>
  <c r="AH280" i="46"/>
  <c r="AG281" i="46"/>
  <c r="AH281" i="46"/>
  <c r="AG282" i="46"/>
  <c r="AH282" i="46"/>
  <c r="AG283" i="46"/>
  <c r="AH283" i="46"/>
  <c r="AG284" i="46"/>
  <c r="AH284" i="46"/>
  <c r="AG285" i="46"/>
  <c r="AH285" i="46"/>
  <c r="AG286" i="46"/>
  <c r="AH286" i="46"/>
  <c r="AG287" i="46"/>
  <c r="AH287" i="46"/>
  <c r="AG288" i="46"/>
  <c r="AH288" i="46"/>
  <c r="AG289" i="46"/>
  <c r="AH289" i="46"/>
  <c r="AG290" i="46"/>
  <c r="AH290" i="46"/>
  <c r="AG291" i="46"/>
  <c r="AH291" i="46"/>
  <c r="AG292" i="46"/>
  <c r="AH292" i="46"/>
  <c r="AG293" i="46"/>
  <c r="AH293" i="46"/>
  <c r="AG294" i="46"/>
  <c r="AH294" i="46"/>
  <c r="AG295" i="46"/>
  <c r="AH295" i="46"/>
  <c r="AG296" i="46"/>
  <c r="AH296" i="46"/>
  <c r="AG297" i="46"/>
  <c r="AH297" i="46"/>
  <c r="AG298" i="46"/>
  <c r="AH298" i="46"/>
  <c r="AG299" i="46"/>
  <c r="AH299" i="46"/>
  <c r="AG300" i="46"/>
  <c r="AH300" i="46"/>
  <c r="AG301" i="46"/>
  <c r="AH301" i="46"/>
  <c r="AG302" i="46"/>
  <c r="AH302" i="46"/>
  <c r="AG303" i="46"/>
  <c r="AH303" i="46"/>
  <c r="AG304" i="46"/>
  <c r="AH304" i="46"/>
  <c r="AG305" i="46"/>
  <c r="AH305" i="46"/>
  <c r="AG306" i="46"/>
  <c r="AH306" i="46"/>
  <c r="AG307" i="46"/>
  <c r="AH307" i="46"/>
  <c r="AG308" i="46"/>
  <c r="AH308" i="46"/>
  <c r="AG309" i="46"/>
  <c r="AH309" i="46"/>
  <c r="AG310" i="46"/>
  <c r="AH310" i="46"/>
  <c r="AG311" i="46"/>
  <c r="AH311" i="46"/>
  <c r="AG312" i="46"/>
  <c r="AH312" i="46"/>
  <c r="AG313" i="46"/>
  <c r="AH313" i="46"/>
  <c r="AG314" i="46"/>
  <c r="AH314" i="46"/>
  <c r="AG315" i="46"/>
  <c r="AH315" i="46"/>
  <c r="AG316" i="46"/>
  <c r="AH316" i="46"/>
  <c r="AG317" i="46"/>
  <c r="AH317" i="46"/>
  <c r="AG318" i="46"/>
  <c r="AH318" i="46"/>
  <c r="AG319" i="46"/>
  <c r="AH319" i="46"/>
  <c r="AG320" i="46"/>
  <c r="AH320" i="46"/>
  <c r="AG321" i="46"/>
  <c r="AH321" i="46"/>
  <c r="AG322" i="46"/>
  <c r="AH322" i="46"/>
  <c r="AG323" i="46"/>
  <c r="AH323" i="46"/>
  <c r="AG324" i="46"/>
  <c r="AH324" i="46"/>
  <c r="AG325" i="46"/>
  <c r="AH325" i="46"/>
  <c r="AG326" i="46"/>
  <c r="AH326" i="46"/>
  <c r="AG327" i="46"/>
  <c r="AH327" i="46"/>
  <c r="AG328" i="46"/>
  <c r="AH328" i="46"/>
  <c r="AG329" i="46"/>
  <c r="AH329" i="46"/>
  <c r="AG330" i="46"/>
  <c r="AH330" i="46"/>
  <c r="AG331" i="46"/>
  <c r="AH331" i="46"/>
  <c r="AG332" i="46"/>
  <c r="AH332" i="46"/>
  <c r="AG333" i="46"/>
  <c r="AH333" i="46"/>
  <c r="AG334" i="46"/>
  <c r="AH334" i="46"/>
  <c r="AG335" i="46"/>
  <c r="AH335" i="46"/>
  <c r="AG336" i="46"/>
  <c r="AH336" i="46"/>
  <c r="AG337" i="46"/>
  <c r="AH337" i="46"/>
  <c r="AG338" i="46"/>
  <c r="AH338" i="46"/>
  <c r="AG339" i="46"/>
  <c r="AH339" i="46"/>
  <c r="AG340" i="46"/>
  <c r="AH340" i="46"/>
  <c r="AG341" i="46"/>
  <c r="AH341" i="46"/>
  <c r="AG342" i="46"/>
  <c r="AH342" i="46"/>
  <c r="AG343" i="46"/>
  <c r="AH343" i="46"/>
  <c r="AG344" i="46"/>
  <c r="AH344" i="46"/>
  <c r="AG345" i="46"/>
  <c r="AH345" i="46"/>
  <c r="AG346" i="46"/>
  <c r="AH346" i="46"/>
  <c r="AG347" i="46"/>
  <c r="AH347" i="46"/>
  <c r="AG348" i="46"/>
  <c r="AH348" i="46"/>
  <c r="AG349" i="46"/>
  <c r="AH349" i="46"/>
  <c r="AG350" i="46"/>
  <c r="AH350" i="46"/>
  <c r="AG351" i="46"/>
  <c r="AH351" i="46"/>
  <c r="AG352" i="46"/>
  <c r="AH352" i="46"/>
  <c r="AG353" i="46"/>
  <c r="AH353" i="46"/>
  <c r="AG354" i="46"/>
  <c r="AH354" i="46"/>
  <c r="AG355" i="46"/>
  <c r="AH355" i="46"/>
  <c r="AG356" i="46"/>
  <c r="AH356" i="46"/>
  <c r="AG357" i="46"/>
  <c r="AH357" i="46"/>
  <c r="AG358" i="46"/>
  <c r="AH358" i="46"/>
  <c r="AG359" i="46"/>
  <c r="AH359" i="46"/>
  <c r="AG360" i="46"/>
  <c r="AH360" i="46"/>
  <c r="AG361" i="46"/>
  <c r="AH361" i="46"/>
  <c r="AG362" i="46"/>
  <c r="AH362" i="46"/>
  <c r="AG363" i="46"/>
  <c r="AH363" i="46"/>
  <c r="AG364" i="46"/>
  <c r="AH364" i="46"/>
  <c r="AG365" i="46"/>
  <c r="AH365" i="46"/>
  <c r="AG366" i="46"/>
  <c r="AH366" i="46"/>
  <c r="AG367" i="46"/>
  <c r="AH367" i="46"/>
  <c r="AG368" i="46"/>
  <c r="AH368" i="46"/>
  <c r="AG369" i="46"/>
  <c r="AH369" i="46"/>
  <c r="AG370" i="46"/>
  <c r="AH370" i="46"/>
  <c r="AG371" i="46"/>
  <c r="AH371" i="46"/>
  <c r="AG372" i="46"/>
  <c r="AH372" i="46"/>
  <c r="AG373" i="46"/>
  <c r="AH373" i="46"/>
  <c r="AG374" i="46"/>
  <c r="AH374" i="46"/>
  <c r="AG375" i="46"/>
  <c r="AH375" i="46"/>
  <c r="AG376" i="46"/>
  <c r="AH376" i="46"/>
  <c r="AG377" i="46"/>
  <c r="AH377" i="46"/>
  <c r="AG378" i="46"/>
  <c r="AH378" i="46"/>
  <c r="AG379" i="46"/>
  <c r="AH379" i="46"/>
  <c r="AG380" i="46"/>
  <c r="AH380" i="46"/>
  <c r="AG381" i="46"/>
  <c r="AH381" i="46"/>
  <c r="AG382" i="46"/>
  <c r="AH382" i="46"/>
  <c r="AG383" i="46"/>
  <c r="AH383" i="46"/>
  <c r="AG384" i="46"/>
  <c r="AH384" i="46"/>
  <c r="AH12" i="46"/>
  <c r="AG12" i="46"/>
  <c r="AI15" i="46"/>
  <c r="AI16" i="46"/>
  <c r="AI17" i="46"/>
  <c r="AI18" i="46"/>
  <c r="AI19" i="46"/>
  <c r="AI6" i="46"/>
  <c r="AI7" i="46"/>
  <c r="AI8" i="46"/>
  <c r="AI9" i="46"/>
  <c r="AI10" i="46"/>
  <c r="AI11" i="46"/>
  <c r="AD6" i="46" l="1"/>
  <c r="AD7" i="46"/>
  <c r="AD9" i="46"/>
  <c r="AD10" i="46"/>
  <c r="AD11" i="46"/>
  <c r="K12" i="46"/>
  <c r="AD12" i="46"/>
  <c r="K13" i="46"/>
  <c r="AD13" i="46"/>
  <c r="K14" i="46"/>
  <c r="AD14" i="46"/>
  <c r="X15" i="46"/>
  <c r="AE15" i="46" s="1"/>
  <c r="Y15" i="46"/>
  <c r="AF15" i="46" s="1"/>
  <c r="AD15" i="46"/>
  <c r="AL15" i="46"/>
  <c r="AM15" i="46" s="1"/>
  <c r="AN15" i="46"/>
  <c r="AO15" i="46" s="1"/>
  <c r="X16" i="46"/>
  <c r="AE16" i="46" s="1"/>
  <c r="AD16" i="46"/>
  <c r="AL16" i="46"/>
  <c r="AM16" i="46" s="1"/>
  <c r="AN16" i="46"/>
  <c r="AO16" i="46" s="1"/>
  <c r="X17" i="46"/>
  <c r="AE17" i="46" s="1"/>
  <c r="AD17" i="46"/>
  <c r="AL17" i="46"/>
  <c r="AM17" i="46" s="1"/>
  <c r="AN17" i="46"/>
  <c r="AO17" i="46" s="1"/>
  <c r="X18" i="46"/>
  <c r="AE18" i="46" s="1"/>
  <c r="AD18" i="46"/>
  <c r="AL18" i="46"/>
  <c r="AM18" i="46" s="1"/>
  <c r="AN18" i="46"/>
  <c r="AO18" i="46" s="1"/>
  <c r="X19" i="46"/>
  <c r="AE19" i="46" s="1"/>
  <c r="AD19" i="46"/>
  <c r="AL19" i="46"/>
  <c r="AM19" i="46" s="1"/>
  <c r="AN19" i="46"/>
  <c r="AO19" i="46" s="1"/>
  <c r="K20" i="46"/>
  <c r="K21" i="46"/>
  <c r="K22" i="46"/>
  <c r="AD22" i="46"/>
  <c r="K23" i="46"/>
  <c r="AD23" i="46"/>
  <c r="K24" i="46"/>
  <c r="AD24" i="46"/>
  <c r="K25" i="46"/>
  <c r="AD25" i="46"/>
  <c r="K26" i="46"/>
  <c r="AD26" i="46"/>
  <c r="K27" i="46"/>
  <c r="AD27" i="46"/>
  <c r="K28" i="46"/>
  <c r="AD28" i="46"/>
  <c r="K29" i="46"/>
  <c r="AD29" i="46"/>
  <c r="K30" i="46"/>
  <c r="AD30" i="46"/>
  <c r="K31" i="46"/>
  <c r="AD31" i="46"/>
  <c r="K32" i="46"/>
  <c r="AD32" i="46"/>
  <c r="K33" i="46"/>
  <c r="AD33" i="46"/>
  <c r="K34" i="46"/>
  <c r="AD34" i="46"/>
  <c r="K35" i="46"/>
  <c r="AD35" i="46"/>
  <c r="K36" i="46"/>
  <c r="AD36" i="46"/>
  <c r="K37" i="46"/>
  <c r="AD37" i="46"/>
  <c r="K38" i="46"/>
  <c r="AD38" i="46"/>
  <c r="K39" i="46"/>
  <c r="AD39" i="46"/>
  <c r="K40" i="46"/>
  <c r="AD40" i="46"/>
  <c r="K41" i="46"/>
  <c r="AD41" i="46"/>
  <c r="K42" i="46"/>
  <c r="AD42" i="46"/>
  <c r="K43" i="46"/>
  <c r="AD43" i="46"/>
  <c r="K44" i="46"/>
  <c r="AD44" i="46"/>
  <c r="K45" i="46"/>
  <c r="AD45" i="46"/>
  <c r="K46" i="46"/>
  <c r="AD46" i="46"/>
  <c r="K47" i="46"/>
  <c r="AD47" i="46"/>
  <c r="K48" i="46"/>
  <c r="AD48" i="46"/>
  <c r="K49" i="46"/>
  <c r="AD49" i="46"/>
  <c r="K50" i="46"/>
  <c r="AD50" i="46"/>
  <c r="K51" i="46"/>
  <c r="AD51" i="46"/>
  <c r="K52" i="46"/>
  <c r="AD52" i="46"/>
  <c r="K53" i="46"/>
  <c r="AD53" i="46"/>
  <c r="K54" i="46"/>
  <c r="AD54" i="46"/>
  <c r="K55" i="46"/>
  <c r="AD55" i="46"/>
  <c r="K56" i="46"/>
  <c r="AD56" i="46"/>
  <c r="K57" i="46"/>
  <c r="AD57" i="46"/>
  <c r="K58" i="46"/>
  <c r="AD58" i="46"/>
  <c r="K59" i="46"/>
  <c r="AD59" i="46"/>
  <c r="K60" i="46"/>
  <c r="AD60" i="46"/>
  <c r="K61" i="46"/>
  <c r="AD61" i="46"/>
  <c r="K62" i="46"/>
  <c r="AD62" i="46"/>
  <c r="K63" i="46"/>
  <c r="AD63" i="46"/>
  <c r="K64" i="46"/>
  <c r="AD64" i="46"/>
  <c r="K65" i="46"/>
  <c r="AD65" i="46"/>
  <c r="K66" i="46"/>
  <c r="AD66" i="46"/>
  <c r="K67" i="46"/>
  <c r="AD67" i="46"/>
  <c r="K68" i="46"/>
  <c r="AD68" i="46"/>
  <c r="K69" i="46"/>
  <c r="AD69" i="46"/>
  <c r="K70" i="46"/>
  <c r="AD70" i="46"/>
  <c r="K71" i="46"/>
  <c r="AD71" i="46"/>
  <c r="K72" i="46"/>
  <c r="AD72" i="46"/>
  <c r="K73" i="46"/>
  <c r="AD73" i="46"/>
  <c r="K74" i="46"/>
  <c r="AD74" i="46"/>
  <c r="K75" i="46"/>
  <c r="AD75" i="46"/>
  <c r="K76" i="46"/>
  <c r="AD76" i="46"/>
  <c r="K77" i="46"/>
  <c r="AD77" i="46"/>
  <c r="K78" i="46"/>
  <c r="AD78" i="46"/>
  <c r="K79" i="46"/>
  <c r="AD79" i="46"/>
  <c r="K80" i="46"/>
  <c r="AD80" i="46"/>
  <c r="K81" i="46"/>
  <c r="AD81" i="46"/>
  <c r="K82" i="46"/>
  <c r="AD82" i="46"/>
  <c r="K83" i="46"/>
  <c r="AD83" i="46"/>
  <c r="K84" i="46"/>
  <c r="AD84" i="46"/>
  <c r="K85" i="46"/>
  <c r="AD85" i="46"/>
  <c r="K86" i="46"/>
  <c r="AD86" i="46"/>
  <c r="K87" i="46"/>
  <c r="AD87" i="46"/>
  <c r="K88" i="46"/>
  <c r="AD88" i="46"/>
  <c r="K89" i="46"/>
  <c r="AD89" i="46"/>
  <c r="K90" i="46"/>
  <c r="AD90" i="46"/>
  <c r="K91" i="46"/>
  <c r="AD91" i="46"/>
  <c r="K92" i="46"/>
  <c r="AD92" i="46"/>
  <c r="K93" i="46"/>
  <c r="AD93" i="46"/>
  <c r="K94" i="46"/>
  <c r="AD94" i="46"/>
  <c r="K95" i="46"/>
  <c r="AD95" i="46"/>
  <c r="K96" i="46"/>
  <c r="AD96" i="46"/>
  <c r="K97" i="46"/>
  <c r="AD97" i="46"/>
  <c r="K98" i="46"/>
  <c r="AD98" i="46"/>
  <c r="K99" i="46"/>
  <c r="AD99" i="46"/>
  <c r="K100" i="46"/>
  <c r="AD100" i="46"/>
  <c r="K101" i="46"/>
  <c r="AD101" i="46"/>
  <c r="K102" i="46"/>
  <c r="AD102" i="46"/>
  <c r="K103" i="46"/>
  <c r="AD103" i="46"/>
  <c r="K104" i="46"/>
  <c r="AD104" i="46"/>
  <c r="K105" i="46"/>
  <c r="AD105" i="46"/>
  <c r="K106" i="46"/>
  <c r="AD106" i="46"/>
  <c r="K107" i="46"/>
  <c r="AD107" i="46"/>
  <c r="K108" i="46"/>
  <c r="AD108" i="46"/>
  <c r="K109" i="46"/>
  <c r="AD109" i="46"/>
  <c r="K110" i="46"/>
  <c r="AD110" i="46"/>
  <c r="K111" i="46"/>
  <c r="AD111" i="46"/>
  <c r="K112" i="46"/>
  <c r="AD112" i="46"/>
  <c r="K113" i="46"/>
  <c r="AD113" i="46"/>
  <c r="K114" i="46"/>
  <c r="AD114" i="46"/>
  <c r="K115" i="46"/>
  <c r="AD115" i="46"/>
  <c r="K116" i="46"/>
  <c r="AD116" i="46"/>
  <c r="K117" i="46"/>
  <c r="AD117" i="46"/>
  <c r="K118" i="46"/>
  <c r="AD118" i="46"/>
  <c r="K119" i="46"/>
  <c r="AD119" i="46"/>
  <c r="K120" i="46"/>
  <c r="AD120" i="46"/>
  <c r="K121" i="46"/>
  <c r="AD121" i="46"/>
  <c r="K122" i="46"/>
  <c r="AD122" i="46"/>
  <c r="K123" i="46"/>
  <c r="AD123" i="46"/>
  <c r="K124" i="46"/>
  <c r="AD124" i="46"/>
  <c r="K125" i="46"/>
  <c r="AD125" i="46"/>
  <c r="K126" i="46"/>
  <c r="AD126" i="46"/>
  <c r="K127" i="46"/>
  <c r="AD127" i="46"/>
  <c r="K128" i="46"/>
  <c r="AD128" i="46"/>
  <c r="K129" i="46"/>
  <c r="AD129" i="46"/>
  <c r="K130" i="46"/>
  <c r="AD130" i="46"/>
  <c r="K131" i="46"/>
  <c r="AD131" i="46"/>
  <c r="K132" i="46"/>
  <c r="AD132" i="46"/>
  <c r="K133" i="46"/>
  <c r="AD133" i="46"/>
  <c r="K134" i="46"/>
  <c r="AD134" i="46"/>
  <c r="K135" i="46"/>
  <c r="AD135" i="46"/>
  <c r="K136" i="46"/>
  <c r="AD136" i="46"/>
  <c r="K137" i="46"/>
  <c r="AD137" i="46"/>
  <c r="K138" i="46"/>
  <c r="AD138" i="46"/>
  <c r="K139" i="46"/>
  <c r="AD139" i="46"/>
  <c r="K140" i="46"/>
  <c r="AD140" i="46"/>
  <c r="K141" i="46"/>
  <c r="AD141" i="46"/>
  <c r="K142" i="46"/>
  <c r="AD142" i="46"/>
  <c r="K143" i="46"/>
  <c r="AD143" i="46"/>
  <c r="K144" i="46"/>
  <c r="AD144" i="46"/>
  <c r="K145" i="46"/>
  <c r="AD145" i="46"/>
  <c r="K146" i="46"/>
  <c r="AD146" i="46"/>
  <c r="K147" i="46"/>
  <c r="AD147" i="46"/>
  <c r="K148" i="46"/>
  <c r="AD148" i="46"/>
  <c r="K149" i="46"/>
  <c r="AD149" i="46"/>
  <c r="K150" i="46"/>
  <c r="AD150" i="46"/>
  <c r="K151" i="46"/>
  <c r="AD151" i="46"/>
  <c r="K152" i="46"/>
  <c r="AD152" i="46"/>
  <c r="K153" i="46"/>
  <c r="AD153" i="46"/>
  <c r="K154" i="46"/>
  <c r="AD154" i="46"/>
  <c r="K155" i="46"/>
  <c r="AD155" i="46"/>
  <c r="K156" i="46"/>
  <c r="AD156" i="46"/>
  <c r="K157" i="46"/>
  <c r="AD157" i="46"/>
  <c r="K158" i="46"/>
  <c r="AD158" i="46"/>
  <c r="K159" i="46"/>
  <c r="AD159" i="46"/>
  <c r="K160" i="46"/>
  <c r="AD160" i="46"/>
  <c r="K161" i="46"/>
  <c r="AD161" i="46"/>
  <c r="K162" i="46"/>
  <c r="AD162" i="46"/>
  <c r="K163" i="46"/>
  <c r="AD163" i="46"/>
  <c r="K164" i="46"/>
  <c r="AD164" i="46"/>
  <c r="K165" i="46"/>
  <c r="AD165" i="46"/>
  <c r="K166" i="46"/>
  <c r="AD166" i="46"/>
  <c r="K167" i="46"/>
  <c r="AD167" i="46"/>
  <c r="K168" i="46"/>
  <c r="AD168" i="46"/>
  <c r="K169" i="46"/>
  <c r="AD169" i="46"/>
  <c r="K170" i="46"/>
  <c r="AD170" i="46"/>
  <c r="K171" i="46"/>
  <c r="AD171" i="46"/>
  <c r="K172" i="46"/>
  <c r="AD172" i="46"/>
  <c r="K173" i="46"/>
  <c r="AD173" i="46"/>
  <c r="K174" i="46"/>
  <c r="AD174" i="46"/>
  <c r="K175" i="46"/>
  <c r="AD175" i="46"/>
  <c r="K176" i="46"/>
  <c r="AD176" i="46"/>
  <c r="K177" i="46"/>
  <c r="AD177" i="46"/>
  <c r="K178" i="46"/>
  <c r="AD178" i="46"/>
  <c r="K179" i="46"/>
  <c r="AD179" i="46"/>
  <c r="K180" i="46"/>
  <c r="AD180" i="46"/>
  <c r="K181" i="46"/>
  <c r="AD181" i="46"/>
  <c r="K182" i="46"/>
  <c r="AD182" i="46"/>
  <c r="K183" i="46"/>
  <c r="AD183" i="46"/>
  <c r="K184" i="46"/>
  <c r="AD184" i="46"/>
  <c r="K185" i="46"/>
  <c r="AD185" i="46"/>
  <c r="K186" i="46"/>
  <c r="AD186" i="46"/>
  <c r="K187" i="46"/>
  <c r="AD187" i="46"/>
  <c r="K188" i="46"/>
  <c r="AD188" i="46"/>
  <c r="K189" i="46"/>
  <c r="AD189" i="46"/>
  <c r="K190" i="46"/>
  <c r="AD190" i="46"/>
  <c r="K191" i="46"/>
  <c r="AD191" i="46"/>
  <c r="K192" i="46"/>
  <c r="AD192" i="46"/>
  <c r="K193" i="46"/>
  <c r="AD193" i="46"/>
  <c r="K194" i="46"/>
  <c r="AD194" i="46"/>
  <c r="K195" i="46"/>
  <c r="AD195" i="46"/>
  <c r="K196" i="46"/>
  <c r="AD196" i="46"/>
  <c r="K197" i="46"/>
  <c r="AD197" i="46"/>
  <c r="K198" i="46"/>
  <c r="AD198" i="46"/>
  <c r="K199" i="46"/>
  <c r="AD199" i="46"/>
  <c r="K200" i="46"/>
  <c r="AD200" i="46"/>
  <c r="K201" i="46"/>
  <c r="AD201" i="46"/>
  <c r="K202" i="46"/>
  <c r="AD202" i="46"/>
  <c r="K203" i="46"/>
  <c r="AD203" i="46"/>
  <c r="K204" i="46"/>
  <c r="AD204" i="46"/>
  <c r="K205" i="46"/>
  <c r="AD205" i="46"/>
  <c r="K206" i="46"/>
  <c r="AD206" i="46"/>
  <c r="K207" i="46"/>
  <c r="AD207" i="46"/>
  <c r="K208" i="46"/>
  <c r="AD208" i="46"/>
  <c r="K209" i="46"/>
  <c r="AD209" i="46"/>
  <c r="K210" i="46"/>
  <c r="AD210" i="46"/>
  <c r="K211" i="46"/>
  <c r="AD211" i="46"/>
  <c r="K212" i="46"/>
  <c r="AD212" i="46"/>
  <c r="K213" i="46"/>
  <c r="AD213" i="46"/>
  <c r="K214" i="46"/>
  <c r="AD214" i="46"/>
  <c r="K215" i="46"/>
  <c r="AD215" i="46"/>
  <c r="K216" i="46"/>
  <c r="AD216" i="46"/>
  <c r="K217" i="46"/>
  <c r="AD217" i="46"/>
  <c r="K218" i="46"/>
  <c r="AD218" i="46"/>
  <c r="K219" i="46"/>
  <c r="AD219" i="46"/>
  <c r="K220" i="46"/>
  <c r="AD220" i="46"/>
  <c r="K221" i="46"/>
  <c r="AD221" i="46"/>
  <c r="K222" i="46"/>
  <c r="AD222" i="46"/>
  <c r="K223" i="46"/>
  <c r="AD223" i="46"/>
  <c r="K224" i="46"/>
  <c r="AD224" i="46"/>
  <c r="K225" i="46"/>
  <c r="AD225" i="46"/>
  <c r="K226" i="46"/>
  <c r="AD226" i="46"/>
  <c r="K227" i="46"/>
  <c r="AD227" i="46"/>
  <c r="K228" i="46"/>
  <c r="AD228" i="46"/>
  <c r="K229" i="46"/>
  <c r="AD229" i="46"/>
  <c r="K230" i="46"/>
  <c r="AD230" i="46"/>
  <c r="K231" i="46"/>
  <c r="AD231" i="46"/>
  <c r="K232" i="46"/>
  <c r="AD232" i="46"/>
  <c r="K233" i="46"/>
  <c r="AD233" i="46"/>
  <c r="K234" i="46"/>
  <c r="AD234" i="46"/>
  <c r="K235" i="46"/>
  <c r="AD235" i="46"/>
  <c r="K236" i="46"/>
  <c r="AD236" i="46"/>
  <c r="K237" i="46"/>
  <c r="AD237" i="46"/>
  <c r="K238" i="46"/>
  <c r="AD238" i="46"/>
  <c r="K239" i="46"/>
  <c r="AD239" i="46"/>
  <c r="K240" i="46"/>
  <c r="AD240" i="46"/>
  <c r="K241" i="46"/>
  <c r="AD241" i="46"/>
  <c r="K242" i="46"/>
  <c r="AD242" i="46"/>
  <c r="K243" i="46"/>
  <c r="AD243" i="46"/>
  <c r="K244" i="46"/>
  <c r="AD244" i="46"/>
  <c r="K245" i="46"/>
  <c r="AD245" i="46"/>
  <c r="K246" i="46"/>
  <c r="AD246" i="46"/>
  <c r="K247" i="46"/>
  <c r="AD247" i="46"/>
  <c r="K248" i="46"/>
  <c r="AD248" i="46"/>
  <c r="K249" i="46"/>
  <c r="AD249" i="46"/>
  <c r="K250" i="46"/>
  <c r="AD250" i="46"/>
  <c r="K251" i="46"/>
  <c r="AD251" i="46"/>
  <c r="K252" i="46"/>
  <c r="AD252" i="46"/>
  <c r="K253" i="46"/>
  <c r="AD253" i="46"/>
  <c r="K254" i="46"/>
  <c r="AD254" i="46"/>
  <c r="K255" i="46"/>
  <c r="AD255" i="46"/>
  <c r="K256" i="46"/>
  <c r="AD256" i="46"/>
  <c r="K257" i="46"/>
  <c r="AD257" i="46"/>
  <c r="K258" i="46"/>
  <c r="AD258" i="46"/>
  <c r="K259" i="46"/>
  <c r="AD259" i="46"/>
  <c r="K260" i="46"/>
  <c r="AD260" i="46"/>
  <c r="K261" i="46"/>
  <c r="AD261" i="46"/>
  <c r="K262" i="46"/>
  <c r="AD262" i="46"/>
  <c r="K263" i="46"/>
  <c r="AD263" i="46"/>
  <c r="K264" i="46"/>
  <c r="AD264" i="46"/>
  <c r="K265" i="46"/>
  <c r="AD265" i="46"/>
  <c r="K266" i="46"/>
  <c r="AD266" i="46"/>
  <c r="K267" i="46"/>
  <c r="AD267" i="46"/>
  <c r="K268" i="46"/>
  <c r="AD268" i="46"/>
  <c r="K269" i="46"/>
  <c r="AD269" i="46"/>
  <c r="K270" i="46"/>
  <c r="AD270" i="46"/>
  <c r="K271" i="46"/>
  <c r="AD271" i="46"/>
  <c r="K272" i="46"/>
  <c r="AD272" i="46"/>
  <c r="K273" i="46"/>
  <c r="AD273" i="46"/>
  <c r="K274" i="46"/>
  <c r="AD274" i="46"/>
  <c r="K275" i="46"/>
  <c r="AD275" i="46"/>
  <c r="K276" i="46"/>
  <c r="AD276" i="46"/>
  <c r="K277" i="46"/>
  <c r="AD277" i="46"/>
  <c r="K278" i="46"/>
  <c r="AD278" i="46"/>
  <c r="K279" i="46"/>
  <c r="AD279" i="46"/>
  <c r="K280" i="46"/>
  <c r="AD280" i="46"/>
  <c r="K281" i="46"/>
  <c r="AD281" i="46"/>
  <c r="K282" i="46"/>
  <c r="AD282" i="46"/>
  <c r="K283" i="46"/>
  <c r="AD283" i="46"/>
  <c r="K284" i="46"/>
  <c r="AD284" i="46"/>
  <c r="K285" i="46"/>
  <c r="AD285" i="46"/>
  <c r="K286" i="46"/>
  <c r="AD286" i="46"/>
  <c r="K287" i="46"/>
  <c r="AD287" i="46"/>
  <c r="K288" i="46"/>
  <c r="AD288" i="46"/>
  <c r="K289" i="46"/>
  <c r="AD289" i="46"/>
  <c r="K290" i="46"/>
  <c r="AD290" i="46"/>
  <c r="K291" i="46"/>
  <c r="AD291" i="46"/>
  <c r="K292" i="46"/>
  <c r="AD292" i="46"/>
  <c r="K293" i="46"/>
  <c r="AD293" i="46"/>
  <c r="K294" i="46"/>
  <c r="AD294" i="46"/>
  <c r="K295" i="46"/>
  <c r="AD295" i="46"/>
  <c r="K296" i="46"/>
  <c r="AD296" i="46"/>
  <c r="K297" i="46"/>
  <c r="AD297" i="46"/>
  <c r="K298" i="46"/>
  <c r="AD298" i="46"/>
  <c r="K299" i="46"/>
  <c r="AD299" i="46"/>
  <c r="K300" i="46"/>
  <c r="AD300" i="46"/>
  <c r="K301" i="46"/>
  <c r="AD301" i="46"/>
  <c r="K302" i="46"/>
  <c r="AD302" i="46"/>
  <c r="K303" i="46"/>
  <c r="AD303" i="46"/>
  <c r="K304" i="46"/>
  <c r="AD304" i="46"/>
  <c r="K305" i="46"/>
  <c r="AD305" i="46"/>
  <c r="K306" i="46"/>
  <c r="AD306" i="46"/>
  <c r="K307" i="46"/>
  <c r="AD307" i="46"/>
  <c r="K308" i="46"/>
  <c r="AD308" i="46"/>
  <c r="K309" i="46"/>
  <c r="AD309" i="46"/>
  <c r="K310" i="46"/>
  <c r="AD310" i="46"/>
  <c r="K311" i="46"/>
  <c r="AD311" i="46"/>
  <c r="K312" i="46"/>
  <c r="AD312" i="46"/>
  <c r="K313" i="46"/>
  <c r="AD313" i="46"/>
  <c r="K314" i="46"/>
  <c r="AD314" i="46"/>
  <c r="K315" i="46"/>
  <c r="AD315" i="46"/>
  <c r="K316" i="46"/>
  <c r="AD316" i="46"/>
  <c r="K317" i="46"/>
  <c r="AD317" i="46"/>
  <c r="K318" i="46"/>
  <c r="AD318" i="46"/>
  <c r="K319" i="46"/>
  <c r="AD319" i="46"/>
  <c r="K320" i="46"/>
  <c r="AD320" i="46"/>
  <c r="K321" i="46"/>
  <c r="AD321" i="46"/>
  <c r="K322" i="46"/>
  <c r="AD322" i="46"/>
  <c r="K323" i="46"/>
  <c r="AD323" i="46"/>
  <c r="K324" i="46"/>
  <c r="AD324" i="46"/>
  <c r="K325" i="46"/>
  <c r="AD325" i="46"/>
  <c r="K326" i="46"/>
  <c r="AD326" i="46"/>
  <c r="K327" i="46"/>
  <c r="AD327" i="46"/>
  <c r="K328" i="46"/>
  <c r="AD328" i="46"/>
  <c r="K329" i="46"/>
  <c r="AD329" i="46"/>
  <c r="K330" i="46"/>
  <c r="AD330" i="46"/>
  <c r="K331" i="46"/>
  <c r="AD331" i="46"/>
  <c r="K332" i="46"/>
  <c r="AD332" i="46"/>
  <c r="K333" i="46"/>
  <c r="AD333" i="46"/>
  <c r="K334" i="46"/>
  <c r="AD334" i="46"/>
  <c r="K335" i="46"/>
  <c r="AD335" i="46"/>
  <c r="K336" i="46"/>
  <c r="AD336" i="46"/>
  <c r="K337" i="46"/>
  <c r="AD337" i="46"/>
  <c r="K338" i="46"/>
  <c r="AD338" i="46"/>
  <c r="K339" i="46"/>
  <c r="AD339" i="46"/>
  <c r="K340" i="46"/>
  <c r="AD340" i="46"/>
  <c r="K341" i="46"/>
  <c r="AD341" i="46"/>
  <c r="K342" i="46"/>
  <c r="AD342" i="46"/>
  <c r="K343" i="46"/>
  <c r="AD343" i="46"/>
  <c r="K344" i="46"/>
  <c r="AD344" i="46"/>
  <c r="K345" i="46"/>
  <c r="AD345" i="46"/>
  <c r="K346" i="46"/>
  <c r="AD346" i="46"/>
  <c r="K347" i="46"/>
  <c r="AD347" i="46"/>
  <c r="K348" i="46"/>
  <c r="AD348" i="46"/>
  <c r="K349" i="46"/>
  <c r="AD349" i="46"/>
  <c r="K350" i="46"/>
  <c r="AD350" i="46"/>
  <c r="K351" i="46"/>
  <c r="AD351" i="46"/>
  <c r="K352" i="46"/>
  <c r="AD352" i="46"/>
  <c r="K353" i="46"/>
  <c r="AD353" i="46"/>
  <c r="K354" i="46"/>
  <c r="AD354" i="46"/>
  <c r="K355" i="46"/>
  <c r="AD355" i="46"/>
  <c r="K356" i="46"/>
  <c r="AD356" i="46"/>
  <c r="K357" i="46"/>
  <c r="AD357" i="46"/>
  <c r="K358" i="46"/>
  <c r="AD358" i="46"/>
  <c r="K359" i="46"/>
  <c r="AD359" i="46"/>
  <c r="K360" i="46"/>
  <c r="AD360" i="46"/>
  <c r="K361" i="46"/>
  <c r="AD361" i="46"/>
  <c r="K362" i="46"/>
  <c r="AD362" i="46"/>
  <c r="K363" i="46"/>
  <c r="AD363" i="46"/>
  <c r="K364" i="46"/>
  <c r="AD364" i="46"/>
  <c r="K365" i="46"/>
  <c r="AD365" i="46"/>
  <c r="K366" i="46"/>
  <c r="AD366" i="46"/>
  <c r="K367" i="46"/>
  <c r="AD367" i="46"/>
  <c r="K368" i="46"/>
  <c r="AD368" i="46"/>
  <c r="K369" i="46"/>
  <c r="AD369" i="46"/>
  <c r="K370" i="46"/>
  <c r="AD370" i="46"/>
  <c r="K371" i="46"/>
  <c r="AD371" i="46"/>
  <c r="K372" i="46"/>
  <c r="AD372" i="46"/>
  <c r="K373" i="46"/>
  <c r="AD373" i="46"/>
  <c r="K374" i="46"/>
  <c r="AD374" i="46"/>
  <c r="K375" i="46"/>
  <c r="AD375" i="46"/>
  <c r="K376" i="46"/>
  <c r="AD376" i="46"/>
  <c r="K377" i="46"/>
  <c r="AD377" i="46"/>
  <c r="K378" i="46"/>
  <c r="AD378" i="46"/>
  <c r="K379" i="46"/>
  <c r="AD379" i="46"/>
  <c r="K380" i="46"/>
  <c r="AD380" i="46"/>
  <c r="K381" i="46"/>
  <c r="AD381" i="46"/>
  <c r="K382" i="46"/>
  <c r="AD382" i="46"/>
  <c r="K383" i="46"/>
  <c r="AD383" i="46"/>
  <c r="K384" i="46"/>
  <c r="AD384" i="46"/>
  <c r="AI13" i="46" l="1"/>
  <c r="AI320" i="46"/>
  <c r="AI296" i="46"/>
  <c r="AI272" i="46"/>
  <c r="AI248" i="46"/>
  <c r="AI224" i="46"/>
  <c r="AI200" i="46"/>
  <c r="AI136" i="46"/>
  <c r="AI108" i="46"/>
  <c r="AI92" i="46"/>
  <c r="AI68" i="46"/>
  <c r="AI52" i="46"/>
  <c r="AI44" i="46"/>
  <c r="AI40" i="46"/>
  <c r="AI32" i="46"/>
  <c r="AI380" i="46"/>
  <c r="AI364" i="46"/>
  <c r="AI348" i="46"/>
  <c r="AI332" i="46"/>
  <c r="AI312" i="46"/>
  <c r="AI300" i="46"/>
  <c r="AI280" i="46"/>
  <c r="AI260" i="46"/>
  <c r="AI244" i="46"/>
  <c r="AI228" i="46"/>
  <c r="AI212" i="46"/>
  <c r="AI196" i="46"/>
  <c r="AI176" i="46"/>
  <c r="AI152" i="46"/>
  <c r="AI128" i="46"/>
  <c r="AI104" i="46"/>
  <c r="AI88" i="46"/>
  <c r="AI64" i="46"/>
  <c r="AI48" i="46"/>
  <c r="AI383" i="46"/>
  <c r="AI379" i="46"/>
  <c r="AI375" i="46"/>
  <c r="AI371" i="46"/>
  <c r="AL367" i="46"/>
  <c r="AM367" i="46" s="1"/>
  <c r="AI367" i="46"/>
  <c r="AI363" i="46"/>
  <c r="AI359" i="46"/>
  <c r="AI355" i="46"/>
  <c r="AI351" i="46"/>
  <c r="AI347" i="46"/>
  <c r="AI343" i="46"/>
  <c r="AI339" i="46"/>
  <c r="AI335" i="46"/>
  <c r="AI331" i="46"/>
  <c r="AI327" i="46"/>
  <c r="AI323" i="46"/>
  <c r="AI319" i="46"/>
  <c r="AI315" i="46"/>
  <c r="AN311" i="46"/>
  <c r="AO311" i="46" s="1"/>
  <c r="AI311" i="46"/>
  <c r="AI307" i="46"/>
  <c r="AI303" i="46"/>
  <c r="AI299" i="46"/>
  <c r="AI295" i="46"/>
  <c r="AI291" i="46"/>
  <c r="AI287" i="46"/>
  <c r="AI283" i="46"/>
  <c r="AI279" i="46"/>
  <c r="AI275" i="46"/>
  <c r="AI271" i="46"/>
  <c r="AI267" i="46"/>
  <c r="AI263" i="46"/>
  <c r="Y259" i="46"/>
  <c r="AF259" i="46" s="1"/>
  <c r="AI259" i="46"/>
  <c r="AI255" i="46"/>
  <c r="AI251" i="46"/>
  <c r="AI247" i="46"/>
  <c r="AI243" i="46"/>
  <c r="AI239" i="46"/>
  <c r="AI235" i="46"/>
  <c r="AI231" i="46"/>
  <c r="AI227" i="46"/>
  <c r="AI223" i="46"/>
  <c r="Y219" i="46"/>
  <c r="AF219" i="46" s="1"/>
  <c r="AI219" i="46"/>
  <c r="AI215" i="46"/>
  <c r="AI211" i="46"/>
  <c r="AL207" i="46"/>
  <c r="AM207" i="46" s="1"/>
  <c r="AI207" i="46"/>
  <c r="AI199" i="46"/>
  <c r="AI195" i="46"/>
  <c r="AI191" i="46"/>
  <c r="AI183" i="46"/>
  <c r="AI179" i="46"/>
  <c r="AI175" i="46"/>
  <c r="AI171" i="46"/>
  <c r="AI167" i="46"/>
  <c r="AI163" i="46"/>
  <c r="AI159" i="46"/>
  <c r="AI155" i="46"/>
  <c r="AI151" i="46"/>
  <c r="AI147" i="46"/>
  <c r="AI143" i="46"/>
  <c r="AN139" i="46"/>
  <c r="AO139" i="46" s="1"/>
  <c r="AI139" i="46"/>
  <c r="AI135" i="46"/>
  <c r="AI131" i="46"/>
  <c r="AI127" i="46"/>
  <c r="AI123" i="46"/>
  <c r="AI119" i="46"/>
  <c r="AI115" i="46"/>
  <c r="AI111" i="46"/>
  <c r="AI107" i="46"/>
  <c r="AI103" i="46"/>
  <c r="AI99" i="46"/>
  <c r="AI95" i="46"/>
  <c r="AI91" i="46"/>
  <c r="AI87" i="46"/>
  <c r="AI83" i="46"/>
  <c r="AI79" i="46"/>
  <c r="AI75" i="46"/>
  <c r="AI71" i="46"/>
  <c r="AI67" i="46"/>
  <c r="AI63" i="46"/>
  <c r="AI59" i="46"/>
  <c r="AI55" i="46"/>
  <c r="AI51" i="46"/>
  <c r="AI47" i="46"/>
  <c r="AI43" i="46"/>
  <c r="AI39" i="46"/>
  <c r="AI35" i="46"/>
  <c r="AI31" i="46"/>
  <c r="AI27" i="46"/>
  <c r="AI12" i="46"/>
  <c r="AI376" i="46"/>
  <c r="AI360" i="46"/>
  <c r="AI344" i="46"/>
  <c r="AI324" i="46"/>
  <c r="AI304" i="46"/>
  <c r="AI284" i="46"/>
  <c r="AI268" i="46"/>
  <c r="AI256" i="46"/>
  <c r="AI232" i="46"/>
  <c r="AI208" i="46"/>
  <c r="AI188" i="46"/>
  <c r="AI164" i="46"/>
  <c r="AI160" i="46"/>
  <c r="AI132" i="46"/>
  <c r="AI112" i="46"/>
  <c r="AI84" i="46"/>
  <c r="AI372" i="46"/>
  <c r="AI356" i="46"/>
  <c r="AI340" i="46"/>
  <c r="AI328" i="46"/>
  <c r="AI308" i="46"/>
  <c r="X288" i="46"/>
  <c r="AE288" i="46" s="1"/>
  <c r="AI288" i="46"/>
  <c r="AN276" i="46"/>
  <c r="AO276" i="46" s="1"/>
  <c r="AI276" i="46"/>
  <c r="AI252" i="46"/>
  <c r="AI236" i="46"/>
  <c r="AI216" i="46"/>
  <c r="AI192" i="46"/>
  <c r="AI172" i="46"/>
  <c r="AI156" i="46"/>
  <c r="AI140" i="46"/>
  <c r="AI120" i="46"/>
  <c r="AI96" i="46"/>
  <c r="AI76" i="46"/>
  <c r="AI56" i="46"/>
  <c r="Y382" i="46"/>
  <c r="AF382" i="46" s="1"/>
  <c r="AI382" i="46"/>
  <c r="AI378" i="46"/>
  <c r="AI374" i="46"/>
  <c r="AI370" i="46"/>
  <c r="AI366" i="46"/>
  <c r="AI362" i="46"/>
  <c r="AI358" i="46"/>
  <c r="AI354" i="46"/>
  <c r="AI350" i="46"/>
  <c r="AI346" i="46"/>
  <c r="AN342" i="46"/>
  <c r="AO342" i="46" s="1"/>
  <c r="AI342" i="46"/>
  <c r="AI338" i="46"/>
  <c r="AI334" i="46"/>
  <c r="AI330" i="46"/>
  <c r="AI326" i="46"/>
  <c r="AI322" i="46"/>
  <c r="AI318" i="46"/>
  <c r="AI314" i="46"/>
  <c r="AI310" i="46"/>
  <c r="AI306" i="46"/>
  <c r="AI302" i="46"/>
  <c r="AI298" i="46"/>
  <c r="AI294" i="46"/>
  <c r="AI290" i="46"/>
  <c r="AI286" i="46"/>
  <c r="AI282" i="46"/>
  <c r="AI278" i="46"/>
  <c r="AI274" i="46"/>
  <c r="AI270" i="46"/>
  <c r="AI266" i="46"/>
  <c r="AI262" i="46"/>
  <c r="AI258" i="46"/>
  <c r="AI254" i="46"/>
  <c r="AI250" i="46"/>
  <c r="AI246" i="46"/>
  <c r="AI242" i="46"/>
  <c r="AI238" i="46"/>
  <c r="AI234" i="46"/>
  <c r="AI230" i="46"/>
  <c r="AI226" i="46"/>
  <c r="AI222" i="46"/>
  <c r="AI218" i="46"/>
  <c r="AI214" i="46"/>
  <c r="AI210" i="46"/>
  <c r="AI206" i="46"/>
  <c r="AI202" i="46"/>
  <c r="AI198" i="46"/>
  <c r="AI190" i="46"/>
  <c r="AI186" i="46"/>
  <c r="AI182" i="46"/>
  <c r="AI178" i="46"/>
  <c r="AI170" i="46"/>
  <c r="AL166" i="46"/>
  <c r="AM166" i="46" s="1"/>
  <c r="AI166" i="46"/>
  <c r="AI162" i="46"/>
  <c r="AI158" i="46"/>
  <c r="AI150" i="46"/>
  <c r="AI146" i="46"/>
  <c r="AI142" i="46"/>
  <c r="AI138" i="46"/>
  <c r="AI134" i="46"/>
  <c r="AI130" i="46"/>
  <c r="AI126" i="46"/>
  <c r="AN122" i="46"/>
  <c r="AO122" i="46" s="1"/>
  <c r="AI122" i="46"/>
  <c r="AI118" i="46"/>
  <c r="AI114" i="46"/>
  <c r="AI110" i="46"/>
  <c r="AI106" i="46"/>
  <c r="AI102" i="46"/>
  <c r="AI98" i="46"/>
  <c r="AN94" i="46"/>
  <c r="AO94" i="46" s="1"/>
  <c r="AI94" i="46"/>
  <c r="AL90" i="46"/>
  <c r="AM90" i="46" s="1"/>
  <c r="AI90" i="46"/>
  <c r="AI86" i="46"/>
  <c r="AI82" i="46"/>
  <c r="AI78" i="46"/>
  <c r="AI74" i="46"/>
  <c r="AI70" i="46"/>
  <c r="AI66" i="46"/>
  <c r="AI62" i="46"/>
  <c r="AI58" i="46"/>
  <c r="AI54" i="46"/>
  <c r="AI50" i="46"/>
  <c r="AI46" i="46"/>
  <c r="AI42" i="46"/>
  <c r="AI38" i="46"/>
  <c r="AI34" i="46"/>
  <c r="AI30" i="46"/>
  <c r="AL22" i="46"/>
  <c r="AM22" i="46" s="1"/>
  <c r="AI384" i="46"/>
  <c r="AI368" i="46"/>
  <c r="AI352" i="46"/>
  <c r="AI336" i="46"/>
  <c r="AI316" i="46"/>
  <c r="X292" i="46"/>
  <c r="AE292" i="46" s="1"/>
  <c r="AI292" i="46"/>
  <c r="AI264" i="46"/>
  <c r="AI240" i="46"/>
  <c r="AI220" i="46"/>
  <c r="AI204" i="46"/>
  <c r="AI184" i="46"/>
  <c r="AI148" i="46"/>
  <c r="AI116" i="46"/>
  <c r="AI100" i="46"/>
  <c r="AI72" i="46"/>
  <c r="AI60" i="46"/>
  <c r="AI36" i="46"/>
  <c r="AI21" i="46"/>
  <c r="AL168" i="46"/>
  <c r="AM168" i="46" s="1"/>
  <c r="AI168" i="46"/>
  <c r="AI144" i="46"/>
  <c r="AI124" i="46"/>
  <c r="AI80" i="46"/>
  <c r="AI381" i="46"/>
  <c r="AI377" i="46"/>
  <c r="AI373" i="46"/>
  <c r="AI369" i="46"/>
  <c r="AI365" i="46"/>
  <c r="AI361" i="46"/>
  <c r="AI357" i="46"/>
  <c r="AI353" i="46"/>
  <c r="AI349" i="46"/>
  <c r="AI345" i="46"/>
  <c r="AI341" i="46"/>
  <c r="AI337" i="46"/>
  <c r="AI333" i="46"/>
  <c r="AI329" i="46"/>
  <c r="AI325" i="46"/>
  <c r="AI321" i="46"/>
  <c r="AI317" i="46"/>
  <c r="AI313" i="46"/>
  <c r="AI309" i="46"/>
  <c r="AI305" i="46"/>
  <c r="AI301" i="46"/>
  <c r="AI297" i="46"/>
  <c r="AI293" i="46"/>
  <c r="AI289" i="46"/>
  <c r="AI285" i="46"/>
  <c r="AI281" i="46"/>
  <c r="AI277" i="46"/>
  <c r="AI273" i="46"/>
  <c r="AI269" i="46"/>
  <c r="AI265" i="46"/>
  <c r="AI261" i="46"/>
  <c r="AI257" i="46"/>
  <c r="AI253" i="46"/>
  <c r="AI249" i="46"/>
  <c r="AI245" i="46"/>
  <c r="AI241" i="46"/>
  <c r="AI237" i="46"/>
  <c r="AI233" i="46"/>
  <c r="AI229" i="46"/>
  <c r="AI225" i="46"/>
  <c r="AI221" i="46"/>
  <c r="AI217" i="46"/>
  <c r="AI213" i="46"/>
  <c r="AI209" i="46"/>
  <c r="AI205" i="46"/>
  <c r="AI193" i="46"/>
  <c r="AI189" i="46"/>
  <c r="AI185" i="46"/>
  <c r="AI181" i="46"/>
  <c r="AI177" i="46"/>
  <c r="AI173" i="46"/>
  <c r="AI169" i="46"/>
  <c r="AI165" i="46"/>
  <c r="AI161" i="46"/>
  <c r="AI157" i="46"/>
  <c r="AI153" i="46"/>
  <c r="AI149" i="46"/>
  <c r="AI145" i="46"/>
  <c r="AI141" i="46"/>
  <c r="AI137" i="46"/>
  <c r="AI133" i="46"/>
  <c r="AI129" i="46"/>
  <c r="AI125" i="46"/>
  <c r="AI121" i="46"/>
  <c r="AI117" i="46"/>
  <c r="AI113" i="46"/>
  <c r="AI109" i="46"/>
  <c r="AI105" i="46"/>
  <c r="AI101" i="46"/>
  <c r="AI97" i="46"/>
  <c r="AI93" i="46"/>
  <c r="AI89" i="46"/>
  <c r="AI85" i="46"/>
  <c r="AI81" i="46"/>
  <c r="AI77" i="46"/>
  <c r="AI73" i="46"/>
  <c r="AI69" i="46"/>
  <c r="AI65" i="46"/>
  <c r="AI61" i="46"/>
  <c r="AI57" i="46"/>
  <c r="AI53" i="46"/>
  <c r="AI49" i="46"/>
  <c r="AI45" i="46"/>
  <c r="AI37" i="46"/>
  <c r="AI33" i="46"/>
  <c r="AI29" i="46"/>
  <c r="AI20" i="46"/>
  <c r="AI14" i="46"/>
  <c r="AL290" i="46"/>
  <c r="AM290" i="46" s="1"/>
  <c r="AL372" i="46"/>
  <c r="AM372" i="46" s="1"/>
  <c r="X339" i="46"/>
  <c r="AE339" i="46" s="1"/>
  <c r="Y258" i="46"/>
  <c r="AF258" i="46" s="1"/>
  <c r="AN227" i="46"/>
  <c r="AO227" i="46" s="1"/>
  <c r="AL109" i="46"/>
  <c r="AM109" i="46" s="1"/>
  <c r="X98" i="46"/>
  <c r="AE98" i="46" s="1"/>
  <c r="X382" i="46"/>
  <c r="AE382" i="46" s="1"/>
  <c r="Y375" i="46"/>
  <c r="AF375" i="46" s="1"/>
  <c r="AL361" i="46"/>
  <c r="AM361" i="46" s="1"/>
  <c r="AN346" i="46"/>
  <c r="AO346" i="46" s="1"/>
  <c r="X335" i="46"/>
  <c r="AE335" i="46" s="1"/>
  <c r="AN319" i="46"/>
  <c r="AO319" i="46" s="1"/>
  <c r="AL316" i="46"/>
  <c r="AM316" i="46" s="1"/>
  <c r="Y287" i="46"/>
  <c r="AF287" i="46" s="1"/>
  <c r="AN283" i="46"/>
  <c r="AO283" i="46" s="1"/>
  <c r="Y261" i="46"/>
  <c r="AF261" i="46" s="1"/>
  <c r="AL223" i="46"/>
  <c r="AM223" i="46" s="1"/>
  <c r="AN204" i="46"/>
  <c r="AO204" i="46" s="1"/>
  <c r="X200" i="46"/>
  <c r="AE200" i="46" s="1"/>
  <c r="Y159" i="46"/>
  <c r="AF159" i="46" s="1"/>
  <c r="X155" i="46"/>
  <c r="AE155" i="46" s="1"/>
  <c r="AN151" i="46"/>
  <c r="AO151" i="46" s="1"/>
  <c r="Y147" i="46"/>
  <c r="AF147" i="46" s="1"/>
  <c r="AN124" i="46"/>
  <c r="AO124" i="46" s="1"/>
  <c r="AL94" i="46"/>
  <c r="AM94" i="46" s="1"/>
  <c r="AL13" i="46"/>
  <c r="AM13" i="46" s="1"/>
  <c r="AL87" i="46"/>
  <c r="AM87" i="46" s="1"/>
  <c r="X59" i="46"/>
  <c r="AE59" i="46" s="1"/>
  <c r="AN39" i="46"/>
  <c r="AO39" i="46" s="1"/>
  <c r="Y371" i="46"/>
  <c r="AF371" i="46" s="1"/>
  <c r="Y357" i="46"/>
  <c r="AF357" i="46" s="1"/>
  <c r="AL349" i="46"/>
  <c r="AM349" i="46" s="1"/>
  <c r="X338" i="46"/>
  <c r="AE338" i="46" s="1"/>
  <c r="Y308" i="46"/>
  <c r="AF308" i="46" s="1"/>
  <c r="X304" i="46"/>
  <c r="AE304" i="46" s="1"/>
  <c r="X276" i="46"/>
  <c r="AE276" i="46" s="1"/>
  <c r="AN272" i="46"/>
  <c r="AO272" i="46" s="1"/>
  <c r="AL253" i="46"/>
  <c r="AM253" i="46" s="1"/>
  <c r="AN238" i="46"/>
  <c r="AO238" i="46" s="1"/>
  <c r="X234" i="46"/>
  <c r="AE234" i="46" s="1"/>
  <c r="X215" i="46"/>
  <c r="AE215" i="46" s="1"/>
  <c r="AN211" i="46"/>
  <c r="AO211" i="46" s="1"/>
  <c r="Y196" i="46"/>
  <c r="AF196" i="46" s="1"/>
  <c r="Y192" i="46"/>
  <c r="AF192" i="46" s="1"/>
  <c r="AL173" i="46"/>
  <c r="AM173" i="46" s="1"/>
  <c r="X169" i="46"/>
  <c r="AE169" i="46" s="1"/>
  <c r="AL120" i="46"/>
  <c r="AM120" i="46" s="1"/>
  <c r="Y116" i="46"/>
  <c r="AF116" i="46" s="1"/>
  <c r="AN104" i="46"/>
  <c r="AO104" i="46" s="1"/>
  <c r="X82" i="46"/>
  <c r="AE82" i="46" s="1"/>
  <c r="X78" i="46"/>
  <c r="AE78" i="46" s="1"/>
  <c r="X70" i="46"/>
  <c r="AE70" i="46" s="1"/>
  <c r="Y66" i="46"/>
  <c r="AF66" i="46" s="1"/>
  <c r="AL368" i="46"/>
  <c r="AM368" i="46" s="1"/>
  <c r="Y350" i="46"/>
  <c r="AF350" i="46" s="1"/>
  <c r="AL269" i="46"/>
  <c r="AM269" i="46" s="1"/>
  <c r="AN231" i="46"/>
  <c r="AO231" i="46" s="1"/>
  <c r="AL174" i="46"/>
  <c r="AM174" i="46" s="1"/>
  <c r="AN31" i="46"/>
  <c r="AO31" i="46" s="1"/>
  <c r="X378" i="46"/>
  <c r="AE378" i="46" s="1"/>
  <c r="X381" i="46"/>
  <c r="AE381" i="46" s="1"/>
  <c r="AL374" i="46"/>
  <c r="AM374" i="46" s="1"/>
  <c r="AL334" i="46"/>
  <c r="AM334" i="46" s="1"/>
  <c r="X326" i="46"/>
  <c r="AE326" i="46" s="1"/>
  <c r="Y296" i="46"/>
  <c r="AF296" i="46" s="1"/>
  <c r="X286" i="46"/>
  <c r="AE286" i="46" s="1"/>
  <c r="X279" i="46"/>
  <c r="AE279" i="46" s="1"/>
  <c r="AL245" i="46"/>
  <c r="AM245" i="46" s="1"/>
  <c r="X222" i="46"/>
  <c r="AE222" i="46" s="1"/>
  <c r="X207" i="46"/>
  <c r="AE207" i="46" s="1"/>
  <c r="X188" i="46"/>
  <c r="AE188" i="46" s="1"/>
  <c r="X180" i="46"/>
  <c r="AE180" i="46" s="1"/>
  <c r="X166" i="46"/>
  <c r="AE166" i="46" s="1"/>
  <c r="X158" i="46"/>
  <c r="AE158" i="46" s="1"/>
  <c r="Y154" i="46"/>
  <c r="AF154" i="46" s="1"/>
  <c r="AN150" i="46"/>
  <c r="AO150" i="46" s="1"/>
  <c r="AL139" i="46"/>
  <c r="AM139" i="46" s="1"/>
  <c r="AL127" i="46"/>
  <c r="AM127" i="46" s="1"/>
  <c r="AN123" i="46"/>
  <c r="AO123" i="46" s="1"/>
  <c r="AL100" i="46"/>
  <c r="AM100" i="46" s="1"/>
  <c r="X273" i="46"/>
  <c r="AE273" i="46" s="1"/>
  <c r="AN243" i="46"/>
  <c r="AO243" i="46" s="1"/>
  <c r="X178" i="46"/>
  <c r="AE178" i="46" s="1"/>
  <c r="AN35" i="46"/>
  <c r="AO35" i="46" s="1"/>
  <c r="Y364" i="46"/>
  <c r="AF364" i="46" s="1"/>
  <c r="Y370" i="46"/>
  <c r="AF370" i="46" s="1"/>
  <c r="AN367" i="46"/>
  <c r="AO367" i="46" s="1"/>
  <c r="Y356" i="46"/>
  <c r="AF356" i="46" s="1"/>
  <c r="AN341" i="46"/>
  <c r="AO341" i="46" s="1"/>
  <c r="AN317" i="46"/>
  <c r="AO317" i="46" s="1"/>
  <c r="X303" i="46"/>
  <c r="AE303" i="46" s="1"/>
  <c r="AN292" i="46"/>
  <c r="AO292" i="46" s="1"/>
  <c r="AL282" i="46"/>
  <c r="AM282" i="46" s="1"/>
  <c r="AN237" i="46"/>
  <c r="AO237" i="46" s="1"/>
  <c r="AL233" i="46"/>
  <c r="AM233" i="46" s="1"/>
  <c r="Y229" i="46"/>
  <c r="AF229" i="46" s="1"/>
  <c r="AN218" i="46"/>
  <c r="AO218" i="46" s="1"/>
  <c r="X199" i="46"/>
  <c r="AE199" i="46" s="1"/>
  <c r="AL195" i="46"/>
  <c r="AM195" i="46" s="1"/>
  <c r="X176" i="46"/>
  <c r="AE176" i="46" s="1"/>
  <c r="AL142" i="46"/>
  <c r="AM142" i="46" s="1"/>
  <c r="AL119" i="46"/>
  <c r="AM119" i="46" s="1"/>
  <c r="AL107" i="46"/>
  <c r="AM107" i="46" s="1"/>
  <c r="AL103" i="46"/>
  <c r="AM103" i="46" s="1"/>
  <c r="AL85" i="46"/>
  <c r="AM85" i="46" s="1"/>
  <c r="AL81" i="46"/>
  <c r="AM81" i="46" s="1"/>
  <c r="X73" i="46"/>
  <c r="AE73" i="46" s="1"/>
  <c r="X69" i="46"/>
  <c r="AE69" i="46" s="1"/>
  <c r="Y344" i="46"/>
  <c r="AF344" i="46" s="1"/>
  <c r="AL337" i="46"/>
  <c r="AM337" i="46" s="1"/>
  <c r="Y333" i="46"/>
  <c r="AF333" i="46" s="1"/>
  <c r="X325" i="46"/>
  <c r="AE325" i="46" s="1"/>
  <c r="AN248" i="46"/>
  <c r="AO248" i="46" s="1"/>
  <c r="AL221" i="46"/>
  <c r="AM221" i="46" s="1"/>
  <c r="X168" i="46"/>
  <c r="AE168" i="46" s="1"/>
  <c r="X161" i="46"/>
  <c r="AE161" i="46" s="1"/>
  <c r="X157" i="46"/>
  <c r="AE157" i="46" s="1"/>
  <c r="X153" i="46"/>
  <c r="AE153" i="46" s="1"/>
  <c r="AL138" i="46"/>
  <c r="AM138" i="46" s="1"/>
  <c r="AL99" i="46"/>
  <c r="AM99" i="46" s="1"/>
  <c r="AN92" i="46"/>
  <c r="AO92" i="46" s="1"/>
  <c r="X354" i="46"/>
  <c r="AE354" i="46" s="1"/>
  <c r="Y301" i="46"/>
  <c r="AF301" i="46" s="1"/>
  <c r="AL239" i="46"/>
  <c r="AM239" i="46" s="1"/>
  <c r="AN117" i="46"/>
  <c r="AO117" i="46" s="1"/>
  <c r="X340" i="46"/>
  <c r="AE340" i="46" s="1"/>
  <c r="Y302" i="46"/>
  <c r="AF302" i="46" s="1"/>
  <c r="Y298" i="46"/>
  <c r="AF298" i="46" s="1"/>
  <c r="X291" i="46"/>
  <c r="AE291" i="46" s="1"/>
  <c r="AL288" i="46"/>
  <c r="AM288" i="46" s="1"/>
  <c r="AN274" i="46"/>
  <c r="AO274" i="46" s="1"/>
  <c r="X270" i="46"/>
  <c r="AE270" i="46" s="1"/>
  <c r="AL259" i="46"/>
  <c r="AM259" i="46" s="1"/>
  <c r="AN255" i="46"/>
  <c r="AO255" i="46" s="1"/>
  <c r="AN244" i="46"/>
  <c r="AO244" i="46" s="1"/>
  <c r="AN236" i="46"/>
  <c r="AO236" i="46" s="1"/>
  <c r="AL228" i="46"/>
  <c r="AM228" i="46" s="1"/>
  <c r="AL209" i="46"/>
  <c r="AM209" i="46" s="1"/>
  <c r="Y194" i="46"/>
  <c r="AF194" i="46" s="1"/>
  <c r="AL179" i="46"/>
  <c r="AM179" i="46" s="1"/>
  <c r="AL171" i="46"/>
  <c r="AM171" i="46" s="1"/>
  <c r="X145" i="46"/>
  <c r="AE145" i="46" s="1"/>
  <c r="AL95" i="46"/>
  <c r="AM95" i="46" s="1"/>
  <c r="X88" i="46"/>
  <c r="AE88" i="46" s="1"/>
  <c r="Y84" i="46"/>
  <c r="AF84" i="46" s="1"/>
  <c r="X309" i="46"/>
  <c r="AE309" i="46" s="1"/>
  <c r="X216" i="46"/>
  <c r="AE216" i="46" s="1"/>
  <c r="AN170" i="46"/>
  <c r="AO170" i="46" s="1"/>
  <c r="Y23" i="46"/>
  <c r="AF23" i="46" s="1"/>
  <c r="Y347" i="46"/>
  <c r="AF347" i="46" s="1"/>
  <c r="X336" i="46"/>
  <c r="AE336" i="46" s="1"/>
  <c r="Y332" i="46"/>
  <c r="AF332" i="46" s="1"/>
  <c r="AL320" i="46"/>
  <c r="AM320" i="46" s="1"/>
  <c r="AL317" i="46"/>
  <c r="AM317" i="46" s="1"/>
  <c r="AL313" i="46"/>
  <c r="AM313" i="46" s="1"/>
  <c r="Y294" i="46"/>
  <c r="AF294" i="46" s="1"/>
  <c r="AL262" i="46"/>
  <c r="AM262" i="46" s="1"/>
  <c r="AL251" i="46"/>
  <c r="AM251" i="46" s="1"/>
  <c r="X190" i="46"/>
  <c r="AE190" i="46" s="1"/>
  <c r="Y164" i="46"/>
  <c r="AF164" i="46" s="1"/>
  <c r="X156" i="46"/>
  <c r="AE156" i="46" s="1"/>
  <c r="AN152" i="46"/>
  <c r="AO152" i="46" s="1"/>
  <c r="Y148" i="46"/>
  <c r="AF148" i="46" s="1"/>
  <c r="AL91" i="46"/>
  <c r="AM91" i="46" s="1"/>
  <c r="AL272" i="46"/>
  <c r="AM272" i="46" s="1"/>
  <c r="AL248" i="46"/>
  <c r="AM248" i="46" s="1"/>
  <c r="AN183" i="46"/>
  <c r="AO183" i="46" s="1"/>
  <c r="AN53" i="46"/>
  <c r="AO53" i="46" s="1"/>
  <c r="AN314" i="46"/>
  <c r="AO314" i="46" s="1"/>
  <c r="Y335" i="46"/>
  <c r="AF335" i="46" s="1"/>
  <c r="Y328" i="46"/>
  <c r="AF328" i="46" s="1"/>
  <c r="AN278" i="46"/>
  <c r="AO278" i="46" s="1"/>
  <c r="AN268" i="46"/>
  <c r="AO268" i="46" s="1"/>
  <c r="Y245" i="46"/>
  <c r="AF245" i="46" s="1"/>
  <c r="AN313" i="46"/>
  <c r="AO313" i="46" s="1"/>
  <c r="AL292" i="46"/>
  <c r="AM292" i="46" s="1"/>
  <c r="AN199" i="46"/>
  <c r="AO199" i="46" s="1"/>
  <c r="AL86" i="46"/>
  <c r="AM86" i="46" s="1"/>
  <c r="AL67" i="46"/>
  <c r="AM67" i="46" s="1"/>
  <c r="Y378" i="46"/>
  <c r="AF378" i="46" s="1"/>
  <c r="X359" i="46"/>
  <c r="AE359" i="46" s="1"/>
  <c r="AN249" i="46"/>
  <c r="AO249" i="46" s="1"/>
  <c r="AL199" i="46"/>
  <c r="AM199" i="46" s="1"/>
  <c r="AN106" i="46"/>
  <c r="AO106" i="46" s="1"/>
  <c r="AN82" i="46"/>
  <c r="AO82" i="46" s="1"/>
  <c r="X384" i="46"/>
  <c r="AE384" i="46" s="1"/>
  <c r="AL298" i="46"/>
  <c r="AM298" i="46" s="1"/>
  <c r="AL181" i="46"/>
  <c r="AM181" i="46" s="1"/>
  <c r="Y233" i="46"/>
  <c r="AF233" i="46" s="1"/>
  <c r="Y195" i="46"/>
  <c r="AF195" i="46" s="1"/>
  <c r="Y137" i="46"/>
  <c r="AF137" i="46" s="1"/>
  <c r="Y59" i="46"/>
  <c r="AF59" i="46" s="1"/>
  <c r="AL352" i="46"/>
  <c r="AM352" i="46" s="1"/>
  <c r="X343" i="46"/>
  <c r="AE343" i="46" s="1"/>
  <c r="Y313" i="46"/>
  <c r="AF313" i="46" s="1"/>
  <c r="AL307" i="46"/>
  <c r="AM307" i="46" s="1"/>
  <c r="AN297" i="46"/>
  <c r="AO297" i="46" s="1"/>
  <c r="X259" i="46"/>
  <c r="AE259" i="46" s="1"/>
  <c r="AL243" i="46"/>
  <c r="AM243" i="46" s="1"/>
  <c r="AL229" i="46"/>
  <c r="AM229" i="46" s="1"/>
  <c r="X367" i="46"/>
  <c r="AE367" i="46" s="1"/>
  <c r="AL339" i="46"/>
  <c r="AM339" i="46" s="1"/>
  <c r="X268" i="46"/>
  <c r="AE268" i="46" s="1"/>
  <c r="X226" i="46"/>
  <c r="AE226" i="46" s="1"/>
  <c r="AN178" i="46"/>
  <c r="AO178" i="46" s="1"/>
  <c r="X368" i="46"/>
  <c r="AE368" i="46" s="1"/>
  <c r="Y358" i="46"/>
  <c r="AF358" i="46" s="1"/>
  <c r="AL333" i="46"/>
  <c r="AM333" i="46" s="1"/>
  <c r="AN312" i="46"/>
  <c r="AO312" i="46" s="1"/>
  <c r="X307" i="46"/>
  <c r="AE307" i="46" s="1"/>
  <c r="AN233" i="46"/>
  <c r="AO233" i="46" s="1"/>
  <c r="AN180" i="46"/>
  <c r="AO180" i="46" s="1"/>
  <c r="AN23" i="46"/>
  <c r="AO23" i="46" s="1"/>
  <c r="AN366" i="46"/>
  <c r="AO366" i="46" s="1"/>
  <c r="AN286" i="46"/>
  <c r="AO286" i="46" s="1"/>
  <c r="AN275" i="46"/>
  <c r="AO275" i="46" s="1"/>
  <c r="AN228" i="46"/>
  <c r="AO228" i="46" s="1"/>
  <c r="AN222" i="46"/>
  <c r="AO222" i="46" s="1"/>
  <c r="AL123" i="46"/>
  <c r="AM123" i="46" s="1"/>
  <c r="AN75" i="46"/>
  <c r="AO75" i="46" s="1"/>
  <c r="AL366" i="46"/>
  <c r="AM366" i="46" s="1"/>
  <c r="AL344" i="46"/>
  <c r="AM344" i="46" s="1"/>
  <c r="X333" i="46"/>
  <c r="AE333" i="46" s="1"/>
  <c r="X312" i="46"/>
  <c r="AE312" i="46" s="1"/>
  <c r="AN296" i="46"/>
  <c r="AO296" i="46" s="1"/>
  <c r="AL286" i="46"/>
  <c r="AM286" i="46" s="1"/>
  <c r="AL275" i="46"/>
  <c r="AM275" i="46" s="1"/>
  <c r="AN259" i="46"/>
  <c r="AO259" i="46" s="1"/>
  <c r="X243" i="46"/>
  <c r="AE243" i="46" s="1"/>
  <c r="X236" i="46"/>
  <c r="AE236" i="46" s="1"/>
  <c r="AN230" i="46"/>
  <c r="AO230" i="46" s="1"/>
  <c r="AL192" i="46"/>
  <c r="AM192" i="46" s="1"/>
  <c r="AL130" i="46"/>
  <c r="AM130" i="46" s="1"/>
  <c r="Y379" i="46"/>
  <c r="AF379" i="46" s="1"/>
  <c r="AN376" i="46"/>
  <c r="AO376" i="46" s="1"/>
  <c r="AL338" i="46"/>
  <c r="AM338" i="46" s="1"/>
  <c r="Y317" i="46"/>
  <c r="AF317" i="46" s="1"/>
  <c r="AL311" i="46"/>
  <c r="AM311" i="46" s="1"/>
  <c r="Y285" i="46"/>
  <c r="AF285" i="46" s="1"/>
  <c r="AL236" i="46"/>
  <c r="AM236" i="46" s="1"/>
  <c r="AN234" i="46"/>
  <c r="AO234" i="46" s="1"/>
  <c r="AN195" i="46"/>
  <c r="AO195" i="46" s="1"/>
  <c r="Y191" i="46"/>
  <c r="AF191" i="46" s="1"/>
  <c r="AN187" i="46"/>
  <c r="AO187" i="46" s="1"/>
  <c r="X181" i="46"/>
  <c r="AE181" i="46" s="1"/>
  <c r="Y158" i="46"/>
  <c r="AF158" i="46" s="1"/>
  <c r="AN116" i="46"/>
  <c r="AO116" i="46" s="1"/>
  <c r="AL106" i="46"/>
  <c r="AM106" i="46" s="1"/>
  <c r="AL82" i="46"/>
  <c r="AM82" i="46" s="1"/>
  <c r="AN73" i="46"/>
  <c r="AO73" i="46" s="1"/>
  <c r="AL53" i="46"/>
  <c r="AM53" i="46" s="1"/>
  <c r="AL26" i="46"/>
  <c r="AM26" i="46" s="1"/>
  <c r="AL23" i="46"/>
  <c r="AM23" i="46" s="1"/>
  <c r="AN12" i="46"/>
  <c r="AO12" i="46" s="1"/>
  <c r="X372" i="46"/>
  <c r="AE372" i="46" s="1"/>
  <c r="Y355" i="46"/>
  <c r="AF355" i="46" s="1"/>
  <c r="Y318" i="46"/>
  <c r="AF318" i="46" s="1"/>
  <c r="X283" i="46"/>
  <c r="AE283" i="46" s="1"/>
  <c r="X264" i="46"/>
  <c r="AE264" i="46" s="1"/>
  <c r="X261" i="46"/>
  <c r="AE261" i="46" s="1"/>
  <c r="X246" i="46"/>
  <c r="AE246" i="46" s="1"/>
  <c r="AL234" i="46"/>
  <c r="AM234" i="46" s="1"/>
  <c r="X224" i="46"/>
  <c r="AE224" i="46" s="1"/>
  <c r="AL187" i="46"/>
  <c r="AM187" i="46" s="1"/>
  <c r="Y186" i="46"/>
  <c r="AF186" i="46" s="1"/>
  <c r="X179" i="46"/>
  <c r="AE179" i="46" s="1"/>
  <c r="AL84" i="46"/>
  <c r="AM84" i="46" s="1"/>
  <c r="AN360" i="46"/>
  <c r="AO360" i="46" s="1"/>
  <c r="AL145" i="46"/>
  <c r="AM145" i="46" s="1"/>
  <c r="X106" i="46"/>
  <c r="AE106" i="46" s="1"/>
  <c r="Y90" i="46"/>
  <c r="AF90" i="46" s="1"/>
  <c r="AN86" i="46"/>
  <c r="AO86" i="46" s="1"/>
  <c r="AN27" i="46"/>
  <c r="AO27" i="46" s="1"/>
  <c r="AN338" i="46"/>
  <c r="AO338" i="46" s="1"/>
  <c r="AL382" i="46"/>
  <c r="AM382" i="46" s="1"/>
  <c r="AN380" i="46"/>
  <c r="AO380" i="46" s="1"/>
  <c r="AN375" i="46"/>
  <c r="AO375" i="46" s="1"/>
  <c r="Y366" i="46"/>
  <c r="AF366" i="46" s="1"/>
  <c r="Y339" i="46"/>
  <c r="AF339" i="46" s="1"/>
  <c r="AN332" i="46"/>
  <c r="AO332" i="46" s="1"/>
  <c r="AN326" i="46"/>
  <c r="AO326" i="46" s="1"/>
  <c r="Y312" i="46"/>
  <c r="AF312" i="46" s="1"/>
  <c r="Y250" i="46"/>
  <c r="AF250" i="46" s="1"/>
  <c r="AL237" i="46"/>
  <c r="AM237" i="46" s="1"/>
  <c r="AN147" i="46"/>
  <c r="AO147" i="46" s="1"/>
  <c r="AL27" i="46"/>
  <c r="AM27" i="46" s="1"/>
  <c r="Y352" i="46"/>
  <c r="AF352" i="46" s="1"/>
  <c r="X334" i="46"/>
  <c r="AE334" i="46" s="1"/>
  <c r="Y311" i="46"/>
  <c r="AF311" i="46" s="1"/>
  <c r="Y272" i="46"/>
  <c r="AF272" i="46" s="1"/>
  <c r="AL218" i="46"/>
  <c r="AM218" i="46" s="1"/>
  <c r="AL150" i="46"/>
  <c r="AM150" i="46" s="1"/>
  <c r="AL147" i="46"/>
  <c r="AM147" i="46" s="1"/>
  <c r="AN98" i="46"/>
  <c r="AO98" i="46" s="1"/>
  <c r="AN96" i="46"/>
  <c r="AO96" i="46" s="1"/>
  <c r="AN78" i="46"/>
  <c r="AO78" i="46" s="1"/>
  <c r="AL54" i="46"/>
  <c r="AM54" i="46" s="1"/>
  <c r="X23" i="46"/>
  <c r="AE23" i="46" s="1"/>
  <c r="Y14" i="46"/>
  <c r="AF14" i="46" s="1"/>
  <c r="AN384" i="46"/>
  <c r="AO384" i="46" s="1"/>
  <c r="X380" i="46"/>
  <c r="AE380" i="46" s="1"/>
  <c r="AL375" i="46"/>
  <c r="AM375" i="46" s="1"/>
  <c r="AL365" i="46"/>
  <c r="AM365" i="46" s="1"/>
  <c r="Y360" i="46"/>
  <c r="AF360" i="46" s="1"/>
  <c r="AN358" i="46"/>
  <c r="AO358" i="46" s="1"/>
  <c r="X352" i="46"/>
  <c r="AE352" i="46" s="1"/>
  <c r="AL348" i="46"/>
  <c r="AM348" i="46" s="1"/>
  <c r="Y338" i="46"/>
  <c r="AF338" i="46" s="1"/>
  <c r="X311" i="46"/>
  <c r="AE311" i="46" s="1"/>
  <c r="AL283" i="46"/>
  <c r="AM283" i="46" s="1"/>
  <c r="Y234" i="46"/>
  <c r="AF234" i="46" s="1"/>
  <c r="AL196" i="46"/>
  <c r="AM196" i="46" s="1"/>
  <c r="AN186" i="46"/>
  <c r="AO186" i="46" s="1"/>
  <c r="AN181" i="46"/>
  <c r="AO181" i="46" s="1"/>
  <c r="AL158" i="46"/>
  <c r="AM158" i="46" s="1"/>
  <c r="AN156" i="46"/>
  <c r="AO156" i="46" s="1"/>
  <c r="AL153" i="46"/>
  <c r="AM153" i="46" s="1"/>
  <c r="AL98" i="46"/>
  <c r="AM98" i="46" s="1"/>
  <c r="AL96" i="46"/>
  <c r="AM96" i="46" s="1"/>
  <c r="AN90" i="46"/>
  <c r="AO90" i="46" s="1"/>
  <c r="Y27" i="46"/>
  <c r="AF27" i="46" s="1"/>
  <c r="X360" i="46"/>
  <c r="AE360" i="46" s="1"/>
  <c r="AN353" i="46"/>
  <c r="AO353" i="46" s="1"/>
  <c r="X332" i="46"/>
  <c r="AE332" i="46" s="1"/>
  <c r="AL276" i="46"/>
  <c r="AM276" i="46" s="1"/>
  <c r="AN257" i="46"/>
  <c r="AO257" i="46" s="1"/>
  <c r="AL249" i="46"/>
  <c r="AM249" i="46" s="1"/>
  <c r="X237" i="46"/>
  <c r="AE237" i="46" s="1"/>
  <c r="AN229" i="46"/>
  <c r="AO229" i="46" s="1"/>
  <c r="X225" i="46"/>
  <c r="AE225" i="46" s="1"/>
  <c r="AL186" i="46"/>
  <c r="AM186" i="46" s="1"/>
  <c r="AN179" i="46"/>
  <c r="AO179" i="46" s="1"/>
  <c r="X27" i="46"/>
  <c r="AE27" i="46" s="1"/>
  <c r="AN383" i="46"/>
  <c r="AO383" i="46" s="1"/>
  <c r="X379" i="46"/>
  <c r="AE379" i="46" s="1"/>
  <c r="X373" i="46"/>
  <c r="AE373" i="46" s="1"/>
  <c r="AN371" i="46"/>
  <c r="AO371" i="46" s="1"/>
  <c r="Y363" i="46"/>
  <c r="AF363" i="46" s="1"/>
  <c r="AN356" i="46"/>
  <c r="AO356" i="46" s="1"/>
  <c r="X346" i="46"/>
  <c r="AE346" i="46" s="1"/>
  <c r="AL342" i="46"/>
  <c r="AM342" i="46" s="1"/>
  <c r="AN330" i="46"/>
  <c r="AO330" i="46" s="1"/>
  <c r="AL294" i="46"/>
  <c r="AM294" i="46" s="1"/>
  <c r="X74" i="46"/>
  <c r="AE74" i="46" s="1"/>
  <c r="AL357" i="46"/>
  <c r="AM357" i="46" s="1"/>
  <c r="AL356" i="46"/>
  <c r="AM356" i="46" s="1"/>
  <c r="AN348" i="46"/>
  <c r="AO348" i="46" s="1"/>
  <c r="X348" i="46"/>
  <c r="AE348" i="46" s="1"/>
  <c r="AN345" i="46"/>
  <c r="AO345" i="46" s="1"/>
  <c r="AN308" i="46"/>
  <c r="AO308" i="46" s="1"/>
  <c r="X308" i="46"/>
  <c r="AE308" i="46" s="1"/>
  <c r="AN306" i="46"/>
  <c r="AO306" i="46" s="1"/>
  <c r="AL306" i="46"/>
  <c r="AM306" i="46" s="1"/>
  <c r="AN303" i="46"/>
  <c r="AO303" i="46" s="1"/>
  <c r="Y300" i="46"/>
  <c r="AF300" i="46" s="1"/>
  <c r="AL300" i="46"/>
  <c r="AM300" i="46" s="1"/>
  <c r="AN300" i="46"/>
  <c r="AO300" i="46" s="1"/>
  <c r="X80" i="46"/>
  <c r="AE80" i="46" s="1"/>
  <c r="AL80" i="46"/>
  <c r="AM80" i="46" s="1"/>
  <c r="AN80" i="46"/>
  <c r="AO80" i="46" s="1"/>
  <c r="AN331" i="46"/>
  <c r="AO331" i="46" s="1"/>
  <c r="AL331" i="46"/>
  <c r="AM331" i="46" s="1"/>
  <c r="Y376" i="46"/>
  <c r="AF376" i="46" s="1"/>
  <c r="AL371" i="46"/>
  <c r="AM371" i="46" s="1"/>
  <c r="Y365" i="46"/>
  <c r="AF365" i="46" s="1"/>
  <c r="AL378" i="46"/>
  <c r="AM378" i="46" s="1"/>
  <c r="Y377" i="46"/>
  <c r="AF377" i="46" s="1"/>
  <c r="X376" i="46"/>
  <c r="AE376" i="46" s="1"/>
  <c r="AN369" i="46"/>
  <c r="AO369" i="46" s="1"/>
  <c r="X365" i="46"/>
  <c r="AE365" i="46" s="1"/>
  <c r="X361" i="46"/>
  <c r="AE361" i="46" s="1"/>
  <c r="AL358" i="46"/>
  <c r="AM358" i="46" s="1"/>
  <c r="X353" i="46"/>
  <c r="AE353" i="46" s="1"/>
  <c r="AN347" i="46"/>
  <c r="AO347" i="46" s="1"/>
  <c r="AL345" i="46"/>
  <c r="AM345" i="46" s="1"/>
  <c r="AN339" i="46"/>
  <c r="AO339" i="46" s="1"/>
  <c r="AL330" i="46"/>
  <c r="AM330" i="46" s="1"/>
  <c r="AL323" i="46"/>
  <c r="AM323" i="46" s="1"/>
  <c r="AN323" i="46"/>
  <c r="AO323" i="46" s="1"/>
  <c r="Y323" i="46"/>
  <c r="AF323" i="46" s="1"/>
  <c r="AL314" i="46"/>
  <c r="AM314" i="46" s="1"/>
  <c r="Y314" i="46"/>
  <c r="AF314" i="46" s="1"/>
  <c r="AN310" i="46"/>
  <c r="AO310" i="46" s="1"/>
  <c r="AL310" i="46"/>
  <c r="AM310" i="46" s="1"/>
  <c r="AN298" i="46"/>
  <c r="AO298" i="46" s="1"/>
  <c r="X290" i="46"/>
  <c r="AE290" i="46" s="1"/>
  <c r="AN290" i="46"/>
  <c r="AO290" i="46" s="1"/>
  <c r="Y213" i="46"/>
  <c r="AF213" i="46" s="1"/>
  <c r="Y112" i="46"/>
  <c r="AF112" i="46" s="1"/>
  <c r="AL20" i="46"/>
  <c r="AM20" i="46" s="1"/>
  <c r="Y383" i="46"/>
  <c r="AF383" i="46" s="1"/>
  <c r="AL347" i="46"/>
  <c r="AM347" i="46" s="1"/>
  <c r="X342" i="46"/>
  <c r="AE342" i="46" s="1"/>
  <c r="AN325" i="46"/>
  <c r="AO325" i="46" s="1"/>
  <c r="AN294" i="46"/>
  <c r="AO294" i="46" s="1"/>
  <c r="X266" i="46"/>
  <c r="AE266" i="46" s="1"/>
  <c r="AL266" i="46"/>
  <c r="AM266" i="46" s="1"/>
  <c r="Y203" i="46"/>
  <c r="AF203" i="46" s="1"/>
  <c r="AL203" i="46"/>
  <c r="AM203" i="46" s="1"/>
  <c r="Y172" i="46"/>
  <c r="AF172" i="46" s="1"/>
  <c r="AL172" i="46"/>
  <c r="AM172" i="46" s="1"/>
  <c r="AL129" i="46"/>
  <c r="AM129" i="46" s="1"/>
  <c r="AN129" i="46"/>
  <c r="AO129" i="46" s="1"/>
  <c r="X383" i="46"/>
  <c r="AE383" i="46" s="1"/>
  <c r="AN379" i="46"/>
  <c r="AO379" i="46" s="1"/>
  <c r="Y374" i="46"/>
  <c r="AF374" i="46" s="1"/>
  <c r="X369" i="46"/>
  <c r="AE369" i="46" s="1"/>
  <c r="AN365" i="46"/>
  <c r="AO365" i="46" s="1"/>
  <c r="AN361" i="46"/>
  <c r="AO361" i="46" s="1"/>
  <c r="AL341" i="46"/>
  <c r="AM341" i="46" s="1"/>
  <c r="AN335" i="46"/>
  <c r="AO335" i="46" s="1"/>
  <c r="AN333" i="46"/>
  <c r="AO333" i="46" s="1"/>
  <c r="AL332" i="46"/>
  <c r="AM332" i="46" s="1"/>
  <c r="AL327" i="46"/>
  <c r="AM327" i="46" s="1"/>
  <c r="Y315" i="46"/>
  <c r="AF315" i="46" s="1"/>
  <c r="Y182" i="46"/>
  <c r="AF182" i="46" s="1"/>
  <c r="AN25" i="46"/>
  <c r="AO25" i="46" s="1"/>
  <c r="AL340" i="46"/>
  <c r="AM340" i="46" s="1"/>
  <c r="AN340" i="46"/>
  <c r="AO340" i="46" s="1"/>
  <c r="X330" i="46"/>
  <c r="AE330" i="46" s="1"/>
  <c r="X299" i="46"/>
  <c r="AE299" i="46" s="1"/>
  <c r="AL299" i="46"/>
  <c r="AM299" i="46" s="1"/>
  <c r="AN299" i="46"/>
  <c r="AO299" i="46" s="1"/>
  <c r="AN118" i="46"/>
  <c r="AO118" i="46" s="1"/>
  <c r="Y345" i="46"/>
  <c r="AF345" i="46" s="1"/>
  <c r="X345" i="46"/>
  <c r="AE345" i="46" s="1"/>
  <c r="AN343" i="46"/>
  <c r="AO343" i="46" s="1"/>
  <c r="Y334" i="46"/>
  <c r="AF334" i="46" s="1"/>
  <c r="AN334" i="46"/>
  <c r="AO334" i="46" s="1"/>
  <c r="Y321" i="46"/>
  <c r="AF321" i="46" s="1"/>
  <c r="AL301" i="46"/>
  <c r="AM301" i="46" s="1"/>
  <c r="X295" i="46"/>
  <c r="AE295" i="46" s="1"/>
  <c r="AL295" i="46"/>
  <c r="AM295" i="46" s="1"/>
  <c r="X220" i="46"/>
  <c r="AE220" i="46" s="1"/>
  <c r="AL220" i="46"/>
  <c r="AM220" i="46" s="1"/>
  <c r="AN220" i="46"/>
  <c r="AO220" i="46" s="1"/>
  <c r="Y162" i="46"/>
  <c r="AF162" i="46" s="1"/>
  <c r="AL162" i="46"/>
  <c r="AM162" i="46" s="1"/>
  <c r="X141" i="46"/>
  <c r="AE141" i="46" s="1"/>
  <c r="AL141" i="46"/>
  <c r="AM141" i="46" s="1"/>
  <c r="AN141" i="46"/>
  <c r="AO141" i="46" s="1"/>
  <c r="AN121" i="46"/>
  <c r="AO121" i="46" s="1"/>
  <c r="AN270" i="46"/>
  <c r="AO270" i="46" s="1"/>
  <c r="Y262" i="46"/>
  <c r="AF262" i="46" s="1"/>
  <c r="AN254" i="46"/>
  <c r="AO254" i="46" s="1"/>
  <c r="Y252" i="46"/>
  <c r="AF252" i="46" s="1"/>
  <c r="AN240" i="46"/>
  <c r="AO240" i="46" s="1"/>
  <c r="AL222" i="46"/>
  <c r="AM222" i="46" s="1"/>
  <c r="AN161" i="46"/>
  <c r="AO161" i="46" s="1"/>
  <c r="Y157" i="46"/>
  <c r="AF157" i="46" s="1"/>
  <c r="AL124" i="46"/>
  <c r="AM124" i="46" s="1"/>
  <c r="AL117" i="46"/>
  <c r="AM117" i="46" s="1"/>
  <c r="AN84" i="46"/>
  <c r="AO84" i="46" s="1"/>
  <c r="AL12" i="46"/>
  <c r="AM12" i="46" s="1"/>
  <c r="AN293" i="46"/>
  <c r="AO293" i="46" s="1"/>
  <c r="Y282" i="46"/>
  <c r="AF282" i="46" s="1"/>
  <c r="Y281" i="46"/>
  <c r="AF281" i="46" s="1"/>
  <c r="Y278" i="46"/>
  <c r="AF278" i="46" s="1"/>
  <c r="AL270" i="46"/>
  <c r="AM270" i="46" s="1"/>
  <c r="Y263" i="46"/>
  <c r="AF263" i="46" s="1"/>
  <c r="X262" i="46"/>
  <c r="AE262" i="46" s="1"/>
  <c r="X257" i="46"/>
  <c r="AE257" i="46" s="1"/>
  <c r="X252" i="46"/>
  <c r="AE252" i="46" s="1"/>
  <c r="Y251" i="46"/>
  <c r="AF251" i="46" s="1"/>
  <c r="X94" i="46"/>
  <c r="AE94" i="46" s="1"/>
  <c r="AL254" i="46"/>
  <c r="AM254" i="46" s="1"/>
  <c r="AL240" i="46"/>
  <c r="AM240" i="46" s="1"/>
  <c r="AL238" i="46"/>
  <c r="AM238" i="46" s="1"/>
  <c r="AN110" i="46"/>
  <c r="AO110" i="46" s="1"/>
  <c r="AN307" i="46"/>
  <c r="AO307" i="46" s="1"/>
  <c r="AN288" i="46"/>
  <c r="AO288" i="46" s="1"/>
  <c r="Y275" i="46"/>
  <c r="AF275" i="46" s="1"/>
  <c r="AN264" i="46"/>
  <c r="AO264" i="46" s="1"/>
  <c r="AN263" i="46"/>
  <c r="AO263" i="46" s="1"/>
  <c r="AN261" i="46"/>
  <c r="AO261" i="46" s="1"/>
  <c r="AN252" i="46"/>
  <c r="AO252" i="46" s="1"/>
  <c r="Y249" i="46"/>
  <c r="AF249" i="46" s="1"/>
  <c r="AN246" i="46"/>
  <c r="AO246" i="46" s="1"/>
  <c r="AN245" i="46"/>
  <c r="AO245" i="46" s="1"/>
  <c r="X244" i="46"/>
  <c r="AE244" i="46" s="1"/>
  <c r="X183" i="46"/>
  <c r="AE183" i="46" s="1"/>
  <c r="AL178" i="46"/>
  <c r="AM178" i="46" s="1"/>
  <c r="AN154" i="46"/>
  <c r="AO154" i="46" s="1"/>
  <c r="AL151" i="46"/>
  <c r="AM151" i="46" s="1"/>
  <c r="X124" i="46"/>
  <c r="AE124" i="46" s="1"/>
  <c r="AL110" i="46"/>
  <c r="AM110" i="46" s="1"/>
  <c r="AN88" i="46"/>
  <c r="AO88" i="46" s="1"/>
  <c r="X75" i="46"/>
  <c r="AE75" i="46" s="1"/>
  <c r="AN281" i="46"/>
  <c r="AO281" i="46" s="1"/>
  <c r="AL278" i="46"/>
  <c r="AM278" i="46" s="1"/>
  <c r="AL268" i="46"/>
  <c r="AM268" i="46" s="1"/>
  <c r="AL264" i="46"/>
  <c r="AM264" i="46" s="1"/>
  <c r="AN262" i="46"/>
  <c r="AO262" i="46" s="1"/>
  <c r="AL261" i="46"/>
  <c r="AM261" i="46" s="1"/>
  <c r="AL252" i="46"/>
  <c r="AM252" i="46" s="1"/>
  <c r="AN251" i="46"/>
  <c r="AO251" i="46" s="1"/>
  <c r="AN226" i="46"/>
  <c r="AO226" i="46" s="1"/>
  <c r="X223" i="46"/>
  <c r="AE223" i="46" s="1"/>
  <c r="Y222" i="46"/>
  <c r="AF222" i="46" s="1"/>
  <c r="AN216" i="46"/>
  <c r="AO216" i="46" s="1"/>
  <c r="X211" i="46"/>
  <c r="AE211" i="46" s="1"/>
  <c r="AN191" i="46"/>
  <c r="AO191" i="46" s="1"/>
  <c r="Y187" i="46"/>
  <c r="AF187" i="46" s="1"/>
  <c r="AN157" i="46"/>
  <c r="AO157" i="46" s="1"/>
  <c r="AL88" i="46"/>
  <c r="AM88" i="46" s="1"/>
  <c r="AN352" i="46"/>
  <c r="AO352" i="46" s="1"/>
  <c r="AL312" i="46"/>
  <c r="AM312" i="46" s="1"/>
  <c r="AL296" i="46"/>
  <c r="AM296" i="46" s="1"/>
  <c r="AL291" i="46"/>
  <c r="AM291" i="46" s="1"/>
  <c r="AN282" i="46"/>
  <c r="AO282" i="46" s="1"/>
  <c r="AL281" i="46"/>
  <c r="AM281" i="46" s="1"/>
  <c r="AL279" i="46"/>
  <c r="AM279" i="46" s="1"/>
  <c r="AL263" i="46"/>
  <c r="AM263" i="46" s="1"/>
  <c r="X254" i="46"/>
  <c r="AE254" i="46" s="1"/>
  <c r="AL246" i="46"/>
  <c r="AM246" i="46" s="1"/>
  <c r="X240" i="46"/>
  <c r="AE240" i="46" s="1"/>
  <c r="X238" i="46"/>
  <c r="AE238" i="46" s="1"/>
  <c r="AN207" i="46"/>
  <c r="AO207" i="46" s="1"/>
  <c r="AL191" i="46"/>
  <c r="AM191" i="46" s="1"/>
  <c r="AL169" i="46"/>
  <c r="AM169" i="46" s="1"/>
  <c r="Y151" i="46"/>
  <c r="AF151" i="46" s="1"/>
  <c r="X110" i="46"/>
  <c r="AE110" i="46" s="1"/>
  <c r="X271" i="46"/>
  <c r="AE271" i="46" s="1"/>
  <c r="AL271" i="46"/>
  <c r="AM271" i="46" s="1"/>
  <c r="AN271" i="46"/>
  <c r="AO271" i="46" s="1"/>
  <c r="X235" i="46"/>
  <c r="AE235" i="46" s="1"/>
  <c r="AL235" i="46"/>
  <c r="AM235" i="46" s="1"/>
  <c r="AN235" i="46"/>
  <c r="AO235" i="46" s="1"/>
  <c r="AL24" i="46"/>
  <c r="AM24" i="46" s="1"/>
  <c r="AN381" i="46"/>
  <c r="AO381" i="46" s="1"/>
  <c r="AN377" i="46"/>
  <c r="AO377" i="46" s="1"/>
  <c r="X377" i="46"/>
  <c r="AE377" i="46" s="1"/>
  <c r="AN374" i="46"/>
  <c r="AO374" i="46" s="1"/>
  <c r="X374" i="46"/>
  <c r="AE374" i="46" s="1"/>
  <c r="Y369" i="46"/>
  <c r="AF369" i="46" s="1"/>
  <c r="X364" i="46"/>
  <c r="AE364" i="46" s="1"/>
  <c r="AN364" i="46"/>
  <c r="AO364" i="46" s="1"/>
  <c r="X363" i="46"/>
  <c r="AE363" i="46" s="1"/>
  <c r="Y362" i="46"/>
  <c r="AF362" i="46" s="1"/>
  <c r="AL336" i="46"/>
  <c r="AM336" i="46" s="1"/>
  <c r="AN336" i="46"/>
  <c r="AO336" i="46" s="1"/>
  <c r="X329" i="46"/>
  <c r="AE329" i="46" s="1"/>
  <c r="AL329" i="46"/>
  <c r="AM329" i="46" s="1"/>
  <c r="X322" i="46"/>
  <c r="AE322" i="46" s="1"/>
  <c r="AN322" i="46"/>
  <c r="AO322" i="46" s="1"/>
  <c r="Y322" i="46"/>
  <c r="AF322" i="46" s="1"/>
  <c r="Y309" i="46"/>
  <c r="AF309" i="46" s="1"/>
  <c r="AL309" i="46"/>
  <c r="AM309" i="46" s="1"/>
  <c r="AN370" i="46"/>
  <c r="AO370" i="46" s="1"/>
  <c r="AL364" i="46"/>
  <c r="AM364" i="46" s="1"/>
  <c r="AN363" i="46"/>
  <c r="AO363" i="46" s="1"/>
  <c r="X351" i="46"/>
  <c r="AE351" i="46" s="1"/>
  <c r="AN351" i="46"/>
  <c r="AO351" i="46" s="1"/>
  <c r="Y351" i="46"/>
  <c r="AF351" i="46" s="1"/>
  <c r="Y305" i="46"/>
  <c r="AF305" i="46" s="1"/>
  <c r="AL305" i="46"/>
  <c r="AM305" i="46" s="1"/>
  <c r="AL241" i="46"/>
  <c r="AM241" i="46" s="1"/>
  <c r="Y241" i="46"/>
  <c r="AF241" i="46" s="1"/>
  <c r="AN241" i="46"/>
  <c r="AO241" i="46" s="1"/>
  <c r="AL384" i="46"/>
  <c r="AM384" i="46" s="1"/>
  <c r="AN373" i="46"/>
  <c r="AO373" i="46" s="1"/>
  <c r="AL369" i="46"/>
  <c r="AM369" i="46" s="1"/>
  <c r="Y354" i="46"/>
  <c r="AF354" i="46" s="1"/>
  <c r="AL354" i="46"/>
  <c r="AM354" i="46" s="1"/>
  <c r="X337" i="46"/>
  <c r="AE337" i="46" s="1"/>
  <c r="AN337" i="46"/>
  <c r="AO337" i="46" s="1"/>
  <c r="Y337" i="46"/>
  <c r="AF337" i="46" s="1"/>
  <c r="AL304" i="46"/>
  <c r="AM304" i="46" s="1"/>
  <c r="AN304" i="46"/>
  <c r="AO304" i="46" s="1"/>
  <c r="AN273" i="46"/>
  <c r="AO273" i="46" s="1"/>
  <c r="AL273" i="46"/>
  <c r="AM273" i="46" s="1"/>
  <c r="AL267" i="46"/>
  <c r="AM267" i="46" s="1"/>
  <c r="X267" i="46"/>
  <c r="AE267" i="46" s="1"/>
  <c r="AN267" i="46"/>
  <c r="AO267" i="46" s="1"/>
  <c r="AL370" i="46"/>
  <c r="AM370" i="46" s="1"/>
  <c r="AL280" i="46"/>
  <c r="AM280" i="46" s="1"/>
  <c r="X280" i="46"/>
  <c r="AE280" i="46" s="1"/>
  <c r="AN280" i="46"/>
  <c r="AO280" i="46" s="1"/>
  <c r="AL383" i="46"/>
  <c r="AM383" i="46" s="1"/>
  <c r="AN372" i="46"/>
  <c r="AO372" i="46" s="1"/>
  <c r="AN368" i="46"/>
  <c r="AO368" i="46" s="1"/>
  <c r="AL363" i="46"/>
  <c r="AM363" i="46" s="1"/>
  <c r="AL355" i="46"/>
  <c r="AM355" i="46" s="1"/>
  <c r="X355" i="46"/>
  <c r="AE355" i="46" s="1"/>
  <c r="AN355" i="46"/>
  <c r="AO355" i="46" s="1"/>
  <c r="AL351" i="46"/>
  <c r="AM351" i="46" s="1"/>
  <c r="AL350" i="46"/>
  <c r="AM350" i="46" s="1"/>
  <c r="X350" i="46"/>
  <c r="AE350" i="46" s="1"/>
  <c r="AN350" i="46"/>
  <c r="AO350" i="46" s="1"/>
  <c r="Y319" i="46"/>
  <c r="AF319" i="46" s="1"/>
  <c r="AL319" i="46"/>
  <c r="AM319" i="46" s="1"/>
  <c r="AN309" i="46"/>
  <c r="AO309" i="46" s="1"/>
  <c r="AN305" i="46"/>
  <c r="AO305" i="46" s="1"/>
  <c r="AL260" i="46"/>
  <c r="AM260" i="46" s="1"/>
  <c r="X260" i="46"/>
  <c r="AE260" i="46" s="1"/>
  <c r="AN260" i="46"/>
  <c r="AO260" i="46" s="1"/>
  <c r="Y260" i="46"/>
  <c r="AF260" i="46" s="1"/>
  <c r="AL247" i="46"/>
  <c r="AM247" i="46" s="1"/>
  <c r="Y247" i="46"/>
  <c r="AF247" i="46" s="1"/>
  <c r="AN247" i="46"/>
  <c r="AO247" i="46" s="1"/>
  <c r="AL362" i="46"/>
  <c r="AM362" i="46" s="1"/>
  <c r="X362" i="46"/>
  <c r="AE362" i="46" s="1"/>
  <c r="AN362" i="46"/>
  <c r="AO362" i="46" s="1"/>
  <c r="AL377" i="46"/>
  <c r="AM377" i="46" s="1"/>
  <c r="AL380" i="46"/>
  <c r="AM380" i="46" s="1"/>
  <c r="AN382" i="46"/>
  <c r="AO382" i="46" s="1"/>
  <c r="AN378" i="46"/>
  <c r="AO378" i="46" s="1"/>
  <c r="AL376" i="46"/>
  <c r="AM376" i="46" s="1"/>
  <c r="AL373" i="46"/>
  <c r="AM373" i="46" s="1"/>
  <c r="X366" i="46"/>
  <c r="AE366" i="46" s="1"/>
  <c r="AL360" i="46"/>
  <c r="AM360" i="46" s="1"/>
  <c r="AN359" i="46"/>
  <c r="AO359" i="46" s="1"/>
  <c r="X357" i="46"/>
  <c r="AE357" i="46" s="1"/>
  <c r="AN357" i="46"/>
  <c r="AO357" i="46" s="1"/>
  <c r="X356" i="46"/>
  <c r="AE356" i="46" s="1"/>
  <c r="AN354" i="46"/>
  <c r="AO354" i="46" s="1"/>
  <c r="Y326" i="46"/>
  <c r="AF326" i="46" s="1"/>
  <c r="AL326" i="46"/>
  <c r="AM326" i="46" s="1"/>
  <c r="AL381" i="46"/>
  <c r="AM381" i="46" s="1"/>
  <c r="AL379" i="46"/>
  <c r="AM379" i="46" s="1"/>
  <c r="AL359" i="46"/>
  <c r="AM359" i="46" s="1"/>
  <c r="AN344" i="46"/>
  <c r="AO344" i="46" s="1"/>
  <c r="AN329" i="46"/>
  <c r="AO329" i="46" s="1"/>
  <c r="AL322" i="46"/>
  <c r="AM322" i="46" s="1"/>
  <c r="X316" i="46"/>
  <c r="AE316" i="46" s="1"/>
  <c r="AN316" i="46"/>
  <c r="AO316" i="46" s="1"/>
  <c r="Y316" i="46"/>
  <c r="AF316" i="46" s="1"/>
  <c r="Y346" i="46"/>
  <c r="AF346" i="46" s="1"/>
  <c r="Y343" i="46"/>
  <c r="AF343" i="46" s="1"/>
  <c r="AN328" i="46"/>
  <c r="AO328" i="46" s="1"/>
  <c r="X328" i="46"/>
  <c r="AE328" i="46" s="1"/>
  <c r="X324" i="46"/>
  <c r="AE324" i="46" s="1"/>
  <c r="AN321" i="46"/>
  <c r="AO321" i="46" s="1"/>
  <c r="X321" i="46"/>
  <c r="AE321" i="46" s="1"/>
  <c r="AN318" i="46"/>
  <c r="AO318" i="46" s="1"/>
  <c r="X318" i="46"/>
  <c r="AE318" i="46" s="1"/>
  <c r="AN315" i="46"/>
  <c r="AO315" i="46" s="1"/>
  <c r="X315" i="46"/>
  <c r="AE315" i="46" s="1"/>
  <c r="Y284" i="46"/>
  <c r="AF284" i="46" s="1"/>
  <c r="AL255" i="46"/>
  <c r="AM255" i="46" s="1"/>
  <c r="Y255" i="46"/>
  <c r="AF255" i="46" s="1"/>
  <c r="AL227" i="46"/>
  <c r="AM227" i="46" s="1"/>
  <c r="Y227" i="46"/>
  <c r="AF227" i="46" s="1"/>
  <c r="X302" i="46"/>
  <c r="AE302" i="46" s="1"/>
  <c r="AN302" i="46"/>
  <c r="AO302" i="46" s="1"/>
  <c r="AL274" i="46"/>
  <c r="AM274" i="46" s="1"/>
  <c r="X274" i="46"/>
  <c r="AE274" i="46" s="1"/>
  <c r="X221" i="46"/>
  <c r="AE221" i="46" s="1"/>
  <c r="AN221" i="46"/>
  <c r="AO221" i="46" s="1"/>
  <c r="Y221" i="46"/>
  <c r="AF221" i="46" s="1"/>
  <c r="X198" i="46"/>
  <c r="AE198" i="46" s="1"/>
  <c r="AL185" i="46"/>
  <c r="AM185" i="46" s="1"/>
  <c r="AN185" i="46"/>
  <c r="AO185" i="46" s="1"/>
  <c r="Y185" i="46"/>
  <c r="AF185" i="46" s="1"/>
  <c r="Y349" i="46"/>
  <c r="AF349" i="46" s="1"/>
  <c r="AL328" i="46"/>
  <c r="AM328" i="46" s="1"/>
  <c r="Y327" i="46"/>
  <c r="AF327" i="46" s="1"/>
  <c r="AN324" i="46"/>
  <c r="AO324" i="46" s="1"/>
  <c r="AL321" i="46"/>
  <c r="AM321" i="46" s="1"/>
  <c r="Y320" i="46"/>
  <c r="AF320" i="46" s="1"/>
  <c r="AL318" i="46"/>
  <c r="AM318" i="46" s="1"/>
  <c r="AL315" i="46"/>
  <c r="AM315" i="46" s="1"/>
  <c r="AL289" i="46"/>
  <c r="AM289" i="46" s="1"/>
  <c r="X289" i="46"/>
  <c r="AE289" i="46" s="1"/>
  <c r="X287" i="46"/>
  <c r="AE287" i="46" s="1"/>
  <c r="AN287" i="46"/>
  <c r="AO287" i="46" s="1"/>
  <c r="X285" i="46"/>
  <c r="AE285" i="46" s="1"/>
  <c r="AN285" i="46"/>
  <c r="AO285" i="46" s="1"/>
  <c r="X265" i="46"/>
  <c r="AE265" i="46" s="1"/>
  <c r="AN265" i="46"/>
  <c r="AO265" i="46" s="1"/>
  <c r="Y265" i="46"/>
  <c r="AF265" i="46" s="1"/>
  <c r="AL265" i="46"/>
  <c r="AM265" i="46" s="1"/>
  <c r="X232" i="46"/>
  <c r="AE232" i="46" s="1"/>
  <c r="AN232" i="46"/>
  <c r="AO232" i="46" s="1"/>
  <c r="Y232" i="46"/>
  <c r="AF232" i="46" s="1"/>
  <c r="AL232" i="46"/>
  <c r="AM232" i="46" s="1"/>
  <c r="X210" i="46"/>
  <c r="AE210" i="46" s="1"/>
  <c r="AL210" i="46"/>
  <c r="AM210" i="46" s="1"/>
  <c r="AN210" i="46"/>
  <c r="AO210" i="46" s="1"/>
  <c r="AL353" i="46"/>
  <c r="AM353" i="46" s="1"/>
  <c r="AN349" i="46"/>
  <c r="AO349" i="46" s="1"/>
  <c r="X349" i="46"/>
  <c r="AE349" i="46" s="1"/>
  <c r="AL346" i="46"/>
  <c r="AM346" i="46" s="1"/>
  <c r="AL343" i="46"/>
  <c r="AM343" i="46" s="1"/>
  <c r="X341" i="46"/>
  <c r="AE341" i="46" s="1"/>
  <c r="AL335" i="46"/>
  <c r="AM335" i="46" s="1"/>
  <c r="X331" i="46"/>
  <c r="AE331" i="46" s="1"/>
  <c r="AN327" i="46"/>
  <c r="AO327" i="46" s="1"/>
  <c r="X327" i="46"/>
  <c r="AE327" i="46" s="1"/>
  <c r="AL325" i="46"/>
  <c r="AM325" i="46" s="1"/>
  <c r="AN320" i="46"/>
  <c r="AO320" i="46" s="1"/>
  <c r="X320" i="46"/>
  <c r="AE320" i="46" s="1"/>
  <c r="X310" i="46"/>
  <c r="AE310" i="46" s="1"/>
  <c r="AL308" i="46"/>
  <c r="AM308" i="46" s="1"/>
  <c r="X306" i="46"/>
  <c r="AE306" i="46" s="1"/>
  <c r="AL303" i="46"/>
  <c r="AM303" i="46" s="1"/>
  <c r="AL302" i="46"/>
  <c r="AM302" i="46" s="1"/>
  <c r="AN301" i="46"/>
  <c r="AO301" i="46" s="1"/>
  <c r="AN269" i="46"/>
  <c r="AO269" i="46" s="1"/>
  <c r="X269" i="46"/>
  <c r="AE269" i="46" s="1"/>
  <c r="Y248" i="46"/>
  <c r="AF248" i="46" s="1"/>
  <c r="X212" i="46"/>
  <c r="AE212" i="46" s="1"/>
  <c r="AN212" i="46"/>
  <c r="AO212" i="46" s="1"/>
  <c r="Y202" i="46"/>
  <c r="AF202" i="46" s="1"/>
  <c r="AL48" i="46"/>
  <c r="AM48" i="46" s="1"/>
  <c r="AL324" i="46"/>
  <c r="AM324" i="46" s="1"/>
  <c r="X297" i="46"/>
  <c r="AE297" i="46" s="1"/>
  <c r="AL297" i="46"/>
  <c r="AM297" i="46" s="1"/>
  <c r="Y295" i="46"/>
  <c r="AF295" i="46" s="1"/>
  <c r="AN291" i="46"/>
  <c r="AO291" i="46" s="1"/>
  <c r="AN284" i="46"/>
  <c r="AO284" i="46" s="1"/>
  <c r="AN279" i="46"/>
  <c r="AO279" i="46" s="1"/>
  <c r="X277" i="46"/>
  <c r="AE277" i="46" s="1"/>
  <c r="AL277" i="46"/>
  <c r="AM277" i="46" s="1"/>
  <c r="AN277" i="46"/>
  <c r="AO277" i="46" s="1"/>
  <c r="AL258" i="46"/>
  <c r="AM258" i="46" s="1"/>
  <c r="X258" i="46"/>
  <c r="AE258" i="46" s="1"/>
  <c r="AN258" i="46"/>
  <c r="AO258" i="46" s="1"/>
  <c r="X242" i="46"/>
  <c r="AE242" i="46" s="1"/>
  <c r="AL242" i="46"/>
  <c r="AM242" i="46" s="1"/>
  <c r="AN242" i="46"/>
  <c r="AO242" i="46" s="1"/>
  <c r="X71" i="46"/>
  <c r="AE71" i="46" s="1"/>
  <c r="AN71" i="46"/>
  <c r="AO71" i="46" s="1"/>
  <c r="AN295" i="46"/>
  <c r="AO295" i="46" s="1"/>
  <c r="X293" i="46"/>
  <c r="AE293" i="46" s="1"/>
  <c r="AL293" i="46"/>
  <c r="AM293" i="46" s="1"/>
  <c r="AN289" i="46"/>
  <c r="AO289" i="46" s="1"/>
  <c r="AL287" i="46"/>
  <c r="AM287" i="46" s="1"/>
  <c r="AL285" i="46"/>
  <c r="AM285" i="46" s="1"/>
  <c r="AL284" i="46"/>
  <c r="AM284" i="46" s="1"/>
  <c r="AN266" i="46"/>
  <c r="AO266" i="46" s="1"/>
  <c r="X256" i="46"/>
  <c r="AE256" i="46" s="1"/>
  <c r="AN256" i="46"/>
  <c r="AO256" i="46" s="1"/>
  <c r="Y256" i="46"/>
  <c r="AF256" i="46" s="1"/>
  <c r="AL256" i="46"/>
  <c r="AM256" i="46" s="1"/>
  <c r="AL231" i="46"/>
  <c r="AM231" i="46" s="1"/>
  <c r="Y231" i="46"/>
  <c r="AF231" i="46" s="1"/>
  <c r="Y228" i="46"/>
  <c r="AF228" i="46" s="1"/>
  <c r="X214" i="46"/>
  <c r="AE214" i="46" s="1"/>
  <c r="AL214" i="46"/>
  <c r="AM214" i="46" s="1"/>
  <c r="Y214" i="46"/>
  <c r="AF214" i="46" s="1"/>
  <c r="AN214" i="46"/>
  <c r="AO214" i="46" s="1"/>
  <c r="AL244" i="46"/>
  <c r="AM244" i="46" s="1"/>
  <c r="AL225" i="46"/>
  <c r="AM225" i="46" s="1"/>
  <c r="AL224" i="46"/>
  <c r="AM224" i="46" s="1"/>
  <c r="AL219" i="46"/>
  <c r="AM219" i="46" s="1"/>
  <c r="X219" i="46"/>
  <c r="AE219" i="46" s="1"/>
  <c r="AN219" i="46"/>
  <c r="AO219" i="46" s="1"/>
  <c r="Y215" i="46"/>
  <c r="AF215" i="46" s="1"/>
  <c r="AN215" i="46"/>
  <c r="AO215" i="46" s="1"/>
  <c r="X149" i="46"/>
  <c r="AE149" i="46" s="1"/>
  <c r="AL149" i="46"/>
  <c r="AM149" i="46" s="1"/>
  <c r="AN149" i="46"/>
  <c r="AO149" i="46" s="1"/>
  <c r="Y257" i="46"/>
  <c r="AF257" i="46" s="1"/>
  <c r="X253" i="46"/>
  <c r="AE253" i="46" s="1"/>
  <c r="AN250" i="46"/>
  <c r="AO250" i="46" s="1"/>
  <c r="X250" i="46"/>
  <c r="AE250" i="46" s="1"/>
  <c r="X239" i="46"/>
  <c r="AE239" i="46" s="1"/>
  <c r="Y230" i="46"/>
  <c r="AF230" i="46" s="1"/>
  <c r="Y226" i="46"/>
  <c r="AF226" i="46" s="1"/>
  <c r="Y165" i="46"/>
  <c r="AF165" i="46" s="1"/>
  <c r="AL165" i="46"/>
  <c r="AM165" i="46" s="1"/>
  <c r="AN165" i="46"/>
  <c r="AO165" i="46" s="1"/>
  <c r="Y201" i="46"/>
  <c r="AF201" i="46" s="1"/>
  <c r="AL201" i="46"/>
  <c r="AM201" i="46" s="1"/>
  <c r="AN201" i="46"/>
  <c r="AO201" i="46" s="1"/>
  <c r="AN197" i="46"/>
  <c r="AO197" i="46" s="1"/>
  <c r="Y197" i="46"/>
  <c r="AF197" i="46" s="1"/>
  <c r="AL197" i="46"/>
  <c r="AM197" i="46" s="1"/>
  <c r="Y146" i="46"/>
  <c r="AF146" i="46" s="1"/>
  <c r="AL146" i="46"/>
  <c r="AM146" i="46" s="1"/>
  <c r="AN146" i="46"/>
  <c r="AO146" i="46" s="1"/>
  <c r="AN253" i="46"/>
  <c r="AO253" i="46" s="1"/>
  <c r="AL250" i="46"/>
  <c r="AM250" i="46" s="1"/>
  <c r="AN239" i="46"/>
  <c r="AO239" i="46" s="1"/>
  <c r="AL211" i="46"/>
  <c r="AM211" i="46" s="1"/>
  <c r="AL193" i="46"/>
  <c r="AM193" i="46" s="1"/>
  <c r="AN193" i="46"/>
  <c r="AO193" i="46" s="1"/>
  <c r="Y193" i="46"/>
  <c r="AF193" i="46" s="1"/>
  <c r="AL189" i="46"/>
  <c r="AM189" i="46" s="1"/>
  <c r="AN189" i="46"/>
  <c r="AO189" i="46" s="1"/>
  <c r="X189" i="46"/>
  <c r="AE189" i="46" s="1"/>
  <c r="X143" i="46"/>
  <c r="AE143" i="46" s="1"/>
  <c r="AL143" i="46"/>
  <c r="AM143" i="46" s="1"/>
  <c r="AN143" i="46"/>
  <c r="AO143" i="46" s="1"/>
  <c r="X43" i="46"/>
  <c r="AE43" i="46" s="1"/>
  <c r="AL43" i="46"/>
  <c r="AM43" i="46" s="1"/>
  <c r="AN43" i="46"/>
  <c r="AO43" i="46" s="1"/>
  <c r="AL257" i="46"/>
  <c r="AM257" i="46" s="1"/>
  <c r="AL230" i="46"/>
  <c r="AM230" i="46" s="1"/>
  <c r="AL226" i="46"/>
  <c r="AM226" i="46" s="1"/>
  <c r="AL215" i="46"/>
  <c r="AM215" i="46" s="1"/>
  <c r="X204" i="46"/>
  <c r="AE204" i="46" s="1"/>
  <c r="AN225" i="46"/>
  <c r="AO225" i="46" s="1"/>
  <c r="AN224" i="46"/>
  <c r="AO224" i="46" s="1"/>
  <c r="AN223" i="46"/>
  <c r="AO223" i="46" s="1"/>
  <c r="Y220" i="46"/>
  <c r="AF220" i="46" s="1"/>
  <c r="X218" i="46"/>
  <c r="AE218" i="46" s="1"/>
  <c r="Y218" i="46"/>
  <c r="AF218" i="46" s="1"/>
  <c r="AN203" i="46"/>
  <c r="AO203" i="46" s="1"/>
  <c r="X104" i="46"/>
  <c r="AE104" i="46" s="1"/>
  <c r="AL104" i="46"/>
  <c r="AM104" i="46" s="1"/>
  <c r="X92" i="46"/>
  <c r="AE92" i="46" s="1"/>
  <c r="AL92" i="46"/>
  <c r="AM92" i="46" s="1"/>
  <c r="AL200" i="46"/>
  <c r="AM200" i="46" s="1"/>
  <c r="AL183" i="46"/>
  <c r="AM183" i="46" s="1"/>
  <c r="Y173" i="46"/>
  <c r="AF173" i="46" s="1"/>
  <c r="AN164" i="46"/>
  <c r="AO164" i="46" s="1"/>
  <c r="AN162" i="46"/>
  <c r="AO162" i="46" s="1"/>
  <c r="AL161" i="46"/>
  <c r="AM161" i="46" s="1"/>
  <c r="AL154" i="46"/>
  <c r="AM154" i="46" s="1"/>
  <c r="AN148" i="46"/>
  <c r="AO148" i="46" s="1"/>
  <c r="AN145" i="46"/>
  <c r="AO145" i="46" s="1"/>
  <c r="AN142" i="46"/>
  <c r="AO142" i="46" s="1"/>
  <c r="AL112" i="46"/>
  <c r="AM112" i="46" s="1"/>
  <c r="X108" i="46"/>
  <c r="AE108" i="46" s="1"/>
  <c r="Y102" i="46"/>
  <c r="AF102" i="46" s="1"/>
  <c r="X96" i="46"/>
  <c r="AE96" i="46" s="1"/>
  <c r="Y86" i="46"/>
  <c r="AF86" i="46" s="1"/>
  <c r="AL69" i="46"/>
  <c r="AM69" i="46" s="1"/>
  <c r="X66" i="46"/>
  <c r="AE66" i="46" s="1"/>
  <c r="X53" i="46"/>
  <c r="AE53" i="46" s="1"/>
  <c r="AL51" i="46"/>
  <c r="AM51" i="46" s="1"/>
  <c r="AL49" i="46"/>
  <c r="AM49" i="46" s="1"/>
  <c r="AN47" i="46"/>
  <c r="AO47" i="46" s="1"/>
  <c r="AN45" i="46"/>
  <c r="AO45" i="46" s="1"/>
  <c r="AL42" i="46"/>
  <c r="AM42" i="46" s="1"/>
  <c r="Y41" i="46"/>
  <c r="AF41" i="46" s="1"/>
  <c r="AL39" i="46"/>
  <c r="AM39" i="46" s="1"/>
  <c r="X37" i="46"/>
  <c r="AE37" i="46" s="1"/>
  <c r="AL35" i="46"/>
  <c r="AM35" i="46" s="1"/>
  <c r="X33" i="46"/>
  <c r="AE33" i="46" s="1"/>
  <c r="AL31" i="46"/>
  <c r="AM31" i="46" s="1"/>
  <c r="X29" i="46"/>
  <c r="AE29" i="46" s="1"/>
  <c r="AL14" i="46"/>
  <c r="AM14" i="46" s="1"/>
  <c r="Y12" i="46"/>
  <c r="AF12" i="46" s="1"/>
  <c r="AL148" i="46"/>
  <c r="AM148" i="46" s="1"/>
  <c r="AL118" i="46"/>
  <c r="AM118" i="46" s="1"/>
  <c r="AL74" i="46"/>
  <c r="AM74" i="46" s="1"/>
  <c r="Y67" i="46"/>
  <c r="AF67" i="46" s="1"/>
  <c r="Y25" i="46"/>
  <c r="AF25" i="46" s="1"/>
  <c r="AL188" i="46"/>
  <c r="AM188" i="46" s="1"/>
  <c r="AN172" i="46"/>
  <c r="AO172" i="46" s="1"/>
  <c r="Y139" i="46"/>
  <c r="AF139" i="46" s="1"/>
  <c r="Y138" i="46"/>
  <c r="AF138" i="46" s="1"/>
  <c r="X130" i="46"/>
  <c r="AE130" i="46" s="1"/>
  <c r="AL128" i="46"/>
  <c r="AM128" i="46" s="1"/>
  <c r="AN125" i="46"/>
  <c r="AO125" i="46" s="1"/>
  <c r="Y117" i="46"/>
  <c r="AF117" i="46" s="1"/>
  <c r="AN108" i="46"/>
  <c r="AO108" i="46" s="1"/>
  <c r="AN102" i="46"/>
  <c r="AO102" i="46" s="1"/>
  <c r="Y100" i="46"/>
  <c r="AF100" i="46" s="1"/>
  <c r="X67" i="46"/>
  <c r="AE67" i="46" s="1"/>
  <c r="AL52" i="46"/>
  <c r="AM52" i="46" s="1"/>
  <c r="X51" i="46"/>
  <c r="AE51" i="46" s="1"/>
  <c r="X49" i="46"/>
  <c r="AE49" i="46" s="1"/>
  <c r="AL47" i="46"/>
  <c r="AM47" i="46" s="1"/>
  <c r="AL45" i="46"/>
  <c r="AM45" i="46" s="1"/>
  <c r="AL40" i="46"/>
  <c r="AM40" i="46" s="1"/>
  <c r="AN37" i="46"/>
  <c r="AO37" i="46" s="1"/>
  <c r="AL36" i="46"/>
  <c r="AM36" i="46" s="1"/>
  <c r="AN33" i="46"/>
  <c r="AO33" i="46" s="1"/>
  <c r="AL32" i="46"/>
  <c r="AM32" i="46" s="1"/>
  <c r="AN29" i="46"/>
  <c r="AO29" i="46" s="1"/>
  <c r="AL28" i="46"/>
  <c r="AM28" i="46" s="1"/>
  <c r="X25" i="46"/>
  <c r="AE25" i="46" s="1"/>
  <c r="AN173" i="46"/>
  <c r="AO173" i="46" s="1"/>
  <c r="AN168" i="46"/>
  <c r="AO168" i="46" s="1"/>
  <c r="AN138" i="46"/>
  <c r="AO138" i="46" s="1"/>
  <c r="Y125" i="46"/>
  <c r="AF125" i="46" s="1"/>
  <c r="Y118" i="46"/>
  <c r="AF118" i="46" s="1"/>
  <c r="AL108" i="46"/>
  <c r="AM108" i="46" s="1"/>
  <c r="AL102" i="46"/>
  <c r="AM102" i="46" s="1"/>
  <c r="AN100" i="46"/>
  <c r="AO100" i="46" s="1"/>
  <c r="AL66" i="46"/>
  <c r="AM66" i="46" s="1"/>
  <c r="X47" i="46"/>
  <c r="AE47" i="46" s="1"/>
  <c r="X45" i="46"/>
  <c r="AE45" i="46" s="1"/>
  <c r="AN41" i="46"/>
  <c r="AO41" i="46" s="1"/>
  <c r="X39" i="46"/>
  <c r="AE39" i="46" s="1"/>
  <c r="AL37" i="46"/>
  <c r="AM37" i="46" s="1"/>
  <c r="X35" i="46"/>
  <c r="AE35" i="46" s="1"/>
  <c r="AL33" i="46"/>
  <c r="AM33" i="46" s="1"/>
  <c r="X31" i="46"/>
  <c r="AE31" i="46" s="1"/>
  <c r="AL29" i="46"/>
  <c r="AM29" i="46" s="1"/>
  <c r="X14" i="46"/>
  <c r="AE14" i="46" s="1"/>
  <c r="AL25" i="46"/>
  <c r="AM25" i="46" s="1"/>
  <c r="AN176" i="46"/>
  <c r="AO176" i="46" s="1"/>
  <c r="AL157" i="46"/>
  <c r="AM157" i="46" s="1"/>
  <c r="AN153" i="46"/>
  <c r="AO153" i="46" s="1"/>
  <c r="AN112" i="46"/>
  <c r="AO112" i="46" s="1"/>
  <c r="AN69" i="46"/>
  <c r="AO69" i="46" s="1"/>
  <c r="AN67" i="46"/>
  <c r="AO67" i="46" s="1"/>
  <c r="AN51" i="46"/>
  <c r="AO51" i="46" s="1"/>
  <c r="AN49" i="46"/>
  <c r="AO49" i="46" s="1"/>
  <c r="AL44" i="46"/>
  <c r="AM44" i="46" s="1"/>
  <c r="AL41" i="46"/>
  <c r="AM41" i="46" s="1"/>
  <c r="AL38" i="46"/>
  <c r="AM38" i="46" s="1"/>
  <c r="AL34" i="46"/>
  <c r="AM34" i="46" s="1"/>
  <c r="AL30" i="46"/>
  <c r="AM30" i="46" s="1"/>
  <c r="AN14" i="46"/>
  <c r="AO14" i="46" s="1"/>
  <c r="AL167" i="46"/>
  <c r="AM167" i="46" s="1"/>
  <c r="AL160" i="46"/>
  <c r="AM160" i="46" s="1"/>
  <c r="Y160" i="46"/>
  <c r="AF160" i="46" s="1"/>
  <c r="AN217" i="46"/>
  <c r="AO217" i="46" s="1"/>
  <c r="X217" i="46"/>
  <c r="AE217" i="46" s="1"/>
  <c r="Y174" i="46"/>
  <c r="AF174" i="46" s="1"/>
  <c r="Y163" i="46"/>
  <c r="AF163" i="46" s="1"/>
  <c r="AL163" i="46"/>
  <c r="AM163" i="46" s="1"/>
  <c r="AN163" i="46"/>
  <c r="AO163" i="46" s="1"/>
  <c r="AN184" i="46"/>
  <c r="AO184" i="46" s="1"/>
  <c r="X140" i="46"/>
  <c r="AE140" i="46" s="1"/>
  <c r="AL140" i="46"/>
  <c r="AM140" i="46" s="1"/>
  <c r="AN140" i="46"/>
  <c r="AO140" i="46" s="1"/>
  <c r="AR7" i="46"/>
  <c r="P5" i="37" s="1"/>
  <c r="AL217" i="46"/>
  <c r="AM217" i="46" s="1"/>
  <c r="Y216" i="46"/>
  <c r="AF216" i="46" s="1"/>
  <c r="AN213" i="46"/>
  <c r="AO213" i="46" s="1"/>
  <c r="X213" i="46"/>
  <c r="AE213" i="46" s="1"/>
  <c r="AN205" i="46"/>
  <c r="AO205" i="46" s="1"/>
  <c r="X205" i="46"/>
  <c r="AE205" i="46" s="1"/>
  <c r="AN202" i="46"/>
  <c r="AO202" i="46" s="1"/>
  <c r="AN198" i="46"/>
  <c r="AO198" i="46" s="1"/>
  <c r="AN194" i="46"/>
  <c r="AO194" i="46" s="1"/>
  <c r="AN190" i="46"/>
  <c r="AO190" i="46" s="1"/>
  <c r="AL184" i="46"/>
  <c r="AM184" i="46" s="1"/>
  <c r="Y180" i="46"/>
  <c r="AF180" i="46" s="1"/>
  <c r="AN167" i="46"/>
  <c r="AO167" i="46" s="1"/>
  <c r="AL202" i="46"/>
  <c r="AM202" i="46" s="1"/>
  <c r="AL198" i="46"/>
  <c r="AM198" i="46" s="1"/>
  <c r="AL194" i="46"/>
  <c r="AM194" i="46" s="1"/>
  <c r="AL190" i="46"/>
  <c r="AM190" i="46" s="1"/>
  <c r="AN182" i="46"/>
  <c r="AO182" i="46" s="1"/>
  <c r="X175" i="46"/>
  <c r="AE175" i="46" s="1"/>
  <c r="AN175" i="46"/>
  <c r="AO175" i="46" s="1"/>
  <c r="AL175" i="46"/>
  <c r="AM175" i="46" s="1"/>
  <c r="AL159" i="46"/>
  <c r="AM159" i="46" s="1"/>
  <c r="AN159" i="46"/>
  <c r="AO159" i="46" s="1"/>
  <c r="AL131" i="46"/>
  <c r="AM131" i="46" s="1"/>
  <c r="AN131" i="46"/>
  <c r="AO131" i="46" s="1"/>
  <c r="Y131" i="46"/>
  <c r="AF131" i="46" s="1"/>
  <c r="AL216" i="46"/>
  <c r="AM216" i="46" s="1"/>
  <c r="AL213" i="46"/>
  <c r="AM213" i="46" s="1"/>
  <c r="AN209" i="46"/>
  <c r="AO209" i="46" s="1"/>
  <c r="X209" i="46"/>
  <c r="AE209" i="46" s="1"/>
  <c r="AL205" i="46"/>
  <c r="AM205" i="46" s="1"/>
  <c r="AL182" i="46"/>
  <c r="AM182" i="46" s="1"/>
  <c r="AN174" i="46"/>
  <c r="AO174" i="46" s="1"/>
  <c r="X170" i="46"/>
  <c r="AE170" i="46" s="1"/>
  <c r="AL170" i="46"/>
  <c r="AM170" i="46" s="1"/>
  <c r="AN160" i="46"/>
  <c r="AO160" i="46" s="1"/>
  <c r="AL144" i="46"/>
  <c r="AM144" i="46" s="1"/>
  <c r="AN144" i="46"/>
  <c r="AO144" i="46" s="1"/>
  <c r="Y144" i="46"/>
  <c r="AF144" i="46" s="1"/>
  <c r="AL212" i="46"/>
  <c r="AM212" i="46" s="1"/>
  <c r="AL204" i="46"/>
  <c r="AM204" i="46" s="1"/>
  <c r="AN200" i="46"/>
  <c r="AO200" i="46" s="1"/>
  <c r="AN196" i="46"/>
  <c r="AO196" i="46" s="1"/>
  <c r="AN192" i="46"/>
  <c r="AO192" i="46" s="1"/>
  <c r="AN188" i="46"/>
  <c r="AO188" i="46" s="1"/>
  <c r="Y184" i="46"/>
  <c r="AF184" i="46" s="1"/>
  <c r="AL180" i="46"/>
  <c r="AM180" i="46" s="1"/>
  <c r="X171" i="46"/>
  <c r="AE171" i="46" s="1"/>
  <c r="AN171" i="46"/>
  <c r="AO171" i="46" s="1"/>
  <c r="X167" i="46"/>
  <c r="AE167" i="46" s="1"/>
  <c r="AL164" i="46"/>
  <c r="AM164" i="46" s="1"/>
  <c r="AL156" i="46"/>
  <c r="AM156" i="46" s="1"/>
  <c r="AN155" i="46"/>
  <c r="AO155" i="46" s="1"/>
  <c r="X150" i="46"/>
  <c r="AE150" i="46" s="1"/>
  <c r="AL155" i="46"/>
  <c r="AM155" i="46" s="1"/>
  <c r="X152" i="46"/>
  <c r="AE152" i="46" s="1"/>
  <c r="X120" i="46"/>
  <c r="AE120" i="46" s="1"/>
  <c r="AL126" i="46"/>
  <c r="AM126" i="46" s="1"/>
  <c r="X126" i="46"/>
  <c r="AE126" i="46" s="1"/>
  <c r="AN126" i="46"/>
  <c r="AO126" i="46" s="1"/>
  <c r="AL152" i="46"/>
  <c r="AM152" i="46" s="1"/>
  <c r="X119" i="46"/>
  <c r="AE119" i="46" s="1"/>
  <c r="AN119" i="46"/>
  <c r="AO119" i="46" s="1"/>
  <c r="Y89" i="46"/>
  <c r="AF89" i="46" s="1"/>
  <c r="AN89" i="46"/>
  <c r="AO89" i="46" s="1"/>
  <c r="AL89" i="46"/>
  <c r="AM89" i="46" s="1"/>
  <c r="AL176" i="46"/>
  <c r="AM176" i="46" s="1"/>
  <c r="AN169" i="46"/>
  <c r="AO169" i="46" s="1"/>
  <c r="AN166" i="46"/>
  <c r="AO166" i="46" s="1"/>
  <c r="AN158" i="46"/>
  <c r="AO158" i="46" s="1"/>
  <c r="X142" i="46"/>
  <c r="AE142" i="46" s="1"/>
  <c r="AN120" i="46"/>
  <c r="AO120" i="46" s="1"/>
  <c r="AL116" i="46"/>
  <c r="AM116" i="46" s="1"/>
  <c r="X127" i="46"/>
  <c r="AE127" i="46" s="1"/>
  <c r="AN127" i="46"/>
  <c r="AO127" i="46" s="1"/>
  <c r="AN128" i="46"/>
  <c r="AO128" i="46" s="1"/>
  <c r="X128" i="46"/>
  <c r="AE128" i="46" s="1"/>
  <c r="X123" i="46"/>
  <c r="AE123" i="46" s="1"/>
  <c r="X122" i="46"/>
  <c r="AE122" i="46" s="1"/>
  <c r="Y111" i="46"/>
  <c r="AF111" i="46" s="1"/>
  <c r="AN111" i="46"/>
  <c r="AO111" i="46" s="1"/>
  <c r="X83" i="46"/>
  <c r="AE83" i="46" s="1"/>
  <c r="AN83" i="46"/>
  <c r="AO83" i="46" s="1"/>
  <c r="X79" i="46"/>
  <c r="AE79" i="46" s="1"/>
  <c r="AN79" i="46"/>
  <c r="AO79" i="46" s="1"/>
  <c r="X121" i="46"/>
  <c r="AE121" i="46" s="1"/>
  <c r="X105" i="46"/>
  <c r="AE105" i="46" s="1"/>
  <c r="AN105" i="46"/>
  <c r="AO105" i="46" s="1"/>
  <c r="Y101" i="46"/>
  <c r="AF101" i="46" s="1"/>
  <c r="AN101" i="46"/>
  <c r="AO101" i="46" s="1"/>
  <c r="X97" i="46"/>
  <c r="AE97" i="46" s="1"/>
  <c r="Y97" i="46"/>
  <c r="AF97" i="46" s="1"/>
  <c r="AN97" i="46"/>
  <c r="AO97" i="46" s="1"/>
  <c r="X93" i="46"/>
  <c r="AE93" i="46" s="1"/>
  <c r="AN93" i="46"/>
  <c r="AO93" i="46" s="1"/>
  <c r="Y72" i="46"/>
  <c r="AF72" i="46" s="1"/>
  <c r="AN72" i="46"/>
  <c r="AO72" i="46" s="1"/>
  <c r="AL72" i="46"/>
  <c r="AM72" i="46" s="1"/>
  <c r="X72" i="46"/>
  <c r="AE72" i="46" s="1"/>
  <c r="AL57" i="46"/>
  <c r="AM57" i="46" s="1"/>
  <c r="AN57" i="46"/>
  <c r="AO57" i="46" s="1"/>
  <c r="X57" i="46"/>
  <c r="AE57" i="46" s="1"/>
  <c r="AN130" i="46"/>
  <c r="AO130" i="46" s="1"/>
  <c r="AL122" i="46"/>
  <c r="AM122" i="46" s="1"/>
  <c r="AL121" i="46"/>
  <c r="AM121" i="46" s="1"/>
  <c r="X109" i="46"/>
  <c r="AE109" i="46" s="1"/>
  <c r="AN109" i="46"/>
  <c r="AO109" i="46" s="1"/>
  <c r="Y85" i="46"/>
  <c r="AF85" i="46" s="1"/>
  <c r="AN85" i="46"/>
  <c r="AO85" i="46" s="1"/>
  <c r="X81" i="46"/>
  <c r="AE81" i="46" s="1"/>
  <c r="AN81" i="46"/>
  <c r="AO81" i="46" s="1"/>
  <c r="AN137" i="46"/>
  <c r="AO137" i="46" s="1"/>
  <c r="X125" i="46"/>
  <c r="AE125" i="46" s="1"/>
  <c r="AL111" i="46"/>
  <c r="AM111" i="46" s="1"/>
  <c r="X103" i="46"/>
  <c r="AE103" i="46" s="1"/>
  <c r="AN103" i="46"/>
  <c r="AO103" i="46" s="1"/>
  <c r="X99" i="46"/>
  <c r="AE99" i="46" s="1"/>
  <c r="AN99" i="46"/>
  <c r="AO99" i="46" s="1"/>
  <c r="X95" i="46"/>
  <c r="AE95" i="46" s="1"/>
  <c r="AN95" i="46"/>
  <c r="AO95" i="46" s="1"/>
  <c r="X91" i="46"/>
  <c r="AE91" i="46" s="1"/>
  <c r="AN91" i="46"/>
  <c r="AO91" i="46" s="1"/>
  <c r="AN76" i="46"/>
  <c r="AO76" i="46" s="1"/>
  <c r="AL76" i="46"/>
  <c r="AM76" i="46" s="1"/>
  <c r="X76" i="46"/>
  <c r="AE76" i="46" s="1"/>
  <c r="X107" i="46"/>
  <c r="AE107" i="46" s="1"/>
  <c r="AN107" i="46"/>
  <c r="AO107" i="46" s="1"/>
  <c r="X87" i="46"/>
  <c r="AE87" i="46" s="1"/>
  <c r="AN87" i="46"/>
  <c r="AO87" i="46" s="1"/>
  <c r="AL83" i="46"/>
  <c r="AM83" i="46" s="1"/>
  <c r="AL79" i="46"/>
  <c r="AM79" i="46" s="1"/>
  <c r="AL137" i="46"/>
  <c r="AM137" i="46" s="1"/>
  <c r="X129" i="46"/>
  <c r="AE129" i="46" s="1"/>
  <c r="AL125" i="46"/>
  <c r="AM125" i="46" s="1"/>
  <c r="AL105" i="46"/>
  <c r="AM105" i="46" s="1"/>
  <c r="AL101" i="46"/>
  <c r="AM101" i="46" s="1"/>
  <c r="AL97" i="46"/>
  <c r="AM97" i="46" s="1"/>
  <c r="AL93" i="46"/>
  <c r="AM93" i="46" s="1"/>
  <c r="X58" i="46"/>
  <c r="AE58" i="46" s="1"/>
  <c r="Y58" i="46"/>
  <c r="AF58" i="46" s="1"/>
  <c r="AN58" i="46"/>
  <c r="AO58" i="46" s="1"/>
  <c r="AL58" i="46"/>
  <c r="AM58" i="46" s="1"/>
  <c r="X46" i="46"/>
  <c r="AE46" i="46" s="1"/>
  <c r="AN46" i="46"/>
  <c r="AO46" i="46" s="1"/>
  <c r="AL46" i="46"/>
  <c r="AM46" i="46" s="1"/>
  <c r="AN68" i="46"/>
  <c r="AO68" i="46" s="1"/>
  <c r="X56" i="46"/>
  <c r="AE56" i="46" s="1"/>
  <c r="AN56" i="46"/>
  <c r="AO56" i="46" s="1"/>
  <c r="X50" i="46"/>
  <c r="AE50" i="46" s="1"/>
  <c r="AN50" i="46"/>
  <c r="AO50" i="46" s="1"/>
  <c r="AR6" i="46"/>
  <c r="AL77" i="46"/>
  <c r="AM77" i="46" s="1"/>
  <c r="AL68" i="46"/>
  <c r="AM68" i="46" s="1"/>
  <c r="AN55" i="46"/>
  <c r="AO55" i="46" s="1"/>
  <c r="AL73" i="46"/>
  <c r="AM73" i="46" s="1"/>
  <c r="AL56" i="46"/>
  <c r="AM56" i="46" s="1"/>
  <c r="AL55" i="46"/>
  <c r="AM55" i="46" s="1"/>
  <c r="X52" i="46"/>
  <c r="AE52" i="46" s="1"/>
  <c r="AN52" i="46"/>
  <c r="AO52" i="46" s="1"/>
  <c r="AL21" i="46"/>
  <c r="AM21" i="46" s="1"/>
  <c r="X21" i="46"/>
  <c r="AE21" i="46" s="1"/>
  <c r="AN21" i="46"/>
  <c r="AO21" i="46" s="1"/>
  <c r="AL50" i="46"/>
  <c r="AM50" i="46" s="1"/>
  <c r="AN70" i="46"/>
  <c r="AO70" i="46" s="1"/>
  <c r="X48" i="46"/>
  <c r="AE48" i="46" s="1"/>
  <c r="AN48" i="46"/>
  <c r="AO48" i="46" s="1"/>
  <c r="AL78" i="46"/>
  <c r="AM78" i="46" s="1"/>
  <c r="AL75" i="46"/>
  <c r="AM75" i="46" s="1"/>
  <c r="AL71" i="46"/>
  <c r="AM71" i="46" s="1"/>
  <c r="AL70" i="46"/>
  <c r="AM70" i="46" s="1"/>
  <c r="AN59" i="46"/>
  <c r="AO59" i="46" s="1"/>
  <c r="X54" i="46"/>
  <c r="AE54" i="46" s="1"/>
  <c r="AN54" i="46"/>
  <c r="AO54" i="46" s="1"/>
  <c r="AN77" i="46"/>
  <c r="AO77" i="46" s="1"/>
  <c r="X77" i="46"/>
  <c r="AE77" i="46" s="1"/>
  <c r="AN74" i="46"/>
  <c r="AO74" i="46" s="1"/>
  <c r="X68" i="46"/>
  <c r="AE68" i="46" s="1"/>
  <c r="AL59" i="46"/>
  <c r="X55" i="46"/>
  <c r="AE55" i="46" s="1"/>
  <c r="AN13" i="46"/>
  <c r="AO13" i="46" s="1"/>
  <c r="Y13" i="46"/>
  <c r="AF13" i="46" s="1"/>
  <c r="AS7" i="46"/>
  <c r="P7" i="37" s="1"/>
  <c r="Y20" i="46"/>
  <c r="AF20" i="46" s="1"/>
  <c r="AN20" i="46"/>
  <c r="AO20" i="46" s="1"/>
  <c r="AN44" i="46"/>
  <c r="AO44" i="46" s="1"/>
  <c r="Y44" i="46"/>
  <c r="AF44" i="46" s="1"/>
  <c r="AN42" i="46"/>
  <c r="AO42" i="46" s="1"/>
  <c r="AN40" i="46"/>
  <c r="AO40" i="46" s="1"/>
  <c r="Y40" i="46"/>
  <c r="AF40" i="46" s="1"/>
  <c r="AN38" i="46"/>
  <c r="AO38" i="46" s="1"/>
  <c r="Y38" i="46"/>
  <c r="AF38" i="46" s="1"/>
  <c r="AN36" i="46"/>
  <c r="AO36" i="46" s="1"/>
  <c r="Y36" i="46"/>
  <c r="AF36" i="46" s="1"/>
  <c r="AN34" i="46"/>
  <c r="AO34" i="46" s="1"/>
  <c r="AN32" i="46"/>
  <c r="AO32" i="46" s="1"/>
  <c r="Y32" i="46"/>
  <c r="AF32" i="46" s="1"/>
  <c r="AN30" i="46"/>
  <c r="AO30" i="46" s="1"/>
  <c r="AN28" i="46"/>
  <c r="AO28" i="46" s="1"/>
  <c r="Y28" i="46"/>
  <c r="AF28" i="46" s="1"/>
  <c r="AN26" i="46"/>
  <c r="AO26" i="46" s="1"/>
  <c r="Y26" i="46"/>
  <c r="AF26" i="46" s="1"/>
  <c r="AN24" i="46"/>
  <c r="AO24" i="46" s="1"/>
  <c r="Y24" i="46"/>
  <c r="AF24" i="46" s="1"/>
  <c r="AN22" i="46"/>
  <c r="AO22" i="46" s="1"/>
  <c r="Y22" i="46"/>
  <c r="AF22" i="46" s="1"/>
  <c r="AN66" i="46"/>
  <c r="AO66" i="46" s="1"/>
  <c r="X42" i="46"/>
  <c r="AE42" i="46" s="1"/>
  <c r="X38" i="46"/>
  <c r="AE38" i="46" s="1"/>
  <c r="X36" i="46"/>
  <c r="AE36" i="46" s="1"/>
  <c r="X34" i="46"/>
  <c r="AE34" i="46" s="1"/>
  <c r="X32" i="46"/>
  <c r="AE32" i="46" s="1"/>
  <c r="X30" i="46"/>
  <c r="AE30" i="46" s="1"/>
  <c r="X26" i="46"/>
  <c r="AE26" i="46" s="1"/>
  <c r="X24" i="46"/>
  <c r="AE24" i="46" s="1"/>
  <c r="X22" i="46"/>
  <c r="AE22" i="46" s="1"/>
  <c r="AS6" i="46"/>
  <c r="X25" i="40"/>
  <c r="AI22" i="46" l="1"/>
  <c r="H6" i="37"/>
  <c r="E12" i="31" s="1"/>
  <c r="AI180" i="46"/>
  <c r="AI26" i="46"/>
  <c r="AI25" i="46"/>
  <c r="AI23" i="46"/>
  <c r="AI24" i="46"/>
  <c r="H8" i="37"/>
  <c r="P8" i="37"/>
  <c r="P12" i="37"/>
  <c r="H12" i="37"/>
  <c r="P10" i="37"/>
  <c r="H10" i="37"/>
  <c r="P6" i="37"/>
  <c r="AR9" i="46"/>
  <c r="X102" i="46" s="1"/>
  <c r="AE102" i="46" s="1"/>
  <c r="AT7" i="46"/>
  <c r="AS8" i="46"/>
  <c r="AS9" i="46"/>
  <c r="Y31" i="46" s="1"/>
  <c r="AF31" i="46" s="1"/>
  <c r="AR8" i="46"/>
  <c r="AT6" i="46"/>
  <c r="A11" i="41"/>
  <c r="X101" i="46" l="1"/>
  <c r="AE101" i="46" s="1"/>
  <c r="X249" i="46"/>
  <c r="AE249" i="46" s="1"/>
  <c r="X89" i="46"/>
  <c r="AE89" i="46" s="1"/>
  <c r="X174" i="46"/>
  <c r="X241" i="46"/>
  <c r="AE241" i="46" s="1"/>
  <c r="X186" i="46"/>
  <c r="AE186" i="46" s="1"/>
  <c r="X317" i="46"/>
  <c r="AE317" i="46" s="1"/>
  <c r="X162" i="46"/>
  <c r="AE162" i="46" s="1"/>
  <c r="X358" i="46"/>
  <c r="AE358" i="46" s="1"/>
  <c r="X137" i="46"/>
  <c r="AE137" i="46" s="1"/>
  <c r="X314" i="46"/>
  <c r="AE314" i="46" s="1"/>
  <c r="X228" i="46"/>
  <c r="AE228" i="46" s="1"/>
  <c r="X40" i="46"/>
  <c r="AE40" i="46" s="1"/>
  <c r="X147" i="46"/>
  <c r="AE147" i="46" s="1"/>
  <c r="X245" i="46"/>
  <c r="AE245" i="46" s="1"/>
  <c r="X151" i="46"/>
  <c r="AE151" i="46" s="1"/>
  <c r="X116" i="46"/>
  <c r="AE116" i="46" s="1"/>
  <c r="X138" i="46"/>
  <c r="AE138" i="46" s="1"/>
  <c r="X196" i="46"/>
  <c r="AE196" i="46" s="1"/>
  <c r="X296" i="46"/>
  <c r="AE296" i="46" s="1"/>
  <c r="X313" i="46"/>
  <c r="AE313" i="46" s="1"/>
  <c r="AT8" i="46"/>
  <c r="X111" i="46"/>
  <c r="AE111" i="46" s="1"/>
  <c r="X163" i="46"/>
  <c r="AE163" i="46" s="1"/>
  <c r="X202" i="46"/>
  <c r="AE202" i="46" s="1"/>
  <c r="X203" i="46"/>
  <c r="X305" i="46"/>
  <c r="AE305" i="46" s="1"/>
  <c r="X187" i="46"/>
  <c r="X194" i="46"/>
  <c r="X117" i="46"/>
  <c r="AE117" i="46" s="1"/>
  <c r="X28" i="46"/>
  <c r="X191" i="46"/>
  <c r="AE191" i="46" s="1"/>
  <c r="X301" i="46"/>
  <c r="AE301" i="46" s="1"/>
  <c r="X100" i="46"/>
  <c r="AE100" i="46" s="1"/>
  <c r="X85" i="46"/>
  <c r="AE85" i="46" s="1"/>
  <c r="X172" i="46"/>
  <c r="AE172" i="46" s="1"/>
  <c r="X298" i="46"/>
  <c r="AE298" i="46" s="1"/>
  <c r="X154" i="46"/>
  <c r="X20" i="46"/>
  <c r="AE20" i="46" s="1"/>
  <c r="X131" i="46"/>
  <c r="AE131" i="46" s="1"/>
  <c r="X144" i="46"/>
  <c r="AE144" i="46" s="1"/>
  <c r="X173" i="46"/>
  <c r="AE173" i="46" s="1"/>
  <c r="X255" i="46"/>
  <c r="AE255" i="46" s="1"/>
  <c r="X84" i="46"/>
  <c r="AE84" i="46" s="1"/>
  <c r="X165" i="46"/>
  <c r="AE165" i="46" s="1"/>
  <c r="X160" i="46"/>
  <c r="AE160" i="46" s="1"/>
  <c r="X148" i="46"/>
  <c r="AE148" i="46" s="1"/>
  <c r="X370" i="46"/>
  <c r="AE370" i="46" s="1"/>
  <c r="X300" i="46"/>
  <c r="AE300" i="46" s="1"/>
  <c r="X247" i="46"/>
  <c r="AE247" i="46" s="1"/>
  <c r="X182" i="46"/>
  <c r="AE182" i="46" s="1"/>
  <c r="X284" i="46"/>
  <c r="AE284" i="46" s="1"/>
  <c r="X278" i="46"/>
  <c r="AE278" i="46" s="1"/>
  <c r="X281" i="46"/>
  <c r="AE281" i="46" s="1"/>
  <c r="X233" i="46"/>
  <c r="AE233" i="46" s="1"/>
  <c r="X146" i="46"/>
  <c r="AE146" i="46" s="1"/>
  <c r="X192" i="46"/>
  <c r="AE192" i="46" s="1"/>
  <c r="X159" i="46"/>
  <c r="AE159" i="46" s="1"/>
  <c r="X164" i="46"/>
  <c r="AE164" i="46" s="1"/>
  <c r="X139" i="46"/>
  <c r="AE139" i="46" s="1"/>
  <c r="X248" i="46"/>
  <c r="AE248" i="46" s="1"/>
  <c r="X230" i="46"/>
  <c r="AE230" i="46" s="1"/>
  <c r="X275" i="46"/>
  <c r="AE275" i="46" s="1"/>
  <c r="X197" i="46"/>
  <c r="J8" i="37"/>
  <c r="X44" i="46"/>
  <c r="AE44" i="46" s="1"/>
  <c r="X13" i="46"/>
  <c r="AE13" i="46" s="1"/>
  <c r="X184" i="46"/>
  <c r="AE184" i="46" s="1"/>
  <c r="X195" i="46"/>
  <c r="AE195" i="46" s="1"/>
  <c r="X319" i="46"/>
  <c r="AE319" i="46" s="1"/>
  <c r="X251" i="46"/>
  <c r="AE251" i="46" s="1"/>
  <c r="X282" i="46"/>
  <c r="AE282" i="46" s="1"/>
  <c r="I8" i="37"/>
  <c r="J10" i="37"/>
  <c r="I10" i="37"/>
  <c r="X193" i="46"/>
  <c r="AE193" i="46" s="1"/>
  <c r="X272" i="46"/>
  <c r="AE272" i="46" s="1"/>
  <c r="X90" i="46"/>
  <c r="AE90" i="46" s="1"/>
  <c r="Y123" i="46"/>
  <c r="AF123" i="46" s="1"/>
  <c r="Y128" i="46"/>
  <c r="AF128" i="46" s="1"/>
  <c r="Y119" i="46"/>
  <c r="AF119" i="46" s="1"/>
  <c r="Y73" i="46"/>
  <c r="AF73" i="46" s="1"/>
  <c r="Y50" i="46"/>
  <c r="AF50" i="46" s="1"/>
  <c r="Y78" i="46"/>
  <c r="AF78" i="46" s="1"/>
  <c r="Y153" i="46"/>
  <c r="AF153" i="46" s="1"/>
  <c r="Y361" i="46"/>
  <c r="AF361" i="46" s="1"/>
  <c r="Y277" i="46"/>
  <c r="AF277" i="46" s="1"/>
  <c r="Y176" i="46"/>
  <c r="AF176" i="46" s="1"/>
  <c r="Y292" i="46"/>
  <c r="AF292" i="46" s="1"/>
  <c r="Y238" i="46"/>
  <c r="AF238" i="46" s="1"/>
  <c r="Y96" i="46"/>
  <c r="AF96" i="46" s="1"/>
  <c r="X344" i="46"/>
  <c r="AE344" i="46" s="1"/>
  <c r="X118" i="46"/>
  <c r="AE118" i="46" s="1"/>
  <c r="X86" i="46"/>
  <c r="AE86" i="46" s="1"/>
  <c r="Y95" i="46"/>
  <c r="AF95" i="46" s="1"/>
  <c r="Y167" i="46"/>
  <c r="AF167" i="46" s="1"/>
  <c r="Y120" i="46"/>
  <c r="AF120" i="46" s="1"/>
  <c r="Y70" i="46"/>
  <c r="AF70" i="46" s="1"/>
  <c r="Y81" i="46"/>
  <c r="AF81" i="46" s="1"/>
  <c r="Y52" i="46"/>
  <c r="AF52" i="46" s="1"/>
  <c r="Y212" i="46"/>
  <c r="AF212" i="46" s="1"/>
  <c r="Y341" i="46"/>
  <c r="AF341" i="46" s="1"/>
  <c r="Y269" i="46"/>
  <c r="AF269" i="46" s="1"/>
  <c r="Y384" i="46"/>
  <c r="AF384" i="46" s="1"/>
  <c r="Y286" i="46"/>
  <c r="AF286" i="46" s="1"/>
  <c r="Y199" i="46"/>
  <c r="AF199" i="46" s="1"/>
  <c r="Y88" i="46"/>
  <c r="AF88" i="46" s="1"/>
  <c r="J12" i="37"/>
  <c r="I12" i="37"/>
  <c r="Y142" i="46"/>
  <c r="AF142" i="46" s="1"/>
  <c r="Y75" i="46"/>
  <c r="AF75" i="46" s="1"/>
  <c r="Y189" i="46"/>
  <c r="AF189" i="46" s="1"/>
  <c r="Y105" i="46"/>
  <c r="AF105" i="46" s="1"/>
  <c r="Y34" i="46"/>
  <c r="AF34" i="46" s="1"/>
  <c r="Y161" i="46"/>
  <c r="AF161" i="46" s="1"/>
  <c r="Y198" i="46"/>
  <c r="AF198" i="46" s="1"/>
  <c r="Y57" i="46"/>
  <c r="AF57" i="46" s="1"/>
  <c r="Y175" i="46"/>
  <c r="AF175" i="46" s="1"/>
  <c r="Y183" i="46"/>
  <c r="AF183" i="46" s="1"/>
  <c r="Y331" i="46"/>
  <c r="AF331" i="46" s="1"/>
  <c r="Y267" i="46"/>
  <c r="AF267" i="46" s="1"/>
  <c r="Y380" i="46"/>
  <c r="AF380" i="46" s="1"/>
  <c r="Y280" i="46"/>
  <c r="AF280" i="46" s="1"/>
  <c r="Y150" i="46"/>
  <c r="AF150" i="46" s="1"/>
  <c r="Y43" i="46"/>
  <c r="AF43" i="46" s="1"/>
  <c r="Y155" i="46"/>
  <c r="AF155" i="46" s="1"/>
  <c r="Y367" i="46"/>
  <c r="AF367" i="46" s="1"/>
  <c r="Y98" i="46"/>
  <c r="AF98" i="46" s="1"/>
  <c r="X375" i="46"/>
  <c r="AE375" i="46" s="1"/>
  <c r="X263" i="46"/>
  <c r="AE263" i="46" s="1"/>
  <c r="X231" i="46"/>
  <c r="AE231" i="46" s="1"/>
  <c r="X371" i="46"/>
  <c r="AE371" i="46" s="1"/>
  <c r="X185" i="46"/>
  <c r="AE185" i="46" s="1"/>
  <c r="X12" i="46"/>
  <c r="AE12" i="46" s="1"/>
  <c r="Y140" i="46"/>
  <c r="AF140" i="46" s="1"/>
  <c r="Y77" i="46"/>
  <c r="AF77" i="46" s="1"/>
  <c r="Y188" i="46"/>
  <c r="AF188" i="46" s="1"/>
  <c r="Y122" i="46"/>
  <c r="AF122" i="46" s="1"/>
  <c r="Y83" i="46"/>
  <c r="AF83" i="46" s="1"/>
  <c r="Y190" i="46"/>
  <c r="AF190" i="46" s="1"/>
  <c r="Y168" i="46"/>
  <c r="AF168" i="46" s="1"/>
  <c r="Y329" i="46"/>
  <c r="AF329" i="46" s="1"/>
  <c r="Y253" i="46"/>
  <c r="AF253" i="46" s="1"/>
  <c r="Y372" i="46"/>
  <c r="AF372" i="46" s="1"/>
  <c r="Y276" i="46"/>
  <c r="AF276" i="46" s="1"/>
  <c r="Y124" i="46"/>
  <c r="AF124" i="46" s="1"/>
  <c r="Y37" i="46"/>
  <c r="AF37" i="46" s="1"/>
  <c r="Y130" i="46"/>
  <c r="AF130" i="46" s="1"/>
  <c r="Y244" i="46"/>
  <c r="AF244" i="46" s="1"/>
  <c r="X229" i="46"/>
  <c r="AE229" i="46" s="1"/>
  <c r="X347" i="46"/>
  <c r="AE347" i="46" s="1"/>
  <c r="X112" i="46"/>
  <c r="AE112" i="46" s="1"/>
  <c r="Y79" i="46"/>
  <c r="AF79" i="46" s="1"/>
  <c r="Y56" i="46"/>
  <c r="AF56" i="46" s="1"/>
  <c r="Y21" i="46"/>
  <c r="AF21" i="46" s="1"/>
  <c r="Y87" i="46"/>
  <c r="AF87" i="46" s="1"/>
  <c r="Y42" i="46"/>
  <c r="AF42" i="46" s="1"/>
  <c r="Y178" i="46"/>
  <c r="AF178" i="46" s="1"/>
  <c r="Y69" i="46"/>
  <c r="AF69" i="46" s="1"/>
  <c r="Y205" i="46"/>
  <c r="AF205" i="46" s="1"/>
  <c r="Y303" i="46"/>
  <c r="AF303" i="46" s="1"/>
  <c r="Y237" i="46"/>
  <c r="AF237" i="46" s="1"/>
  <c r="Y342" i="46"/>
  <c r="AF342" i="46" s="1"/>
  <c r="Y268" i="46"/>
  <c r="AF268" i="46" s="1"/>
  <c r="Y129" i="46"/>
  <c r="AF129" i="46" s="1"/>
  <c r="Y39" i="46"/>
  <c r="AF39" i="46" s="1"/>
  <c r="Y54" i="46"/>
  <c r="AF54" i="46" s="1"/>
  <c r="Y121" i="46"/>
  <c r="AF121" i="46" s="1"/>
  <c r="Y310" i="46"/>
  <c r="AF310" i="46" s="1"/>
  <c r="X227" i="46"/>
  <c r="AE227" i="46" s="1"/>
  <c r="X323" i="46"/>
  <c r="AE323" i="46" s="1"/>
  <c r="X41" i="46"/>
  <c r="Y200" i="46"/>
  <c r="AF200" i="46" s="1"/>
  <c r="Y46" i="46"/>
  <c r="AF46" i="46" s="1"/>
  <c r="Y91" i="46"/>
  <c r="AF91" i="46" s="1"/>
  <c r="Y76" i="46"/>
  <c r="AF76" i="46" s="1"/>
  <c r="Y93" i="46"/>
  <c r="AF93" i="46" s="1"/>
  <c r="Y169" i="46"/>
  <c r="AF169" i="46" s="1"/>
  <c r="Y48" i="46"/>
  <c r="AF48" i="46" s="1"/>
  <c r="Y179" i="46"/>
  <c r="AF179" i="46" s="1"/>
  <c r="Y293" i="46"/>
  <c r="AF293" i="46" s="1"/>
  <c r="Y223" i="46"/>
  <c r="AF223" i="46" s="1"/>
  <c r="Y330" i="46"/>
  <c r="AF330" i="46" s="1"/>
  <c r="Y254" i="46"/>
  <c r="AF254" i="46" s="1"/>
  <c r="Y45" i="46"/>
  <c r="AF45" i="46" s="1"/>
  <c r="Y29" i="46"/>
  <c r="AF29" i="46" s="1"/>
  <c r="Y55" i="46"/>
  <c r="AF55" i="46" s="1"/>
  <c r="Y289" i="46"/>
  <c r="AF289" i="46" s="1"/>
  <c r="X201" i="46"/>
  <c r="X294" i="46"/>
  <c r="AE294" i="46" s="1"/>
  <c r="Y209" i="46"/>
  <c r="AF209" i="46" s="1"/>
  <c r="Y103" i="46"/>
  <c r="AF103" i="46" s="1"/>
  <c r="Y127" i="46"/>
  <c r="AF127" i="46" s="1"/>
  <c r="Y152" i="46"/>
  <c r="AF152" i="46" s="1"/>
  <c r="Y204" i="46"/>
  <c r="AF204" i="46" s="1"/>
  <c r="Y30" i="46"/>
  <c r="AF30" i="46" s="1"/>
  <c r="Y68" i="46"/>
  <c r="AF68" i="46" s="1"/>
  <c r="Y381" i="46"/>
  <c r="AF381" i="46" s="1"/>
  <c r="Y291" i="46"/>
  <c r="AF291" i="46" s="1"/>
  <c r="Y207" i="46"/>
  <c r="AF207" i="46" s="1"/>
  <c r="Y324" i="46"/>
  <c r="AF324" i="46" s="1"/>
  <c r="Y246" i="46"/>
  <c r="AF246" i="46" s="1"/>
  <c r="Y110" i="46"/>
  <c r="AF110" i="46" s="1"/>
  <c r="Y17" i="46"/>
  <c r="AF17" i="46" s="1"/>
  <c r="I6" i="37"/>
  <c r="J6" i="37"/>
  <c r="Y74" i="46"/>
  <c r="AF74" i="46" s="1"/>
  <c r="Y126" i="46"/>
  <c r="AF126" i="46" s="1"/>
  <c r="Y373" i="46"/>
  <c r="AF373" i="46" s="1"/>
  <c r="Y325" i="46"/>
  <c r="AF325" i="46" s="1"/>
  <c r="Y283" i="46"/>
  <c r="AF283" i="46" s="1"/>
  <c r="Y243" i="46"/>
  <c r="AF243" i="46" s="1"/>
  <c r="Y181" i="46"/>
  <c r="AF181" i="46" s="1"/>
  <c r="Y368" i="46"/>
  <c r="AF368" i="46" s="1"/>
  <c r="Y306" i="46"/>
  <c r="AF306" i="46" s="1"/>
  <c r="Y274" i="46"/>
  <c r="AF274" i="46" s="1"/>
  <c r="Y242" i="46"/>
  <c r="AF242" i="46" s="1"/>
  <c r="Y149" i="46"/>
  <c r="AF149" i="46" s="1"/>
  <c r="Y51" i="46"/>
  <c r="AF51" i="46" s="1"/>
  <c r="Y94" i="46"/>
  <c r="AF94" i="46" s="1"/>
  <c r="Y18" i="46"/>
  <c r="AF18" i="46" s="1"/>
  <c r="Y19" i="46"/>
  <c r="AF19" i="46" s="1"/>
  <c r="Y307" i="46"/>
  <c r="AF307" i="46" s="1"/>
  <c r="Y279" i="46"/>
  <c r="AF279" i="46" s="1"/>
  <c r="Y239" i="46"/>
  <c r="AF239" i="46" s="1"/>
  <c r="Y170" i="46"/>
  <c r="AF170" i="46" s="1"/>
  <c r="Y348" i="46"/>
  <c r="AF348" i="46" s="1"/>
  <c r="Y304" i="46"/>
  <c r="AF304" i="46" s="1"/>
  <c r="Y270" i="46"/>
  <c r="AF270" i="46" s="1"/>
  <c r="Y240" i="46"/>
  <c r="AF240" i="46" s="1"/>
  <c r="Y71" i="46"/>
  <c r="AF71" i="46" s="1"/>
  <c r="Y47" i="46"/>
  <c r="AF47" i="46" s="1"/>
  <c r="Y92" i="46"/>
  <c r="AF92" i="46" s="1"/>
  <c r="Y49" i="46"/>
  <c r="AF49" i="46" s="1"/>
  <c r="Y16" i="46"/>
  <c r="AF16" i="46" s="1"/>
  <c r="Y99" i="46"/>
  <c r="AF99" i="46" s="1"/>
  <c r="Y107" i="46"/>
  <c r="AF107" i="46" s="1"/>
  <c r="Y217" i="46"/>
  <c r="AF217" i="46" s="1"/>
  <c r="Y359" i="46"/>
  <c r="AF359" i="46" s="1"/>
  <c r="Y299" i="46"/>
  <c r="AF299" i="46" s="1"/>
  <c r="Y273" i="46"/>
  <c r="AF273" i="46" s="1"/>
  <c r="Y235" i="46"/>
  <c r="AF235" i="46" s="1"/>
  <c r="Y166" i="46"/>
  <c r="AF166" i="46" s="1"/>
  <c r="Y340" i="46"/>
  <c r="AF340" i="46" s="1"/>
  <c r="Y290" i="46"/>
  <c r="AF290" i="46" s="1"/>
  <c r="Y266" i="46"/>
  <c r="AF266" i="46" s="1"/>
  <c r="Y236" i="46"/>
  <c r="AF236" i="46" s="1"/>
  <c r="Y145" i="46"/>
  <c r="AF145" i="46" s="1"/>
  <c r="Y108" i="46"/>
  <c r="AF108" i="46" s="1"/>
  <c r="Y82" i="46"/>
  <c r="AF82" i="46" s="1"/>
  <c r="Y35" i="46"/>
  <c r="AF35" i="46" s="1"/>
  <c r="Y156" i="46"/>
  <c r="AF156" i="46" s="1"/>
  <c r="Y109" i="46"/>
  <c r="AF109" i="46" s="1"/>
  <c r="Y210" i="46"/>
  <c r="AF210" i="46" s="1"/>
  <c r="Y353" i="46"/>
  <c r="AF353" i="46" s="1"/>
  <c r="Y297" i="46"/>
  <c r="AF297" i="46" s="1"/>
  <c r="Y271" i="46"/>
  <c r="AF271" i="46" s="1"/>
  <c r="Y225" i="46"/>
  <c r="AF225" i="46" s="1"/>
  <c r="Y171" i="46"/>
  <c r="AF171" i="46" s="1"/>
  <c r="Y336" i="46"/>
  <c r="AF336" i="46" s="1"/>
  <c r="Y288" i="46"/>
  <c r="AF288" i="46" s="1"/>
  <c r="Y264" i="46"/>
  <c r="AF264" i="46" s="1"/>
  <c r="Y224" i="46"/>
  <c r="AF224" i="46" s="1"/>
  <c r="Y143" i="46"/>
  <c r="AF143" i="46" s="1"/>
  <c r="Y106" i="46"/>
  <c r="AF106" i="46" s="1"/>
  <c r="Y80" i="46"/>
  <c r="AF80" i="46" s="1"/>
  <c r="Y33" i="46"/>
  <c r="AF33" i="46" s="1"/>
  <c r="Y211" i="46"/>
  <c r="AF211" i="46" s="1"/>
  <c r="Y141" i="46"/>
  <c r="AF141" i="46" s="1"/>
  <c r="Y104" i="46"/>
  <c r="AF104" i="46" s="1"/>
  <c r="Y53" i="46"/>
  <c r="AF53" i="46" s="1"/>
  <c r="I11" i="37" l="1"/>
  <c r="AE28" i="46"/>
  <c r="AI28" i="46"/>
  <c r="AE154" i="46"/>
  <c r="AI154" i="46"/>
  <c r="AE41" i="46"/>
  <c r="AI41" i="46"/>
  <c r="AE194" i="46"/>
  <c r="AI194" i="46"/>
  <c r="AE197" i="46"/>
  <c r="AI197" i="46"/>
  <c r="AE187" i="46"/>
  <c r="AI187" i="46"/>
  <c r="AE174" i="46"/>
  <c r="AI174" i="46"/>
  <c r="AE201" i="46"/>
  <c r="AI201" i="46"/>
  <c r="AE203" i="46"/>
  <c r="AI203" i="46"/>
  <c r="H11" i="37"/>
  <c r="K8" i="37"/>
  <c r="K12" i="37"/>
  <c r="H7" i="37"/>
  <c r="I7" i="37"/>
  <c r="K6" i="37"/>
  <c r="K10" i="37"/>
  <c r="D7" i="38"/>
  <c r="C7" i="38"/>
  <c r="I5" i="37" l="1"/>
  <c r="H5" i="37"/>
  <c r="P14" i="37"/>
  <c r="I9" i="37"/>
  <c r="I18" i="37"/>
  <c r="I19" i="37" s="1"/>
  <c r="E14" i="31" s="1"/>
  <c r="H18" i="37"/>
  <c r="H23" i="37"/>
  <c r="I14" i="37"/>
  <c r="I15" i="37" s="1"/>
  <c r="I20" i="37"/>
  <c r="I23" i="37"/>
  <c r="I24" i="37" s="1"/>
  <c r="H20" i="37"/>
  <c r="P24" i="37"/>
  <c r="P23" i="37"/>
  <c r="P15" i="37"/>
  <c r="P21" i="37"/>
  <c r="P20" i="37"/>
  <c r="P19" i="37"/>
  <c r="P18" i="37"/>
  <c r="H9" i="37"/>
  <c r="H14" i="37"/>
  <c r="E11" i="31" l="1"/>
  <c r="E13" i="31"/>
  <c r="AA23" i="40" l="1"/>
  <c r="K23" i="40"/>
  <c r="I37" i="31" l="1"/>
  <c r="X27" i="40"/>
  <c r="N27" i="31" l="1"/>
  <c r="N21" i="31"/>
  <c r="I5" i="40"/>
  <c r="L5" i="40"/>
  <c r="H25" i="40" s="1"/>
  <c r="K9" i="39"/>
  <c r="J14" i="40" l="1"/>
  <c r="K14" i="40"/>
  <c r="J13" i="40"/>
  <c r="J11" i="40"/>
  <c r="J12" i="40"/>
  <c r="K12" i="40"/>
  <c r="H27" i="40"/>
  <c r="H26" i="35"/>
  <c r="H24" i="35"/>
  <c r="H23" i="35"/>
  <c r="H25" i="35"/>
  <c r="F5" i="31"/>
  <c r="L5" i="37" l="1"/>
  <c r="L6" i="37"/>
  <c r="L12" i="40" s="1"/>
  <c r="M25" i="37"/>
  <c r="M26" i="37" s="1"/>
  <c r="M6" i="37"/>
  <c r="L14" i="40" s="1"/>
  <c r="M7" i="37"/>
  <c r="M8" i="37"/>
  <c r="M10" i="37"/>
  <c r="M12" i="37"/>
  <c r="M11" i="37"/>
  <c r="M9" i="37"/>
  <c r="L12" i="37"/>
  <c r="L8" i="37"/>
  <c r="L10" i="37"/>
  <c r="L9" i="37"/>
  <c r="L11" i="37"/>
  <c r="L7" i="37"/>
  <c r="L23" i="37"/>
  <c r="L25" i="37"/>
  <c r="F12" i="31"/>
  <c r="G12" i="31"/>
  <c r="D27" i="31"/>
  <c r="D21" i="31"/>
  <c r="K26" i="37"/>
  <c r="J26" i="37"/>
  <c r="K25" i="37"/>
  <c r="J25" i="37"/>
  <c r="K24" i="37"/>
  <c r="J24" i="37"/>
  <c r="K23" i="37"/>
  <c r="J23" i="37"/>
  <c r="K21" i="37"/>
  <c r="J21" i="37"/>
  <c r="K20" i="37"/>
  <c r="J20" i="37"/>
  <c r="K19" i="37"/>
  <c r="F14" i="31" s="1"/>
  <c r="J19" i="37"/>
  <c r="K18" i="37"/>
  <c r="J18" i="37"/>
  <c r="K15" i="37"/>
  <c r="J15" i="37"/>
  <c r="K14" i="37"/>
  <c r="J14" i="37"/>
  <c r="J7" i="37"/>
  <c r="K7" i="37"/>
  <c r="J9" i="37"/>
  <c r="K9" i="37"/>
  <c r="J11" i="37"/>
  <c r="K11" i="37"/>
  <c r="K5" i="37"/>
  <c r="J5" i="37"/>
  <c r="R20" i="31"/>
  <c r="I19" i="31"/>
  <c r="F11" i="31" l="1"/>
  <c r="G21" i="31" s="1"/>
  <c r="F13" i="31"/>
  <c r="K13" i="40"/>
  <c r="K11" i="40"/>
  <c r="H27" i="31"/>
  <c r="J27" i="31"/>
  <c r="H21" i="31"/>
  <c r="J22" i="31"/>
  <c r="J21" i="31"/>
  <c r="H22" i="31"/>
  <c r="M23" i="37"/>
  <c r="M24" i="37" s="1"/>
  <c r="M20" i="37"/>
  <c r="M18" i="37"/>
  <c r="M19" i="37" s="1"/>
  <c r="G14" i="31" s="1"/>
  <c r="J28" i="31" s="1"/>
  <c r="M14" i="37"/>
  <c r="M15" i="37" s="1"/>
  <c r="M5" i="37"/>
  <c r="L20" i="37"/>
  <c r="L18" i="37"/>
  <c r="L14" i="37"/>
  <c r="H28" i="31" l="1"/>
  <c r="G11" i="31"/>
  <c r="I27" i="31" s="1"/>
  <c r="I21" i="31"/>
  <c r="L11" i="40"/>
  <c r="K27" i="40" s="1"/>
  <c r="L25" i="40"/>
  <c r="O25" i="40"/>
  <c r="M25" i="40"/>
  <c r="N25" i="40"/>
  <c r="P25" i="40"/>
  <c r="K25" i="40"/>
  <c r="P26" i="40"/>
  <c r="K26" i="40"/>
  <c r="L26" i="40"/>
  <c r="N26" i="40"/>
  <c r="M26" i="40"/>
  <c r="O26" i="40"/>
  <c r="I22" i="31"/>
  <c r="G22" i="31"/>
  <c r="L13" i="40"/>
  <c r="N28" i="40" s="1"/>
  <c r="G13" i="31"/>
  <c r="G28" i="31" s="1"/>
  <c r="G12" i="42"/>
  <c r="G11" i="42"/>
  <c r="G10" i="42"/>
  <c r="G9" i="42"/>
  <c r="G8" i="42"/>
  <c r="G7" i="42"/>
  <c r="G6" i="42"/>
  <c r="G5" i="42"/>
  <c r="G4" i="42"/>
  <c r="G27" i="31" l="1"/>
  <c r="N27" i="40"/>
  <c r="P27" i="40"/>
  <c r="M27" i="40"/>
  <c r="O27" i="40"/>
  <c r="L27" i="40"/>
  <c r="O28" i="40"/>
  <c r="K28" i="40"/>
  <c r="L28" i="40"/>
  <c r="P28" i="40"/>
  <c r="M28" i="40"/>
  <c r="A6" i="41"/>
  <c r="H6" i="41" s="1"/>
  <c r="I6" i="41" l="1"/>
  <c r="F6" i="41"/>
  <c r="E71" i="31" l="1"/>
  <c r="I25" i="31" l="1"/>
  <c r="X17" i="40"/>
  <c r="X15" i="40"/>
  <c r="X13" i="40"/>
  <c r="M13" i="31"/>
  <c r="C12" i="41" l="1"/>
  <c r="K12" i="41" s="1"/>
  <c r="C13" i="41"/>
  <c r="K13" i="41" s="1"/>
  <c r="C14" i="41"/>
  <c r="K14" i="41" s="1"/>
  <c r="C11" i="41"/>
  <c r="K11" i="41" s="1"/>
  <c r="A12" i="41"/>
  <c r="F12" i="41" s="1"/>
  <c r="A13" i="41"/>
  <c r="F13" i="41" s="1"/>
  <c r="A14" i="41"/>
  <c r="F11" i="41"/>
  <c r="A7" i="41"/>
  <c r="A8" i="41"/>
  <c r="A9" i="41"/>
  <c r="R38" i="31"/>
  <c r="M73" i="31" s="1"/>
  <c r="F8" i="41" l="1"/>
  <c r="I8" i="41"/>
  <c r="F9" i="41"/>
  <c r="I9" i="41"/>
  <c r="F7" i="41"/>
  <c r="I7" i="41"/>
  <c r="F14" i="41"/>
  <c r="B14" i="41"/>
  <c r="B13" i="41"/>
  <c r="B11" i="41"/>
  <c r="H12" i="41"/>
  <c r="B12" i="41"/>
  <c r="G13" i="41"/>
  <c r="G12" i="41"/>
  <c r="G14" i="41"/>
  <c r="H11" i="41"/>
  <c r="G11" i="41"/>
  <c r="H14" i="41"/>
  <c r="C7" i="41"/>
  <c r="K7" i="41" s="1"/>
  <c r="C8" i="41"/>
  <c r="K8" i="41" s="1"/>
  <c r="C9" i="41"/>
  <c r="K9" i="41" s="1"/>
  <c r="C6" i="41"/>
  <c r="K6" i="41" s="1"/>
  <c r="N12" i="41" l="1"/>
  <c r="H8" i="41"/>
  <c r="H13" i="41"/>
  <c r="N13" i="41" s="1"/>
  <c r="Z19" i="40" s="1"/>
  <c r="N14" i="41"/>
  <c r="N11" i="41"/>
  <c r="Z11" i="40" s="1"/>
  <c r="G6" i="41"/>
  <c r="N6" i="41" s="1"/>
  <c r="B6" i="41"/>
  <c r="B8" i="41"/>
  <c r="G8" i="41"/>
  <c r="Z12" i="40" l="1"/>
  <c r="Z18" i="40" s="1"/>
  <c r="N8" i="41"/>
  <c r="O15" i="31" s="1"/>
  <c r="Z20" i="40"/>
  <c r="H7" i="41"/>
  <c r="G7" i="41"/>
  <c r="B7" i="41"/>
  <c r="H9" i="41"/>
  <c r="G9" i="41"/>
  <c r="B9" i="41"/>
  <c r="Z16" i="40" l="1"/>
  <c r="Z14" i="40"/>
  <c r="Z15" i="40"/>
  <c r="Z17" i="40"/>
  <c r="Z13" i="40"/>
  <c r="O11" i="31"/>
  <c r="O13" i="31" s="1"/>
  <c r="N9" i="41"/>
  <c r="O16" i="31" s="1"/>
  <c r="N7" i="41"/>
  <c r="O12" i="31" l="1"/>
  <c r="O14" i="31" s="1"/>
  <c r="H27" i="35" l="1"/>
  <c r="N10" i="37" l="1"/>
  <c r="N6" i="37"/>
  <c r="M12" i="40" s="1"/>
  <c r="N8" i="37"/>
  <c r="H12" i="31" s="1"/>
  <c r="N12" i="37"/>
  <c r="O12" i="37"/>
  <c r="O6" i="37"/>
  <c r="M14" i="40" s="1"/>
  <c r="O8" i="37"/>
  <c r="O10" i="37"/>
  <c r="N14" i="37"/>
  <c r="N9" i="37"/>
  <c r="O9" i="37"/>
  <c r="N11" i="37"/>
  <c r="O11" i="37"/>
  <c r="N5" i="37"/>
  <c r="O25" i="37"/>
  <c r="O26" i="37" s="1"/>
  <c r="N25" i="37"/>
  <c r="N23" i="37"/>
  <c r="N7" i="37"/>
  <c r="N20" i="37"/>
  <c r="O5" i="37"/>
  <c r="O14" i="37"/>
  <c r="O15" i="37" s="1"/>
  <c r="N18" i="37"/>
  <c r="O18" i="37"/>
  <c r="O19" i="37" s="1"/>
  <c r="H14" i="31" s="1"/>
  <c r="O7" i="37"/>
  <c r="O23" i="37"/>
  <c r="O24" i="37" s="1"/>
  <c r="O20" i="37"/>
  <c r="M13" i="40" s="1"/>
  <c r="I56" i="40"/>
  <c r="Z57" i="40"/>
  <c r="Y57" i="40"/>
  <c r="J33" i="31" l="1"/>
  <c r="J39" i="31"/>
  <c r="H39" i="31"/>
  <c r="H33" i="31"/>
  <c r="H11" i="31"/>
  <c r="G39" i="31" s="1"/>
  <c r="D73" i="31" s="1"/>
  <c r="H13" i="31"/>
  <c r="I40" i="31" s="1"/>
  <c r="J34" i="31"/>
  <c r="H34" i="31"/>
  <c r="O32" i="40"/>
  <c r="N32" i="40"/>
  <c r="N30" i="40"/>
  <c r="L32" i="40"/>
  <c r="O30" i="40"/>
  <c r="M32" i="40"/>
  <c r="K32" i="40"/>
  <c r="M30" i="40"/>
  <c r="P30" i="40"/>
  <c r="P32" i="40"/>
  <c r="L30" i="40"/>
  <c r="K30" i="40"/>
  <c r="H40" i="31"/>
  <c r="J40" i="31"/>
  <c r="M11" i="40"/>
  <c r="M74" i="31"/>
  <c r="R26" i="31"/>
  <c r="I34" i="31" l="1"/>
  <c r="I39" i="31"/>
  <c r="G34" i="31"/>
  <c r="G40" i="31"/>
  <c r="D72" i="31" s="1"/>
  <c r="I33" i="31"/>
  <c r="G33" i="31"/>
  <c r="N29" i="40"/>
  <c r="K31" i="40"/>
  <c r="O31" i="40"/>
  <c r="M29" i="40"/>
  <c r="P29" i="40"/>
  <c r="O29" i="40"/>
  <c r="L29" i="40"/>
  <c r="L31" i="40"/>
  <c r="K29" i="40"/>
  <c r="M31" i="40"/>
  <c r="N31" i="40"/>
  <c r="P31" i="40"/>
  <c r="M72" i="31"/>
  <c r="J56" i="40"/>
  <c r="I28" i="31" l="1"/>
  <c r="D5" i="38" l="1"/>
  <c r="O6" i="39"/>
  <c r="L11" i="41" l="1"/>
  <c r="O11" i="41" s="1"/>
  <c r="L14" i="41"/>
  <c r="O14" i="41" s="1"/>
  <c r="L13" i="41"/>
  <c r="O13" i="41" s="1"/>
  <c r="L12" i="41"/>
  <c r="O12" i="41" s="1"/>
  <c r="L9" i="41"/>
  <c r="O9" i="41" s="1"/>
  <c r="L8" i="41"/>
  <c r="O8" i="41" s="1"/>
  <c r="L7" i="41"/>
  <c r="O7" i="41" s="1"/>
  <c r="L6" i="41"/>
  <c r="O6" i="41" s="1"/>
  <c r="Q12" i="41" l="1"/>
  <c r="AC12" i="40" s="1"/>
  <c r="AB30" i="40" s="1"/>
  <c r="P12" i="41"/>
  <c r="AB12" i="40" s="1"/>
  <c r="Q13" i="41"/>
  <c r="AC19" i="40" s="1"/>
  <c r="P13" i="41"/>
  <c r="AB19" i="40" s="1"/>
  <c r="Q14" i="41"/>
  <c r="AC20" i="40" s="1"/>
  <c r="P14" i="41"/>
  <c r="AB20" i="40" s="1"/>
  <c r="AA28" i="40" s="1"/>
  <c r="Q11" i="41"/>
  <c r="AC11" i="40" s="1"/>
  <c r="P11" i="41"/>
  <c r="AB11" i="40" s="1"/>
  <c r="Q6" i="41"/>
  <c r="R11" i="31" s="1"/>
  <c r="Q33" i="31" s="1"/>
  <c r="P6" i="41"/>
  <c r="Q11" i="31" s="1"/>
  <c r="Q27" i="31" s="1"/>
  <c r="Q7" i="41"/>
  <c r="R12" i="31" s="1"/>
  <c r="Q34" i="31" s="1"/>
  <c r="P7" i="41"/>
  <c r="Q12" i="31" s="1"/>
  <c r="P8" i="41"/>
  <c r="Q15" i="31" s="1"/>
  <c r="Q8" i="41"/>
  <c r="P9" i="41"/>
  <c r="Q16" i="31" s="1"/>
  <c r="Q9" i="41"/>
  <c r="AA19" i="40"/>
  <c r="AA25" i="40" s="1"/>
  <c r="AA12" i="40"/>
  <c r="AB26" i="40" s="1"/>
  <c r="AA20" i="40"/>
  <c r="AA26" i="40" s="1"/>
  <c r="AA11" i="40"/>
  <c r="AB25" i="40" s="1"/>
  <c r="P15" i="31"/>
  <c r="P16" i="31"/>
  <c r="E72" i="31"/>
  <c r="E73" i="31"/>
  <c r="P11" i="31"/>
  <c r="Q21" i="31" s="1"/>
  <c r="I60" i="40"/>
  <c r="I59" i="40"/>
  <c r="I61" i="40"/>
  <c r="I62" i="40"/>
  <c r="I57" i="40"/>
  <c r="I58" i="40"/>
  <c r="J57" i="40"/>
  <c r="J59" i="40"/>
  <c r="J58" i="40"/>
  <c r="J60" i="40"/>
  <c r="J61" i="40"/>
  <c r="J62" i="40"/>
  <c r="P12" i="31"/>
  <c r="Q22" i="31" s="1"/>
  <c r="AB29" i="40" l="1"/>
  <c r="AB31" i="40"/>
  <c r="AA32" i="40"/>
  <c r="Z58" i="40" s="1"/>
  <c r="AA30" i="40"/>
  <c r="AA29" i="40"/>
  <c r="AA31" i="40"/>
  <c r="Y58" i="40" s="1"/>
  <c r="Q40" i="31"/>
  <c r="O72" i="31" s="1"/>
  <c r="Q39" i="31"/>
  <c r="N72" i="31" s="1"/>
  <c r="AB17" i="40"/>
  <c r="AB13" i="40"/>
  <c r="AB15" i="40"/>
  <c r="AB27" i="40"/>
  <c r="AB28" i="40"/>
  <c r="AB16" i="40"/>
  <c r="AB14" i="40"/>
  <c r="AB18" i="40"/>
  <c r="AA18" i="40"/>
  <c r="AE26" i="40" s="1"/>
  <c r="AA16" i="40"/>
  <c r="AD26" i="40" s="1"/>
  <c r="AA14" i="40"/>
  <c r="AC26" i="40" s="1"/>
  <c r="AB32" i="40"/>
  <c r="Z59" i="40" s="1"/>
  <c r="AC16" i="40"/>
  <c r="AC18" i="40"/>
  <c r="AC14" i="40"/>
  <c r="AA13" i="40"/>
  <c r="AC25" i="40" s="1"/>
  <c r="AA17" i="40"/>
  <c r="AE25" i="40" s="1"/>
  <c r="AA15" i="40"/>
  <c r="AD25" i="40" s="1"/>
  <c r="Y59" i="40"/>
  <c r="AC15" i="40"/>
  <c r="AC13" i="40"/>
  <c r="AC17" i="40"/>
  <c r="AA27" i="40"/>
  <c r="S28" i="31"/>
  <c r="S22" i="31"/>
  <c r="S27" i="31"/>
  <c r="S21" i="31"/>
  <c r="R14" i="31"/>
  <c r="R34" i="31" s="1"/>
  <c r="Q28" i="31"/>
  <c r="P14" i="31"/>
  <c r="P13" i="31"/>
  <c r="Q13" i="31"/>
  <c r="R13" i="31"/>
  <c r="R33" i="31" s="1"/>
  <c r="Q14" i="31"/>
  <c r="R16" i="31"/>
  <c r="S34" i="31" s="1"/>
  <c r="R15" i="31"/>
  <c r="S33" i="31" s="1"/>
  <c r="AE31" i="40" l="1"/>
  <c r="Y62" i="40" s="1"/>
  <c r="AE29" i="40"/>
  <c r="AD32" i="40"/>
  <c r="Z61" i="40" s="1"/>
  <c r="AD30" i="40"/>
  <c r="AC32" i="40"/>
  <c r="Z60" i="40" s="1"/>
  <c r="AC30" i="40"/>
  <c r="AE32" i="40"/>
  <c r="Z62" i="40" s="1"/>
  <c r="AE30" i="40"/>
  <c r="AD31" i="40"/>
  <c r="Y61" i="40" s="1"/>
  <c r="AD29" i="40"/>
  <c r="AC31" i="40"/>
  <c r="Y60" i="40" s="1"/>
  <c r="AC29" i="40"/>
  <c r="R40" i="31"/>
  <c r="O73" i="31" s="1"/>
  <c r="S39" i="31"/>
  <c r="N74" i="31" s="1"/>
  <c r="S40" i="31"/>
  <c r="O74" i="31" s="1"/>
  <c r="AE28" i="40"/>
  <c r="AD27" i="40"/>
  <c r="AC28" i="40"/>
  <c r="AC27" i="40"/>
  <c r="AD28" i="40"/>
  <c r="AE27" i="40"/>
  <c r="R27" i="31"/>
  <c r="R39" i="31"/>
  <c r="N73" i="31" s="1"/>
  <c r="R21" i="31"/>
  <c r="R28" i="31"/>
  <c r="R22" i="3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Sean Layton</author>
  </authors>
  <commentList>
    <comment ref="B4" authorId="0" shapeId="0" xr:uid="{3BE42E03-1012-4B38-9353-D1A3F881AFF9}">
      <text>
        <r>
          <rPr>
            <b/>
            <sz val="9"/>
            <color indexed="81"/>
            <rFont val="Tahoma"/>
            <family val="2"/>
          </rPr>
          <t>Sean Layton:</t>
        </r>
        <r>
          <rPr>
            <sz val="9"/>
            <color indexed="81"/>
            <rFont val="Tahoma"/>
            <family val="2"/>
          </rPr>
          <t xml:space="preserve">
Data source is source data is extracted from. If data source referenced another study, info for that reference is provided in the "ERG Notes" column.</t>
        </r>
      </text>
    </comment>
    <comment ref="G4" authorId="0" shapeId="0" xr:uid="{37492E16-2DAD-46CA-A31F-0D2C8AD0041C}">
      <text>
        <r>
          <rPr>
            <b/>
            <sz val="9"/>
            <color indexed="81"/>
            <rFont val="Tahoma"/>
            <family val="2"/>
          </rPr>
          <t>Sean Layton:</t>
        </r>
        <r>
          <rPr>
            <sz val="9"/>
            <color indexed="81"/>
            <rFont val="Tahoma"/>
            <family val="2"/>
          </rPr>
          <t xml:space="preserve">
B = Baseline
EC = Eng. Control</t>
        </r>
      </text>
    </comment>
    <comment ref="J4" authorId="0" shapeId="0" xr:uid="{C1CD7DF0-EA0C-4B92-881D-288AF6C6E5E2}">
      <text>
        <r>
          <rPr>
            <b/>
            <sz val="9"/>
            <color indexed="81"/>
            <rFont val="Tahoma"/>
            <family val="2"/>
          </rPr>
          <t>Sean Layton:</t>
        </r>
        <r>
          <rPr>
            <sz val="9"/>
            <color indexed="81"/>
            <rFont val="Tahoma"/>
            <family val="2"/>
          </rPr>
          <t xml:space="preserve">
W = Worker
ONU = Occ. Non-User</t>
        </r>
      </text>
    </comment>
    <comment ref="K4" authorId="0" shapeId="0" xr:uid="{B73C305A-2E65-4550-A305-7A0247077059}">
      <text>
        <r>
          <rPr>
            <b/>
            <sz val="9"/>
            <color indexed="81"/>
            <rFont val="Tahoma"/>
            <family val="2"/>
          </rPr>
          <t>Sean Layton:</t>
        </r>
        <r>
          <rPr>
            <sz val="9"/>
            <color indexed="81"/>
            <rFont val="Tahoma"/>
            <family val="2"/>
          </rPr>
          <t xml:space="preserve">
TWA=8-hr TWA unless otherwise noted</t>
        </r>
      </text>
    </comment>
    <comment ref="O4" authorId="0" shapeId="0" xr:uid="{6DAE0E4C-B695-46FF-926A-F44C6DFE5DC5}">
      <text>
        <r>
          <rPr>
            <b/>
            <sz val="9"/>
            <color indexed="81"/>
            <rFont val="Tahoma"/>
            <family val="2"/>
          </rPr>
          <t>Sean Layton:</t>
        </r>
        <r>
          <rPr>
            <sz val="9"/>
            <color indexed="81"/>
            <rFont val="Tahoma"/>
            <family val="2"/>
          </rPr>
          <t xml:space="preserve">
"1" if discrete value, if discrete values not provided total number of samples from study</t>
        </r>
      </text>
    </comment>
    <comment ref="P4" authorId="0" shapeId="0" xr:uid="{A94FEBA4-1178-4E3D-9B2A-007CECA05AD0}">
      <text>
        <r>
          <rPr>
            <b/>
            <sz val="9"/>
            <color indexed="81"/>
            <rFont val="Tahoma"/>
            <family val="2"/>
          </rPr>
          <t>Sean Layton:</t>
        </r>
        <r>
          <rPr>
            <sz val="9"/>
            <color indexed="81"/>
            <rFont val="Tahoma"/>
            <family val="2"/>
          </rPr>
          <t xml:space="preserve">
Discrete values preferred. Only provided statistics if discrete values not available. </t>
        </r>
      </text>
    </comment>
  </commentList>
</comments>
</file>

<file path=xl/sharedStrings.xml><?xml version="1.0" encoding="utf-8"?>
<sst xmlns="http://schemas.openxmlformats.org/spreadsheetml/2006/main" count="3792" uniqueCount="412">
  <si>
    <t>Supplemental File Occupational Exposure Risk Calculator</t>
  </si>
  <si>
    <t>for Carbon Tetrachloride</t>
  </si>
  <si>
    <t>(Methane, Tetrachloro-)</t>
  </si>
  <si>
    <t>CASRN: 56-23-5</t>
  </si>
  <si>
    <t>Description of this workbook:</t>
  </si>
  <si>
    <t>Key Worksheets</t>
  </si>
  <si>
    <t>Description</t>
  </si>
  <si>
    <t>Dashboard</t>
  </si>
  <si>
    <t>RR</t>
  </si>
  <si>
    <t>The RR spreadsheet is an expanded version of the Dashboard. Similar to the Dashboard the RR allows the user to select a COU. However, the user also selected to see results for a worker or ONU and instead of requiring a user to select a single exposure reduction option, the Heat Map displays all the PPE options. The RR spreadsheet has a column each for no PPE and each PPE option (i.e. APF or PF). The RR spreadsheet has a row for each toxicity endpoint, and each row shows the cancer risk or MOE values. Similar to the Dashboard, the RR spreadsheet shades results if the MOE or cancer risk exceeds the benchmark MOE or cancer benchmark.</t>
  </si>
  <si>
    <t>Health Data, 
Dermal Exposure, 
Dermal Crosswalk, 
Inhalation Exposure, 
List Values and 
Exposure Factors</t>
  </si>
  <si>
    <t>As described above the remaining spreadsheets are data storage and calculation spreadsheets. These worksheets store the exposure estimates, health values and store some of the risk calculations. The user does not need to access these worksheets to use the Dashboard and RR spreadsheets as described above; all results are automatically loaded into the Dashboard and RR spreadsheets.</t>
  </si>
  <si>
    <t>Color Legends</t>
  </si>
  <si>
    <t>Condition of Use</t>
  </si>
  <si>
    <t>Inhalation Exposure</t>
  </si>
  <si>
    <t>Personal Protective Equipment (PPE)</t>
  </si>
  <si>
    <t>Dermal</t>
  </si>
  <si>
    <t>Select the Condition of Use (select)</t>
  </si>
  <si>
    <t>Data Type</t>
  </si>
  <si>
    <t>TWA</t>
  </si>
  <si>
    <t>Respirator Protection Factor (Select)</t>
  </si>
  <si>
    <t>Glove Protection Factor (Select)</t>
  </si>
  <si>
    <t>Worker Type
(select)</t>
  </si>
  <si>
    <t xml:space="preserve">Manufacturing - 12-hr TWA </t>
  </si>
  <si>
    <t>Average Adult Worker</t>
  </si>
  <si>
    <t>Inhalation</t>
  </si>
  <si>
    <t>8-hr and 12-hr TWA Exposures</t>
  </si>
  <si>
    <t>Exposure Outputs</t>
  </si>
  <si>
    <t>Category</t>
  </si>
  <si>
    <t>Exposure Level</t>
  </si>
  <si>
    <t>Full-Shift TWA Exposure</t>
  </si>
  <si>
    <t>Acute Exposures</t>
  </si>
  <si>
    <t>Chronic, Non-Cancer Exposures</t>
  </si>
  <si>
    <t>Chronic, Cancer Exposures</t>
  </si>
  <si>
    <t>Acute Potential Dose Rate</t>
  </si>
  <si>
    <t>Acute Retained Dose</t>
  </si>
  <si>
    <t>Chronic Retained Dose, Non-Cancer</t>
  </si>
  <si>
    <t>Chronic Retained Dose, Cancer</t>
  </si>
  <si>
    <t>Worker</t>
  </si>
  <si>
    <t>High End</t>
  </si>
  <si>
    <t>Worker, No Gloves</t>
  </si>
  <si>
    <t>ONU</t>
  </si>
  <si>
    <t>Central Tendency</t>
  </si>
  <si>
    <t>Worker, Occluded Exposure</t>
  </si>
  <si>
    <t>Risk Estimation for Acute Inhalation Exposures</t>
  </si>
  <si>
    <t>Risk Estimation for Acute Dermal Exposures</t>
  </si>
  <si>
    <t>Health Effect, Endpoint and Study</t>
  </si>
  <si>
    <t>Benchmark MOE 
(= Total UF)</t>
  </si>
  <si>
    <t>Chronic Exposure Estimates</t>
  </si>
  <si>
    <t>HED (mg/kg-day)</t>
  </si>
  <si>
    <t>Gloved Scenarios</t>
  </si>
  <si>
    <t>Worker MOE</t>
  </si>
  <si>
    <t>ONU MOE</t>
  </si>
  <si>
    <t>Worker MOE, No Gloves</t>
  </si>
  <si>
    <t>Worker MOE, Occluded Exposure</t>
  </si>
  <si>
    <t>Tox01</t>
  </si>
  <si>
    <r>
      <rPr>
        <b/>
        <sz val="10"/>
        <rFont val="Times New Roman"/>
        <family val="1"/>
      </rPr>
      <t>CNS</t>
    </r>
    <r>
      <rPr>
        <sz val="10"/>
        <rFont val="Times New Roman"/>
        <family val="1"/>
      </rPr>
      <t xml:space="preserve">
Temporarily disabling effects
{Davis, 1934, 3611}</t>
    </r>
  </si>
  <si>
    <t>Tox05</t>
  </si>
  <si>
    <r>
      <rPr>
        <b/>
        <sz val="10"/>
        <rFont val="Times New Roman"/>
        <family val="1"/>
      </rPr>
      <t>Liver</t>
    </r>
    <r>
      <rPr>
        <sz val="10"/>
        <rFont val="Times New Roman"/>
        <family val="1"/>
      </rPr>
      <t xml:space="preserve">
Liver toxicity - Histopathological changes in the liver (rats)
{Nagano, 2007, 194127}</t>
    </r>
  </si>
  <si>
    <t>Central Tendancy</t>
  </si>
  <si>
    <t>Risk Estimation for Chronic, Non-Cancer Inhalation Exposures</t>
  </si>
  <si>
    <t>Risk Estimation for Chronic, Non-Cancer Dermal Exposures</t>
  </si>
  <si>
    <t>Tox02</t>
  </si>
  <si>
    <r>
      <rPr>
        <b/>
        <sz val="10"/>
        <rFont val="Times New Roman"/>
        <family val="1"/>
      </rPr>
      <t>Liver</t>
    </r>
    <r>
      <rPr>
        <sz val="10"/>
        <rFont val="Times New Roman"/>
        <family val="1"/>
      </rPr>
      <t xml:space="preserve">
Liver toxicity - Fatty changes in the liver, chronic inhalation (rat)
{Nagano, 2007, 194127}</t>
    </r>
  </si>
  <si>
    <t>Tox06</t>
  </si>
  <si>
    <t>Chronic, Cancer Risks - Nonlinear</t>
  </si>
  <si>
    <t>Chronic Cancer Exposure Estimates</t>
  </si>
  <si>
    <t xml:space="preserve">Worker </t>
  </si>
  <si>
    <t xml:space="preserve">ONU </t>
  </si>
  <si>
    <t>No Gloves</t>
  </si>
  <si>
    <t>Occluded Exposure</t>
  </si>
  <si>
    <t>Tox03</t>
  </si>
  <si>
    <t>Tox07</t>
  </si>
  <si>
    <t>Chronic, Cancer Risks - Linear</t>
  </si>
  <si>
    <t>Risk Estimate</t>
  </si>
  <si>
    <t>Benchmark Cancer Risk Level</t>
  </si>
  <si>
    <t>Slope Factor            (kg-d/mg)</t>
  </si>
  <si>
    <t>Tox04</t>
  </si>
  <si>
    <t>Tox08</t>
  </si>
  <si>
    <t xml:space="preserve"> </t>
  </si>
  <si>
    <t>Inhalation Cancer Risk Estimates</t>
  </si>
  <si>
    <t>Cancer Risk</t>
  </si>
  <si>
    <t>Dermal Cancer Risk Estimates</t>
  </si>
  <si>
    <t>Worker: 50th Percentile</t>
  </si>
  <si>
    <t>Worker: 95th Percentile</t>
  </si>
  <si>
    <t>Exposure Type 
(select)</t>
  </si>
  <si>
    <t xml:space="preserve">Manufacturing - 8-hr TWA </t>
  </si>
  <si>
    <t>Woman of Childbearing Age</t>
  </si>
  <si>
    <t>Full-Shift (Eight-Hour) TWA Exposure</t>
  </si>
  <si>
    <t>Risk Estimation for Inhalation Exposures</t>
  </si>
  <si>
    <t>Risk Estimation for Dermal Exposures</t>
  </si>
  <si>
    <t>Risk Type</t>
  </si>
  <si>
    <t>Toxicity Endpoint</t>
  </si>
  <si>
    <t>Study</t>
  </si>
  <si>
    <t>Benchmark MOE 
(= Total UF)/Benchmark</t>
  </si>
  <si>
    <t>No Respirator</t>
  </si>
  <si>
    <t>APF = 10</t>
  </si>
  <si>
    <t>APF = 25</t>
  </si>
  <si>
    <t>APF = 50</t>
  </si>
  <si>
    <t>APF = 1,000</t>
  </si>
  <si>
    <t>APF = 10,000</t>
  </si>
  <si>
    <t>Occluded</t>
  </si>
  <si>
    <t>PF = 5</t>
  </si>
  <si>
    <t>PF = 10</t>
  </si>
  <si>
    <t>PF = 20</t>
  </si>
  <si>
    <t>Acute</t>
  </si>
  <si>
    <t>CNS</t>
  </si>
  <si>
    <t>Temporarily disabling effects</t>
  </si>
  <si>
    <t>{Davis, 1934, 3611}</t>
  </si>
  <si>
    <t>Liver</t>
  </si>
  <si>
    <t>Histopathological changes in the liver, chronic inhalation (rat)</t>
  </si>
  <si>
    <t>{Nagano, 2007, 194127}</t>
  </si>
  <si>
    <t>Chronic, Non-Cancer</t>
  </si>
  <si>
    <t>Liver toxicity  - Fatty changes in the liver, chronic inhalation (rat)</t>
  </si>
  <si>
    <t>Liver toxicity - Fatty changes in the liver, chronic inhalation (rat)</t>
  </si>
  <si>
    <t>Chronic, Cancer</t>
  </si>
  <si>
    <t>Cancer</t>
  </si>
  <si>
    <t>Cancer - Nonlinear</t>
  </si>
  <si>
    <t>{U.S. EPA, 2010, 3490869}</t>
  </si>
  <si>
    <t>Cancer - Linear</t>
  </si>
  <si>
    <t>Cancer Slope Factor</t>
  </si>
  <si>
    <t>No Gloves (PF = 1)</t>
  </si>
  <si>
    <t>=</t>
  </si>
  <si>
    <t>Protective Gloves (PF = 5)</t>
  </si>
  <si>
    <t>Protective Gloves 
(Commercial uses, PF = 10)</t>
  </si>
  <si>
    <t>Protective Gloves 
(Industrial uses, PF = 20)</t>
  </si>
  <si>
    <t>Look-up Values and Risk Parameter Values</t>
  </si>
  <si>
    <t>Code</t>
  </si>
  <si>
    <t>Benchmark MOE</t>
  </si>
  <si>
    <t xml:space="preserve">Benchmark </t>
  </si>
  <si>
    <t>Exposure Percentiles</t>
  </si>
  <si>
    <t>Target Cancer Risk Level</t>
  </si>
  <si>
    <t>--</t>
  </si>
  <si>
    <t>Nonlinear approach</t>
  </si>
  <si>
    <t>Linear approach</t>
  </si>
  <si>
    <t>HEC conversion factor</t>
  </si>
  <si>
    <t>ppm/mg/m3</t>
  </si>
  <si>
    <t>HED (mg/kg-d)</t>
  </si>
  <si>
    <t>IUR 
(kg-d/mg)</t>
  </si>
  <si>
    <t>Molar Volume</t>
  </si>
  <si>
    <t>L/mol</t>
  </si>
  <si>
    <t>MW</t>
  </si>
  <si>
    <t>g/mol</t>
  </si>
  <si>
    <t>Look-up Name</t>
  </si>
  <si>
    <t>Condition of Use </t>
  </si>
  <si>
    <t>Bin</t>
  </si>
  <si>
    <t>Max Yderm</t>
  </si>
  <si>
    <t>Occlusion Considered?</t>
  </si>
  <si>
    <t>Occluded Fraction Absorbed</t>
  </si>
  <si>
    <t>No</t>
  </si>
  <si>
    <t>Import/Repackaging</t>
  </si>
  <si>
    <t xml:space="preserve">Processing as Reactant  - 8-hr TWA </t>
  </si>
  <si>
    <t xml:space="preserve">Processing as Reactant  - 12-hr TWA </t>
  </si>
  <si>
    <t>Industrial Processing Aid</t>
  </si>
  <si>
    <t>Additive</t>
  </si>
  <si>
    <t>Waste Handling</t>
  </si>
  <si>
    <t>Specialty Uses - DoD</t>
  </si>
  <si>
    <t>For Dashboard</t>
  </si>
  <si>
    <t>Dermal Calculation Numbers</t>
  </si>
  <si>
    <t>Calculated Doses</t>
  </si>
  <si>
    <t>Exposure Category</t>
  </si>
  <si>
    <t>Exposure Frequency (EF)
(days/yr)</t>
  </si>
  <si>
    <t>Exposure Frequency (FT)
(event/day)</t>
  </si>
  <si>
    <t>Body Weight (kg)</t>
  </si>
  <si>
    <t>Worker Type</t>
  </si>
  <si>
    <t>For Risk Reduction (RR) Heat Map</t>
  </si>
  <si>
    <t>Exposure Scenario (if applicable)</t>
  </si>
  <si>
    <t>Exposure days</t>
  </si>
  <si>
    <t>Eight-Hour or Twelve-Hour TWA Exposures</t>
  </si>
  <si>
    <t>Data Points</t>
  </si>
  <si>
    <t>Sources &amp; Notes</t>
  </si>
  <si>
    <t>OES Group</t>
  </si>
  <si>
    <t>High-End</t>
  </si>
  <si>
    <t>8-hr</t>
  </si>
  <si>
    <t>HSIA, public comment EPA-HQ-OPPT-2016-0732-0027, 8-hr TWA discrete data</t>
  </si>
  <si>
    <t>Monitoring Data</t>
  </si>
  <si>
    <t>HSIA, public comment EPA-HQ-OPPT-2019-0499-0022</t>
  </si>
  <si>
    <t>12-hr</t>
  </si>
  <si>
    <t>HSIA, public comment EPA-HQ-OPPT-2016-0732-0027, 12-hr TWA discrete data</t>
  </si>
  <si>
    <t>3,4,5,6</t>
  </si>
  <si>
    <t>Specialty Uses - Aerospace</t>
  </si>
  <si>
    <t>Not assessing – no longer a condition of use</t>
  </si>
  <si>
    <t>American Chemistry Council (ACC) public comment EPA-HQ-OPPT-2019-0499-0031 and HSIA public comment EPA-HQ-OPPT-2016-0733-0084, 8-hr TWA discrete data</t>
  </si>
  <si>
    <t>In lieu of ONU-specific exposure data, EPA assessed ONU exposures at the worker central tendency.</t>
  </si>
  <si>
    <t>Processing: Reactive Ion Etching</t>
  </si>
  <si>
    <t>Negligible - Highly controlled work areas with small quantities applied</t>
  </si>
  <si>
    <t>Incorporation into Formulation</t>
  </si>
  <si>
    <t>Laboratory Chemical</t>
  </si>
  <si>
    <t>No data – exposure expected to be low as lab use will likely be in small quantities in a fume hood.</t>
  </si>
  <si>
    <t>DOD provided monitoring data</t>
  </si>
  <si>
    <t>Conditions of Use</t>
  </si>
  <si>
    <t>Exposure Data Types</t>
  </si>
  <si>
    <t>Assigned Glove Protection Factor</t>
  </si>
  <si>
    <t>General uses, PF = 5</t>
  </si>
  <si>
    <t>Modeled Data</t>
  </si>
  <si>
    <t>Commercial uses, PF = 10</t>
  </si>
  <si>
    <t>Industrial uses, PF = 20</t>
  </si>
  <si>
    <t>Exposure Type</t>
  </si>
  <si>
    <t>BMDL Percentile</t>
  </si>
  <si>
    <t>Carbon Tetrachloride</t>
  </si>
  <si>
    <t>Value</t>
  </si>
  <si>
    <t>Unit</t>
  </si>
  <si>
    <t>Assigned Respirator Protection Factor</t>
  </si>
  <si>
    <t>Parameter Name</t>
  </si>
  <si>
    <t>Symbol</t>
  </si>
  <si>
    <t>Exposure Duration (8-hr)</t>
  </si>
  <si>
    <t>ED_8</t>
  </si>
  <si>
    <t xml:space="preserve">hr/day </t>
  </si>
  <si>
    <t>Exposure Duration (12-hr)</t>
  </si>
  <si>
    <t>ED_12</t>
  </si>
  <si>
    <t>Acute Exposure Averaging Time</t>
  </si>
  <si>
    <t>AT</t>
  </si>
  <si>
    <t xml:space="preserve">Exposure Frequency </t>
  </si>
  <si>
    <t>EF</t>
  </si>
  <si>
    <t xml:space="preserve">day/yr </t>
  </si>
  <si>
    <t>Working Years Per Lifetime (Mid)</t>
  </si>
  <si>
    <t>WY_mid</t>
  </si>
  <si>
    <t xml:space="preserve">yr </t>
  </si>
  <si>
    <t>Working Years Per Lifetime (High)</t>
  </si>
  <si>
    <t>WY_high</t>
  </si>
  <si>
    <t>TWA Type</t>
  </si>
  <si>
    <t>Lifetime Years for LADC</t>
  </si>
  <si>
    <t>LT</t>
  </si>
  <si>
    <t>Averaging time For ADC (Mid) - 8-hr</t>
  </si>
  <si>
    <t>AT_ADC_mid_8</t>
  </si>
  <si>
    <t xml:space="preserve">hr </t>
  </si>
  <si>
    <t>Averaging time For ADC (Mid) - 12-hr</t>
  </si>
  <si>
    <t>AT_ADC_mid_12</t>
  </si>
  <si>
    <t>Averaging time For ADC (High) - 8-hr</t>
  </si>
  <si>
    <t>AT_ADC_high_8</t>
  </si>
  <si>
    <t>Cancer POD Inhalation (mg/m3)</t>
  </si>
  <si>
    <t>Averaging time For ADC (High) - 12-hr</t>
  </si>
  <si>
    <t>AT_ADC_high_12</t>
  </si>
  <si>
    <t>Averaging time For LADC</t>
  </si>
  <si>
    <t>AT_LADC</t>
  </si>
  <si>
    <t>Exposure Factors</t>
  </si>
  <si>
    <t>Characterization of Value</t>
  </si>
  <si>
    <t>Body Weight, BW (kg)</t>
  </si>
  <si>
    <t>Working Years - High-End (yr)</t>
  </si>
  <si>
    <t>Working Years - Central Tendency (yr)</t>
  </si>
  <si>
    <t>Lifetime</t>
  </si>
  <si>
    <t>Woman of Childbearing Age Exposure Factors:</t>
  </si>
  <si>
    <t>Body Weight:</t>
  </si>
  <si>
    <t>From the Exposure Factors Handbook Table 8-5: Mean and Percentile Body Weights (kg) for Females Derived from NHANES (1990-2006) (1)</t>
  </si>
  <si>
    <t>Age 16 to &lt;21 years: 65.9 kg (mean)</t>
  </si>
  <si>
    <t>Age 21 to &lt;30 years: 71.9 kg (mean)</t>
  </si>
  <si>
    <t>Age 30 to &lt;40 years: 74.8 kg (mean)</t>
  </si>
  <si>
    <t>Age 40 to &lt;50 years: 77.1 kg (mean)</t>
  </si>
  <si>
    <t>(1) U.S. Environmental Protection Agency (EPA). (2011) Exposure Factors Handbook: 2011 Edition. National Center for Environmental Assessment, Washington, DC; EPA/600/R-09/052F. Available from the National Technical Information Service, Springfield, VA, and online at http://www.epa.gov/ncea/efh.</t>
  </si>
  <si>
    <t>Note:</t>
  </si>
  <si>
    <t>Red Text Indicates ONU data</t>
  </si>
  <si>
    <t>Blue Text Indicates unloaing/loading data used as surrogate data for other CoUs</t>
  </si>
  <si>
    <t>HERO ID</t>
  </si>
  <si>
    <t>Author</t>
  </si>
  <si>
    <t>Year</t>
  </si>
  <si>
    <t>Country</t>
  </si>
  <si>
    <t>Process Description</t>
  </si>
  <si>
    <t>Engineering Controls Described</t>
  </si>
  <si>
    <t>Scenario Type (B or EC)</t>
  </si>
  <si>
    <t>Worker Job Description (as described in study)</t>
  </si>
  <si>
    <t>General Unloading/Loading Activity?</t>
  </si>
  <si>
    <t>Worker Classification (W or ONU)</t>
  </si>
  <si>
    <t>Measurement Type (TWA or Short-term)</t>
  </si>
  <si>
    <t>Sample Type (PBZ or Area)</t>
  </si>
  <si>
    <t>Sample Date (if known)</t>
  </si>
  <si>
    <t>Sample Duration (min)</t>
  </si>
  <si>
    <t>Number of Data Points</t>
  </si>
  <si>
    <t>CCl4 Airborne Concentration (ppm)</t>
  </si>
  <si>
    <t>CCl4  Airborne Concentration (mg/m3)</t>
  </si>
  <si>
    <t>Data location in Document</t>
  </si>
  <si>
    <t>ERG Notes</t>
  </si>
  <si>
    <t>Geometric Standard Deviation Calculcation for 'W' LOD Data</t>
  </si>
  <si>
    <t>Min.</t>
  </si>
  <si>
    <t>Max.</t>
  </si>
  <si>
    <t>Arithmetic Mean</t>
  </si>
  <si>
    <t>Standard Deviation</t>
  </si>
  <si>
    <t>Geometric Mean</t>
  </si>
  <si>
    <t>Geometric Standard Deviation</t>
  </si>
  <si>
    <t>Median</t>
  </si>
  <si>
    <t>Discrete Value</t>
  </si>
  <si>
    <t>8-hr TWA</t>
  </si>
  <si>
    <t>12-hr TWA</t>
  </si>
  <si>
    <t>Min.2`</t>
  </si>
  <si>
    <t>Max.3</t>
  </si>
  <si>
    <t>Average4</t>
  </si>
  <si>
    <t>Median5</t>
  </si>
  <si>
    <t>8-hr TWA W</t>
  </si>
  <si>
    <t>12-hr TWA W</t>
  </si>
  <si>
    <t>8-hr TWA ONU</t>
  </si>
  <si>
    <t>12-hr TWA ONU</t>
  </si>
  <si>
    <t>8-hr TWA Load</t>
  </si>
  <si>
    <t>8-hr Detects</t>
  </si>
  <si>
    <t>Ln(8-hr)</t>
  </si>
  <si>
    <t>12-hr Detects</t>
  </si>
  <si>
    <t>Ln(12-hr)</t>
  </si>
  <si>
    <t>Totals</t>
  </si>
  <si>
    <t>Eun A Kim, M.D., Ph.D. Bruce P. Bernard, M.D., M.P.H. Eric J. Esswein, C.I.H., M.S.P.H.</t>
  </si>
  <si>
    <t>US</t>
  </si>
  <si>
    <t>Manufacture as a byproduct from magnesium production process</t>
  </si>
  <si>
    <t>Not described</t>
  </si>
  <si>
    <t>maintenance, electrolytics, and the reactor building</t>
  </si>
  <si>
    <t>W</t>
  </si>
  <si>
    <t>PBZ</t>
  </si>
  <si>
    <t>November 1–4, 2004</t>
  </si>
  <si>
    <t>480 - 720</t>
  </si>
  <si>
    <t>Table 12 (page 42)</t>
  </si>
  <si>
    <t xml:space="preserve">Value listed as "trace" so was calculated based on the LOD and given sample volume, LOD = 0.001 millligrams per sample
</t>
  </si>
  <si>
    <t>Total NDs</t>
  </si>
  <si>
    <t>Value listed as "trace" so was calculated based on the LOD and given sample volume, LOD = 0.001 millligrams per sample</t>
  </si>
  <si>
    <t>Total data points</t>
  </si>
  <si>
    <t>% ND</t>
  </si>
  <si>
    <t>Geo STD</t>
  </si>
  <si>
    <t>HSIA</t>
  </si>
  <si>
    <t>Company A</t>
  </si>
  <si>
    <t>Operator</t>
  </si>
  <si>
    <t>ND</t>
  </si>
  <si>
    <t>Distribution Operator</t>
  </si>
  <si>
    <t>general 8 hr exposure</t>
  </si>
  <si>
    <t>11.07.2011</t>
  </si>
  <si>
    <t>Loading/unloading</t>
  </si>
  <si>
    <t>Y</t>
  </si>
  <si>
    <t>14.08.2014</t>
  </si>
  <si>
    <t>13.05.2013</t>
  </si>
  <si>
    <t>21.05.2013</t>
  </si>
  <si>
    <t>17.05.2013</t>
  </si>
  <si>
    <t>6.8.2014</t>
  </si>
  <si>
    <t>General 8-12 hour exposure</t>
  </si>
  <si>
    <t>29.03.2011</t>
  </si>
  <si>
    <t>18.08.2014</t>
  </si>
  <si>
    <t>17.08.2011</t>
  </si>
  <si>
    <t>03.06.2015</t>
  </si>
  <si>
    <t>12.07.2011</t>
  </si>
  <si>
    <t>29.05.2015</t>
  </si>
  <si>
    <t>Company B</t>
  </si>
  <si>
    <t>MCI Outside Equipment Technician</t>
  </si>
  <si>
    <t>Analyzer Technician</t>
  </si>
  <si>
    <t>Shipping Day Technician</t>
  </si>
  <si>
    <t>5CP Outside Equipment Technician</t>
  </si>
  <si>
    <t>Utilities Boiler Technician</t>
  </si>
  <si>
    <t>Shipping Shift Technician</t>
  </si>
  <si>
    <t>EDC Outside Equipment Technician</t>
  </si>
  <si>
    <t>Administration II (Process Supervisor)</t>
  </si>
  <si>
    <t>Perc Outside Equipment Technician</t>
  </si>
  <si>
    <t>Utilities Incinerator Technician</t>
  </si>
  <si>
    <t>Methanes Distillation Technician</t>
  </si>
  <si>
    <t>Instrument Technician</t>
  </si>
  <si>
    <t>Lab Day Technician</t>
  </si>
  <si>
    <t>Lab Shift Technician</t>
  </si>
  <si>
    <t>Methanes Hydrochlor Technician</t>
  </si>
  <si>
    <t>Electrician</t>
  </si>
  <si>
    <t>Methanes Day Technician</t>
  </si>
  <si>
    <t>Millwright</t>
  </si>
  <si>
    <t>Utilities Control Board Technician</t>
  </si>
  <si>
    <t>Tank Area Loader</t>
  </si>
  <si>
    <t>Control Lab Technician</t>
  </si>
  <si>
    <t>Chloromethanes II Thermal Technician</t>
  </si>
  <si>
    <t>Chloromethanes II Methyl Technician</t>
  </si>
  <si>
    <t>VCRU Technician</t>
  </si>
  <si>
    <t>North Area Maintenance</t>
  </si>
  <si>
    <t>16/6/16</t>
  </si>
  <si>
    <t>Table of Contents</t>
  </si>
  <si>
    <r>
      <t xml:space="preserve">The risk calculator contains the following spreadsheets: 1) Dashboard, 2) RR, 3) Health Data, 4) Dermal Exposure, 5) Dermal Crosswalk, 6) Inhalation Exposure, 7) List Values, 8) Exposure Factors, and 9) Manufacture Reactant Raw Data. The workbook is designed so that the user need only to use/change inputs the first two spreadsheets (i.e. the </t>
    </r>
    <r>
      <rPr>
        <b/>
        <sz val="11"/>
        <color rgb="FF25F74D"/>
        <rFont val="Times New Roman"/>
        <family val="1"/>
      </rPr>
      <t>Dashboard</t>
    </r>
    <r>
      <rPr>
        <sz val="11"/>
        <rFont val="Times New Roman"/>
        <family val="1"/>
      </rPr>
      <t xml:space="preserve"> and the </t>
    </r>
    <r>
      <rPr>
        <b/>
        <sz val="11"/>
        <color rgb="FF25F74D"/>
        <rFont val="Times New Roman"/>
        <family val="1"/>
      </rPr>
      <t>RR</t>
    </r>
    <r>
      <rPr>
        <sz val="11"/>
        <rFont val="Times New Roman"/>
        <family val="1"/>
      </rPr>
      <t xml:space="preserve">), which have tabs colored </t>
    </r>
    <r>
      <rPr>
        <b/>
        <u/>
        <sz val="11"/>
        <color rgb="FF25F74D"/>
        <rFont val="Times New Roman"/>
        <family val="1"/>
      </rPr>
      <t>green</t>
    </r>
    <r>
      <rPr>
        <sz val="11"/>
        <rFont val="Times New Roman"/>
        <family val="1"/>
      </rPr>
      <t xml:space="preserve"> and contain the results of the risk calculator. The remaining spreadsheets contain data storage and calculation spreadsheets. </t>
    </r>
  </si>
  <si>
    <r>
      <t>This Dashboard is an interactive spreadsheet that allows a user to view exposure results for a selected COU and with a single PPE option of their choosing (i.e. respirator APF or Glove Protection Factor PF). The user can select a) the desired COU, b) PPE options, and c) dermal exposures for the worker type (either an average adult or a woman of childbearing age) from a drop-down menu. The exposure estimates are shown in the “</t>
    </r>
    <r>
      <rPr>
        <i/>
        <sz val="11"/>
        <color theme="1"/>
        <rFont val="Times New Roman"/>
        <family val="1"/>
      </rPr>
      <t>Exposure Outputs</t>
    </r>
    <r>
      <rPr>
        <sz val="11"/>
        <color theme="1"/>
        <rFont val="Times New Roman"/>
        <family val="1"/>
      </rPr>
      <t>” section for both inhalation and dermal routes and for high-end and central tendency exposures. For inhalation exposures the columns show results for both worker and ONU exposures. The “</t>
    </r>
    <r>
      <rPr>
        <i/>
        <sz val="11"/>
        <color theme="1"/>
        <rFont val="Times New Roman"/>
        <family val="1"/>
      </rPr>
      <t>Risk Estimation</t>
    </r>
    <r>
      <rPr>
        <sz val="11"/>
        <color theme="1"/>
        <rFont val="Times New Roman"/>
        <family val="1"/>
      </rPr>
      <t xml:space="preserve">” sections are separated into acute, chronic non-cancer and cancer sections. For each section there is a brief description of the hazard endpoint and the hazard value i.e. HEC for non-cancer effects from inhalation exposure, HED for non-cancer effects from dermal exposure or a slope factor for cancer and the benchmark MOEs or benchmark values for cancer risk are provided to the right of the hazard value. The risk estimations show two columns of risk estimates: one column for exposures without PPE and one column for the results of the user-selected PPE option. These two columns allow the user to compare with and without PPE results side-by-side. The Dashboard automatically shades the cancer risk and MOE cells when they exceed the cancer benchmark or the benchmark MOE value. </t>
    </r>
  </si>
  <si>
    <r>
      <t>C</t>
    </r>
    <r>
      <rPr>
        <b/>
        <vertAlign val="subscript"/>
        <sz val="10"/>
        <rFont val="Times New Roman"/>
        <family val="1"/>
      </rPr>
      <t xml:space="preserve">CCl4, 8 or 12-hr TWA </t>
    </r>
    <r>
      <rPr>
        <b/>
        <sz val="10"/>
        <rFont val="Times New Roman"/>
        <family val="1"/>
      </rPr>
      <t>(mg/m3)</t>
    </r>
  </si>
  <si>
    <r>
      <t>AC</t>
    </r>
    <r>
      <rPr>
        <b/>
        <vertAlign val="subscript"/>
        <sz val="10"/>
        <rFont val="Times New Roman"/>
        <family val="1"/>
      </rPr>
      <t>CCl4, 8 or 12-hr TWA</t>
    </r>
    <r>
      <rPr>
        <b/>
        <sz val="10"/>
        <rFont val="Times New Roman"/>
        <family val="1"/>
      </rPr>
      <t xml:space="preserve"> (mg/m</t>
    </r>
    <r>
      <rPr>
        <b/>
        <vertAlign val="superscript"/>
        <sz val="10"/>
        <rFont val="Times New Roman"/>
        <family val="1"/>
      </rPr>
      <t>3</t>
    </r>
    <r>
      <rPr>
        <b/>
        <sz val="10"/>
        <rFont val="Times New Roman"/>
        <family val="1"/>
      </rPr>
      <t>)</t>
    </r>
  </si>
  <si>
    <r>
      <t>ADC</t>
    </r>
    <r>
      <rPr>
        <b/>
        <vertAlign val="subscript"/>
        <sz val="10"/>
        <rFont val="Times New Roman"/>
        <family val="1"/>
      </rPr>
      <t>CCl4, 8 or 12-hr TWA</t>
    </r>
    <r>
      <rPr>
        <b/>
        <sz val="10"/>
        <rFont val="Times New Roman"/>
        <family val="1"/>
      </rPr>
      <t xml:space="preserve"> (mg/m3)</t>
    </r>
  </si>
  <si>
    <r>
      <t>LADC</t>
    </r>
    <r>
      <rPr>
        <b/>
        <vertAlign val="subscript"/>
        <sz val="10"/>
        <rFont val="Times New Roman"/>
        <family val="1"/>
      </rPr>
      <t xml:space="preserve">CCl4 </t>
    </r>
    <r>
      <rPr>
        <b/>
        <sz val="10"/>
        <rFont val="Times New Roman"/>
        <family val="1"/>
      </rPr>
      <t>(mg/m3)</t>
    </r>
  </si>
  <si>
    <r>
      <t>APDR</t>
    </r>
    <r>
      <rPr>
        <b/>
        <vertAlign val="subscript"/>
        <sz val="10"/>
        <color theme="1"/>
        <rFont val="Times New Roman"/>
        <family val="1"/>
      </rPr>
      <t>exp</t>
    </r>
    <r>
      <rPr>
        <b/>
        <sz val="10"/>
        <color theme="1"/>
        <rFont val="Times New Roman"/>
        <family val="1"/>
      </rPr>
      <t xml:space="preserve"> (mg/day)</t>
    </r>
  </si>
  <si>
    <r>
      <t>ARD</t>
    </r>
    <r>
      <rPr>
        <b/>
        <vertAlign val="subscript"/>
        <sz val="10"/>
        <rFont val="Times New Roman"/>
        <family val="1"/>
      </rPr>
      <t>CCl4</t>
    </r>
    <r>
      <rPr>
        <b/>
        <sz val="10"/>
        <rFont val="Times New Roman"/>
        <family val="1"/>
      </rPr>
      <t xml:space="preserve"> (mg/kg-day)</t>
    </r>
  </si>
  <si>
    <r>
      <t>CRD</t>
    </r>
    <r>
      <rPr>
        <b/>
        <vertAlign val="subscript"/>
        <sz val="10"/>
        <rFont val="Times New Roman"/>
        <family val="1"/>
      </rPr>
      <t>CCl4</t>
    </r>
    <r>
      <rPr>
        <b/>
        <sz val="10"/>
        <rFont val="Times New Roman"/>
        <family val="1"/>
      </rPr>
      <t xml:space="preserve"> (mg/kg-day)</t>
    </r>
  </si>
  <si>
    <r>
      <t>HEC (mg/m</t>
    </r>
    <r>
      <rPr>
        <b/>
        <vertAlign val="superscript"/>
        <sz val="10"/>
        <rFont val="Times New Roman"/>
        <family val="1"/>
      </rPr>
      <t>3</t>
    </r>
    <r>
      <rPr>
        <b/>
        <sz val="10"/>
        <rFont val="Times New Roman"/>
        <family val="1"/>
      </rPr>
      <t>)</t>
    </r>
  </si>
  <si>
    <r>
      <t xml:space="preserve">Cancer - Nonlinear
</t>
    </r>
    <r>
      <rPr>
        <sz val="10"/>
        <rFont val="Times New Roman"/>
        <family val="1"/>
      </rPr>
      <t xml:space="preserve">{U.S. EPA, 2010, 3490869} </t>
    </r>
  </si>
  <si>
    <r>
      <t xml:space="preserve">Cancer - Nonlinear
</t>
    </r>
    <r>
      <rPr>
        <sz val="10"/>
        <rFont val="Times New Roman"/>
        <family val="1"/>
      </rPr>
      <t>{U.S. EPA, 2010, 3490869}</t>
    </r>
  </si>
  <si>
    <r>
      <t>IUR (m</t>
    </r>
    <r>
      <rPr>
        <b/>
        <vertAlign val="superscript"/>
        <sz val="10"/>
        <color theme="1"/>
        <rFont val="Times New Roman"/>
        <family val="1"/>
      </rPr>
      <t>3</t>
    </r>
    <r>
      <rPr>
        <b/>
        <sz val="10"/>
        <color theme="1"/>
        <rFont val="Times New Roman"/>
        <family val="1"/>
      </rPr>
      <t>/mg)</t>
    </r>
  </si>
  <si>
    <r>
      <t xml:space="preserve">Cancer - Linear
</t>
    </r>
    <r>
      <rPr>
        <sz val="10"/>
        <rFont val="Times New Roman"/>
        <family val="1"/>
      </rPr>
      <t xml:space="preserve">{U.S. EPA, 2010, 3490869} </t>
    </r>
  </si>
  <si>
    <r>
      <t xml:space="preserve">Cancer - Linear
</t>
    </r>
    <r>
      <rPr>
        <sz val="10"/>
        <rFont val="Times New Roman"/>
        <family val="1"/>
      </rPr>
      <t>Dermal slope, {U.S. EPA, 2010, 3490869}</t>
    </r>
  </si>
  <si>
    <r>
      <t>CRD</t>
    </r>
    <r>
      <rPr>
        <b/>
        <vertAlign val="subscript"/>
        <sz val="10"/>
        <rFont val="Times New Roman"/>
        <family val="1"/>
      </rPr>
      <t xml:space="preserve">CCl4 </t>
    </r>
    <r>
      <rPr>
        <b/>
        <sz val="10"/>
        <rFont val="Times New Roman"/>
        <family val="1"/>
      </rPr>
      <t>(mg/kg-day)</t>
    </r>
  </si>
  <si>
    <r>
      <t>HEC 8-hr (mg/m</t>
    </r>
    <r>
      <rPr>
        <b/>
        <vertAlign val="superscript"/>
        <sz val="11"/>
        <rFont val="Times New Roman"/>
        <family val="1"/>
      </rPr>
      <t>3</t>
    </r>
    <r>
      <rPr>
        <b/>
        <sz val="11"/>
        <rFont val="Times New Roman"/>
        <family val="1"/>
      </rPr>
      <t>)</t>
    </r>
  </si>
  <si>
    <r>
      <t>HEC 12-hr (mg/m</t>
    </r>
    <r>
      <rPr>
        <b/>
        <vertAlign val="superscript"/>
        <sz val="11"/>
        <rFont val="Times New Roman"/>
        <family val="1"/>
      </rPr>
      <t>3</t>
    </r>
    <r>
      <rPr>
        <b/>
        <sz val="11"/>
        <rFont val="Times New Roman"/>
        <family val="1"/>
      </rPr>
      <t>)</t>
    </r>
  </si>
  <si>
    <r>
      <t>IUR (m</t>
    </r>
    <r>
      <rPr>
        <b/>
        <vertAlign val="superscript"/>
        <sz val="11"/>
        <rFont val="Times New Roman"/>
        <family val="1"/>
      </rPr>
      <t>3</t>
    </r>
    <r>
      <rPr>
        <b/>
        <sz val="11"/>
        <rFont val="Times New Roman"/>
        <family val="1"/>
      </rPr>
      <t>/mg)</t>
    </r>
  </si>
  <si>
    <r>
      <t>Fraction Absorbed, f</t>
    </r>
    <r>
      <rPr>
        <b/>
        <vertAlign val="subscript"/>
        <sz val="11"/>
        <color theme="1"/>
        <rFont val="Times New Roman"/>
        <family val="1"/>
      </rPr>
      <t>abs</t>
    </r>
  </si>
  <si>
    <r>
      <t>Max Y</t>
    </r>
    <r>
      <rPr>
        <b/>
        <vertAlign val="subscript"/>
        <sz val="11"/>
        <color rgb="FF000000"/>
        <rFont val="Times New Roman"/>
        <family val="1"/>
      </rPr>
      <t>derm</t>
    </r>
  </si>
  <si>
    <r>
      <t>Calculated Fraction Absorbed, F</t>
    </r>
    <r>
      <rPr>
        <vertAlign val="subscript"/>
        <sz val="11"/>
        <color theme="1"/>
        <rFont val="Times New Roman"/>
        <family val="1"/>
      </rPr>
      <t>abs</t>
    </r>
  </si>
  <si>
    <r>
      <t>2-Hand Surface Area (cm</t>
    </r>
    <r>
      <rPr>
        <b/>
        <vertAlign val="superscript"/>
        <sz val="11"/>
        <color theme="1"/>
        <rFont val="Times New Roman"/>
        <family val="1"/>
      </rPr>
      <t>2</t>
    </r>
    <r>
      <rPr>
        <b/>
        <sz val="11"/>
        <color theme="1"/>
        <rFont val="Times New Roman"/>
        <family val="1"/>
      </rPr>
      <t>)</t>
    </r>
  </si>
  <si>
    <r>
      <t>Quantity Remaining on Skin (Qu) 
(mg/cm</t>
    </r>
    <r>
      <rPr>
        <b/>
        <vertAlign val="superscript"/>
        <sz val="11"/>
        <color theme="1"/>
        <rFont val="Times New Roman"/>
        <family val="1"/>
      </rPr>
      <t>2</t>
    </r>
    <r>
      <rPr>
        <b/>
        <sz val="11"/>
        <color theme="1"/>
        <rFont val="Times New Roman"/>
        <family val="1"/>
      </rPr>
      <t>-event)</t>
    </r>
  </si>
  <si>
    <r>
      <t>APDR</t>
    </r>
    <r>
      <rPr>
        <b/>
        <vertAlign val="subscript"/>
        <sz val="11"/>
        <color theme="1"/>
        <rFont val="Times New Roman"/>
        <family val="1"/>
      </rPr>
      <t>exp</t>
    </r>
    <r>
      <rPr>
        <b/>
        <sz val="11"/>
        <color theme="1"/>
        <rFont val="Times New Roman"/>
        <family val="1"/>
      </rPr>
      <t xml:space="preserve"> (mg/day)</t>
    </r>
  </si>
  <si>
    <r>
      <t>ARD</t>
    </r>
    <r>
      <rPr>
        <b/>
        <vertAlign val="subscript"/>
        <sz val="11"/>
        <rFont val="Times New Roman"/>
        <family val="1"/>
      </rPr>
      <t>CCl4</t>
    </r>
    <r>
      <rPr>
        <b/>
        <sz val="11"/>
        <rFont val="Times New Roman"/>
        <family val="1"/>
      </rPr>
      <t xml:space="preserve"> (mg/kg-day)</t>
    </r>
  </si>
  <si>
    <r>
      <t>CRD</t>
    </r>
    <r>
      <rPr>
        <b/>
        <vertAlign val="subscript"/>
        <sz val="11"/>
        <rFont val="Times New Roman"/>
        <family val="1"/>
      </rPr>
      <t>CCl4</t>
    </r>
    <r>
      <rPr>
        <b/>
        <sz val="11"/>
        <rFont val="Times New Roman"/>
        <family val="1"/>
      </rPr>
      <t xml:space="preserve"> (mg/kg-day)</t>
    </r>
  </si>
  <si>
    <r>
      <t>C</t>
    </r>
    <r>
      <rPr>
        <b/>
        <vertAlign val="subscript"/>
        <sz val="10"/>
        <color theme="1"/>
        <rFont val="Times New Roman"/>
        <family val="1"/>
      </rPr>
      <t>CCl4</t>
    </r>
    <r>
      <rPr>
        <b/>
        <sz val="10"/>
        <color theme="1"/>
        <rFont val="Times New Roman"/>
        <family val="1"/>
      </rPr>
      <t>, 8 or 12-hr TWA (mg/m3)</t>
    </r>
  </si>
  <si>
    <r>
      <t>AC</t>
    </r>
    <r>
      <rPr>
        <b/>
        <vertAlign val="subscript"/>
        <sz val="10"/>
        <color theme="1"/>
        <rFont val="Times New Roman"/>
        <family val="1"/>
      </rPr>
      <t>CCl4</t>
    </r>
    <r>
      <rPr>
        <b/>
        <vertAlign val="subscript"/>
        <sz val="9"/>
        <rFont val="Times New Roman"/>
        <family val="1"/>
      </rPr>
      <t>, 8 or 12-hr TWA</t>
    </r>
    <r>
      <rPr>
        <b/>
        <sz val="9"/>
        <rFont val="Times New Roman"/>
        <family val="1"/>
      </rPr>
      <t xml:space="preserve"> (mg/m3)</t>
    </r>
  </si>
  <si>
    <r>
      <t>ADC</t>
    </r>
    <r>
      <rPr>
        <b/>
        <vertAlign val="subscript"/>
        <sz val="10"/>
        <rFont val="Times New Roman"/>
        <family val="1"/>
      </rPr>
      <t xml:space="preserve">CCl4 </t>
    </r>
    <r>
      <rPr>
        <b/>
        <sz val="10"/>
        <rFont val="Times New Roman"/>
        <family val="1"/>
      </rPr>
      <t>(mg/m3)</t>
    </r>
  </si>
  <si>
    <r>
      <t>LADC</t>
    </r>
    <r>
      <rPr>
        <b/>
        <vertAlign val="subscript"/>
        <sz val="10"/>
        <rFont val="Times New Roman"/>
        <family val="1"/>
      </rPr>
      <t>CCl4</t>
    </r>
    <r>
      <rPr>
        <b/>
        <sz val="10"/>
        <rFont val="Times New Roman"/>
        <family val="1"/>
      </rPr>
      <t xml:space="preserve"> (mg/m3)</t>
    </r>
  </si>
  <si>
    <r>
      <t>2 Hand Surface Area (cm</t>
    </r>
    <r>
      <rPr>
        <b/>
        <vertAlign val="superscript"/>
        <sz val="11"/>
        <color theme="1"/>
        <rFont val="Times New Roman"/>
        <family val="1"/>
      </rPr>
      <t>2</t>
    </r>
    <r>
      <rPr>
        <b/>
        <sz val="11"/>
        <color theme="1"/>
        <rFont val="Times New Roman"/>
        <family val="1"/>
      </rPr>
      <t>) - High End</t>
    </r>
  </si>
  <si>
    <r>
      <t>2 Hand Surface Area (cm</t>
    </r>
    <r>
      <rPr>
        <b/>
        <vertAlign val="superscript"/>
        <sz val="11"/>
        <color theme="1"/>
        <rFont val="Times New Roman"/>
        <family val="1"/>
      </rPr>
      <t>2</t>
    </r>
    <r>
      <rPr>
        <b/>
        <sz val="11"/>
        <color theme="1"/>
        <rFont val="Times New Roman"/>
        <family val="1"/>
      </rPr>
      <t>) - Central Tendency</t>
    </r>
  </si>
  <si>
    <t>Read Me</t>
  </si>
  <si>
    <t>Health Data</t>
  </si>
  <si>
    <t>Dermal Crosswalk</t>
  </si>
  <si>
    <t>Dermal Exposure</t>
  </si>
  <si>
    <t>List Values</t>
  </si>
  <si>
    <t>Manufacture_raw data</t>
  </si>
  <si>
    <t>Worksheet</t>
  </si>
  <si>
    <t>This tab calculates and displays MOE values for the condition of use, type of worker, and type of respiratory protection selected by the user.</t>
  </si>
  <si>
    <t>This tab explains the key worksheets in this workbook.</t>
  </si>
  <si>
    <t xml:space="preserve">This tab contains the original sources and the associated inhalation data used to calculate 8-hr or 12-hr TWA exposure values for workers and ONUs during the manufacture of carbon tetrachloride. </t>
  </si>
  <si>
    <t>This tab calculates the dermal exposure estimates (dose) for each condition of use.</t>
  </si>
  <si>
    <t>This tab calculates the inhalation exposure estimates (dose) for each condition of use.</t>
  </si>
  <si>
    <t>This tab contains the exposure factors used to calculate dermal exposures for varying worker types in the "Dashboard" and "RR" tabs.</t>
  </si>
  <si>
    <t>This tab contains the health risk parameter values, which includes the benchmarch MOE values that are used in the "Dashboard" and "RR" tabs in order to estimate risk.</t>
  </si>
  <si>
    <t>This tab displays the risk reduction(RR)/management options for the inhalation route (based on user selection in "Dashboard" tab).</t>
  </si>
  <si>
    <t>This tab contains the parameter values used to calculate the inhalation and dermal exposure calculations throughout the workbook.</t>
  </si>
  <si>
    <t>This tab contains dermal exposure conditions for each condition of use which are used in the "Dermal Exposure" tab.</t>
  </si>
  <si>
    <t>Final Risk Evaluation for Carbon Tetrachloride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</si>
</sst>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0.000"/>
    <numFmt numFmtId="166" formatCode="0.0E+00"/>
    <numFmt numFmtId="167" formatCode="0.0000"/>
    <numFmt numFmtId="168" formatCode="0.0%"/>
    <numFmt numFmtId="169" formatCode="0.00000"/>
    <numFmt numFmtId="170" formatCode="#,##0.0"/>
    <numFmt numFmtId="171" formatCode="#,##0.0000"/>
    <numFmt numFmtId="172" formatCode="0.00000000"/>
  </numFmts>
  <fonts count="62" x14ac:knownFonts="1">
    <font>
      <sz val="11"/>
      <color theme="1"/>
      <name val="Calibri"/>
      <family val="2"/>
      <scheme val="minor"/>
    </font>
    <font>
      <sz val="11"/>
      <color theme="1"/>
      <name val="Calibri"/>
      <family val="2"/>
      <scheme val="minor"/>
    </font>
    <font>
      <sz val="10"/>
      <name val="Arial"/>
      <family val="2"/>
    </font>
    <font>
      <sz val="10"/>
      <name val="Times New Roman"/>
      <family val="1"/>
    </font>
    <font>
      <b/>
      <sz val="10"/>
      <name val="Times New Roman"/>
      <family val="1"/>
    </font>
    <font>
      <sz val="8"/>
      <name val="Calibri"/>
      <family val="2"/>
      <scheme val="minor"/>
    </font>
    <font>
      <b/>
      <sz val="12"/>
      <color theme="1"/>
      <name val="Times New Roman"/>
      <family val="1"/>
    </font>
    <font>
      <b/>
      <sz val="12"/>
      <name val="Times New Roman"/>
      <family val="1"/>
    </font>
    <font>
      <b/>
      <sz val="9"/>
      <color indexed="81"/>
      <name val="Tahoma"/>
      <family val="2"/>
    </font>
    <font>
      <sz val="9"/>
      <color indexed="81"/>
      <name val="Tahoma"/>
      <family val="2"/>
    </font>
    <font>
      <sz val="10"/>
      <color theme="1"/>
      <name val="Times New Roman"/>
      <family val="1"/>
    </font>
    <font>
      <sz val="10"/>
      <color rgb="FFFF0000"/>
      <name val="Times New Roman"/>
      <family val="1"/>
    </font>
    <font>
      <sz val="10"/>
      <color theme="4" tint="-0.249977111117893"/>
      <name val="Times New Roman"/>
      <family val="1"/>
    </font>
    <font>
      <b/>
      <sz val="18"/>
      <color theme="1"/>
      <name val="Times New Roman"/>
      <family val="1"/>
    </font>
    <font>
      <b/>
      <sz val="11"/>
      <color theme="1"/>
      <name val="Times New Roman"/>
      <family val="1"/>
    </font>
    <font>
      <sz val="11"/>
      <color theme="1"/>
      <name val="Times New Roman"/>
      <family val="1"/>
    </font>
    <font>
      <b/>
      <sz val="11"/>
      <color rgb="FFFF0000"/>
      <name val="Times New Roman"/>
      <family val="1"/>
    </font>
    <font>
      <sz val="11"/>
      <name val="Times New Roman"/>
      <family val="1"/>
    </font>
    <font>
      <b/>
      <sz val="11"/>
      <color rgb="FF25F74D"/>
      <name val="Times New Roman"/>
      <family val="1"/>
    </font>
    <font>
      <b/>
      <u/>
      <sz val="11"/>
      <color rgb="FF25F74D"/>
      <name val="Times New Roman"/>
      <family val="1"/>
    </font>
    <font>
      <i/>
      <sz val="11"/>
      <color theme="1"/>
      <name val="Times New Roman"/>
      <family val="1"/>
    </font>
    <font>
      <b/>
      <sz val="12"/>
      <color theme="3" tint="-0.249977111117893"/>
      <name val="Times New Roman"/>
      <family val="1"/>
    </font>
    <font>
      <b/>
      <i/>
      <sz val="14"/>
      <name val="Times New Roman"/>
      <family val="1"/>
    </font>
    <font>
      <b/>
      <sz val="14"/>
      <name val="Times New Roman"/>
      <family val="1"/>
    </font>
    <font>
      <sz val="14"/>
      <name val="Times New Roman"/>
      <family val="1"/>
    </font>
    <font>
      <b/>
      <sz val="11"/>
      <name val="Times New Roman"/>
      <family val="1"/>
    </font>
    <font>
      <b/>
      <i/>
      <sz val="16"/>
      <name val="Times New Roman"/>
      <family val="1"/>
    </font>
    <font>
      <b/>
      <sz val="16"/>
      <color theme="1"/>
      <name val="Times New Roman"/>
      <family val="1"/>
    </font>
    <font>
      <b/>
      <sz val="11"/>
      <color theme="9" tint="0.79998168889431442"/>
      <name val="Times New Roman"/>
      <family val="1"/>
    </font>
    <font>
      <b/>
      <vertAlign val="subscript"/>
      <sz val="10"/>
      <name val="Times New Roman"/>
      <family val="1"/>
    </font>
    <font>
      <b/>
      <vertAlign val="superscript"/>
      <sz val="10"/>
      <name val="Times New Roman"/>
      <family val="1"/>
    </font>
    <font>
      <b/>
      <vertAlign val="subscript"/>
      <sz val="10"/>
      <color theme="1"/>
      <name val="Times New Roman"/>
      <family val="1"/>
    </font>
    <font>
      <b/>
      <sz val="10"/>
      <color theme="1"/>
      <name val="Times New Roman"/>
      <family val="1"/>
    </font>
    <font>
      <b/>
      <sz val="16"/>
      <name val="Times New Roman"/>
      <family val="1"/>
    </font>
    <font>
      <b/>
      <vertAlign val="superscript"/>
      <sz val="10"/>
      <color theme="1"/>
      <name val="Times New Roman"/>
      <family val="1"/>
    </font>
    <font>
      <sz val="11"/>
      <color theme="0" tint="-4.9989318521683403E-2"/>
      <name val="Times New Roman"/>
      <family val="1"/>
    </font>
    <font>
      <sz val="11"/>
      <color rgb="FFFF0000"/>
      <name val="Times New Roman"/>
      <family val="1"/>
    </font>
    <font>
      <sz val="11"/>
      <color theme="0"/>
      <name val="Times New Roman"/>
      <family val="1"/>
    </font>
    <font>
      <sz val="10"/>
      <color theme="0"/>
      <name val="Times New Roman"/>
      <family val="1"/>
    </font>
    <font>
      <b/>
      <i/>
      <sz val="10"/>
      <name val="Times New Roman"/>
      <family val="1"/>
    </font>
    <font>
      <b/>
      <sz val="10"/>
      <color theme="8" tint="0.79998168889431442"/>
      <name val="Times New Roman"/>
      <family val="1"/>
    </font>
    <font>
      <b/>
      <sz val="10"/>
      <color rgb="FF000000"/>
      <name val="Times New Roman"/>
      <family val="1"/>
    </font>
    <font>
      <u/>
      <sz val="11"/>
      <color theme="1"/>
      <name val="Times New Roman"/>
      <family val="1"/>
    </font>
    <font>
      <sz val="10"/>
      <color theme="0" tint="-4.9989318521683403E-2"/>
      <name val="Times New Roman"/>
      <family val="1"/>
    </font>
    <font>
      <b/>
      <sz val="14"/>
      <color theme="1"/>
      <name val="Times New Roman"/>
      <family val="1"/>
    </font>
    <font>
      <sz val="14"/>
      <color theme="1"/>
      <name val="Times New Roman"/>
      <family val="1"/>
    </font>
    <font>
      <b/>
      <vertAlign val="superscript"/>
      <sz val="11"/>
      <name val="Times New Roman"/>
      <family val="1"/>
    </font>
    <font>
      <u/>
      <sz val="11"/>
      <name val="Times New Roman"/>
      <family val="1"/>
    </font>
    <font>
      <b/>
      <sz val="11"/>
      <color rgb="FF000000"/>
      <name val="Times New Roman"/>
      <family val="1"/>
    </font>
    <font>
      <b/>
      <vertAlign val="subscript"/>
      <sz val="11"/>
      <color theme="1"/>
      <name val="Times New Roman"/>
      <family val="1"/>
    </font>
    <font>
      <b/>
      <vertAlign val="subscript"/>
      <sz val="11"/>
      <color rgb="FF000000"/>
      <name val="Times New Roman"/>
      <family val="1"/>
    </font>
    <font>
      <vertAlign val="subscript"/>
      <sz val="11"/>
      <color theme="1"/>
      <name val="Times New Roman"/>
      <family val="1"/>
    </font>
    <font>
      <b/>
      <vertAlign val="superscript"/>
      <sz val="11"/>
      <color theme="1"/>
      <name val="Times New Roman"/>
      <family val="1"/>
    </font>
    <font>
      <b/>
      <vertAlign val="subscript"/>
      <sz val="11"/>
      <name val="Times New Roman"/>
      <family val="1"/>
    </font>
    <font>
      <sz val="11"/>
      <color rgb="FF000000"/>
      <name val="Times New Roman"/>
      <family val="1"/>
    </font>
    <font>
      <b/>
      <vertAlign val="subscript"/>
      <sz val="9"/>
      <name val="Times New Roman"/>
      <family val="1"/>
    </font>
    <font>
      <b/>
      <sz val="9"/>
      <name val="Times New Roman"/>
      <family val="1"/>
    </font>
    <font>
      <sz val="10"/>
      <color rgb="FF000000"/>
      <name val="Times New Roman"/>
      <family val="1"/>
    </font>
    <font>
      <sz val="11"/>
      <color theme="4" tint="-0.249977111117893"/>
      <name val="Times New Roman"/>
      <family val="1"/>
    </font>
    <font>
      <b/>
      <sz val="10"/>
      <color indexed="8"/>
      <name val="Times New Roman"/>
      <family val="1"/>
    </font>
    <font>
      <u/>
      <sz val="11"/>
      <color theme="10"/>
      <name val="Calibri"/>
      <family val="2"/>
      <scheme val="minor"/>
    </font>
    <font>
      <u/>
      <sz val="11"/>
      <color theme="10"/>
      <name val="Times New Roman"/>
      <family val="1"/>
    </font>
  </fonts>
  <fills count="27">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8" tint="0.39994506668294322"/>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rgb="FFFFFFFF"/>
        <bgColor rgb="FF000000"/>
      </patternFill>
    </fill>
    <fill>
      <patternFill patternType="solid">
        <fgColor theme="0"/>
        <bgColor theme="4" tint="0.79998168889431442"/>
      </patternFill>
    </fill>
    <fill>
      <patternFill patternType="solid">
        <fgColor theme="9" tint="-0.249977111117893"/>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theme="8" tint="-0.249977111117893"/>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rgb="FFD9D9D9"/>
        <bgColor indexed="64"/>
      </patternFill>
    </fill>
    <fill>
      <patternFill patternType="solid">
        <fgColor theme="4" tint="0.79998168889431442"/>
        <bgColor indexed="64"/>
      </patternFill>
    </fill>
    <fill>
      <patternFill patternType="solid">
        <fgColor theme="0"/>
        <bgColor rgb="FF000000"/>
      </patternFill>
    </fill>
    <fill>
      <patternFill patternType="solid">
        <fgColor theme="4" tint="0.39997558519241921"/>
        <bgColor indexed="64"/>
      </patternFill>
    </fill>
    <fill>
      <patternFill patternType="lightUp">
        <bgColor theme="0" tint="-0.14996795556505021"/>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4" tint="0.59996337778862885"/>
        <bgColor indexed="64"/>
      </patternFill>
    </fill>
    <fill>
      <patternFill patternType="solid">
        <fgColor theme="2" tint="-0.24994659260841701"/>
        <bgColor indexed="64"/>
      </patternFill>
    </fill>
    <fill>
      <patternFill patternType="solid">
        <fgColor theme="0" tint="-0.24994659260841701"/>
        <bgColor indexed="64"/>
      </patternFill>
    </fill>
  </fills>
  <borders count="1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medium">
        <color auto="1"/>
      </left>
      <right/>
      <top style="medium">
        <color auto="1"/>
      </top>
      <bottom style="thin">
        <color auto="1"/>
      </bottom>
      <diagonal/>
    </border>
    <border>
      <left style="thin">
        <color auto="1"/>
      </left>
      <right/>
      <top style="dashed">
        <color auto="1"/>
      </top>
      <bottom/>
      <diagonal/>
    </border>
    <border>
      <left/>
      <right/>
      <top style="dashed">
        <color auto="1"/>
      </top>
      <bottom/>
      <diagonal/>
    </border>
    <border>
      <left style="thin">
        <color auto="1"/>
      </left>
      <right/>
      <top/>
      <bottom style="dashed">
        <color auto="1"/>
      </bottom>
      <diagonal/>
    </border>
    <border>
      <left/>
      <right/>
      <top/>
      <bottom style="dashed">
        <color auto="1"/>
      </bottom>
      <diagonal/>
    </border>
    <border>
      <left/>
      <right style="thin">
        <color auto="1"/>
      </right>
      <top/>
      <bottom style="dashed">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top/>
      <bottom style="medium">
        <color auto="1"/>
      </bottom>
      <diagonal/>
    </border>
    <border>
      <left style="thin">
        <color auto="1"/>
      </left>
      <right style="thin">
        <color auto="1"/>
      </right>
      <top style="thin">
        <color auto="1"/>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auto="1"/>
      </left>
      <right style="thin">
        <color auto="1"/>
      </right>
      <top/>
      <bottom style="medium">
        <color auto="1"/>
      </bottom>
      <diagonal/>
    </border>
    <border>
      <left/>
      <right style="medium">
        <color indexed="64"/>
      </right>
      <top/>
      <bottom/>
      <diagonal/>
    </border>
    <border>
      <left style="medium">
        <color indexed="64"/>
      </left>
      <right style="thin">
        <color indexed="64"/>
      </right>
      <top/>
      <bottom style="medium">
        <color indexed="64"/>
      </bottom>
      <diagonal/>
    </border>
    <border>
      <left style="thin">
        <color auto="1"/>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style="thin">
        <color indexed="64"/>
      </right>
      <top/>
      <bottom/>
      <diagonal/>
    </border>
    <border>
      <left style="thin">
        <color indexed="64"/>
      </left>
      <right style="medium">
        <color indexed="64"/>
      </right>
      <top/>
      <bottom style="medium">
        <color indexed="64"/>
      </bottom>
      <diagonal/>
    </border>
    <border>
      <left/>
      <right style="medium">
        <color auto="1"/>
      </right>
      <top style="medium">
        <color auto="1"/>
      </top>
      <bottom style="thin">
        <color auto="1"/>
      </bottom>
      <diagonal/>
    </border>
    <border>
      <left style="medium">
        <color indexed="64"/>
      </left>
      <right style="medium">
        <color auto="1"/>
      </right>
      <top style="thin">
        <color indexed="64"/>
      </top>
      <bottom style="medium">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medium">
        <color auto="1"/>
      </top>
      <bottom/>
      <diagonal/>
    </border>
    <border>
      <left/>
      <right/>
      <top style="medium">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bottom/>
      <diagonal/>
    </border>
    <border>
      <left/>
      <right/>
      <top style="medium">
        <color auto="1"/>
      </top>
      <bottom/>
      <diagonal/>
    </border>
    <border>
      <left/>
      <right style="thin">
        <color indexed="64"/>
      </right>
      <top style="medium">
        <color auto="1"/>
      </top>
      <bottom style="thin">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bottom style="medium">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medium">
        <color auto="1"/>
      </left>
      <right style="medium">
        <color indexed="64"/>
      </right>
      <top style="medium">
        <color auto="1"/>
      </top>
      <bottom style="medium">
        <color auto="1"/>
      </bottom>
      <diagonal/>
    </border>
    <border>
      <left style="medium">
        <color indexed="64"/>
      </left>
      <right style="medium">
        <color indexed="64"/>
      </right>
      <top style="thin">
        <color theme="1"/>
      </top>
      <bottom style="thin">
        <color theme="1"/>
      </bottom>
      <diagonal/>
    </border>
    <border>
      <left style="medium">
        <color indexed="64"/>
      </left>
      <right style="medium">
        <color indexed="64"/>
      </right>
      <top style="thin">
        <color theme="1"/>
      </top>
      <bottom style="medium">
        <color indexed="64"/>
      </bottom>
      <diagonal/>
    </border>
    <border>
      <left style="thin">
        <color theme="0" tint="-0.14996795556505021"/>
      </left>
      <right/>
      <top/>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auto="1"/>
      </left>
      <right style="dotted">
        <color auto="1"/>
      </right>
      <top style="dotted">
        <color auto="1"/>
      </top>
      <bottom style="dotted">
        <color auto="1"/>
      </bottom>
      <diagonal/>
    </border>
    <border>
      <left style="dotted">
        <color auto="1"/>
      </left>
      <right style="medium">
        <color indexed="64"/>
      </right>
      <top style="dotted">
        <color auto="1"/>
      </top>
      <bottom style="medium">
        <color auto="1"/>
      </bottom>
      <diagonal/>
    </border>
    <border>
      <left style="dotted">
        <color auto="1"/>
      </left>
      <right style="dotted">
        <color auto="1"/>
      </right>
      <top style="dotted">
        <color auto="1"/>
      </top>
      <bottom/>
      <diagonal/>
    </border>
    <border>
      <left style="medium">
        <color auto="1"/>
      </left>
      <right style="dotted">
        <color auto="1"/>
      </right>
      <top/>
      <bottom style="dotted">
        <color auto="1"/>
      </bottom>
      <diagonal/>
    </border>
    <border>
      <left style="dotted">
        <color auto="1"/>
      </left>
      <right style="dotted">
        <color auto="1"/>
      </right>
      <top/>
      <bottom style="dotted">
        <color auto="1"/>
      </bottom>
      <diagonal/>
    </border>
    <border>
      <left style="dotted">
        <color auto="1"/>
      </left>
      <right style="medium">
        <color indexed="64"/>
      </right>
      <top/>
      <bottom style="dotted">
        <color auto="1"/>
      </bottom>
      <diagonal/>
    </border>
    <border>
      <left style="medium">
        <color indexed="64"/>
      </left>
      <right style="medium">
        <color indexed="64"/>
      </right>
      <top style="double">
        <color indexed="64"/>
      </top>
      <bottom style="thin">
        <color indexed="64"/>
      </bottom>
      <diagonal/>
    </border>
    <border>
      <left style="medium">
        <color auto="1"/>
      </left>
      <right/>
      <top/>
      <bottom/>
      <diagonal/>
    </border>
    <border>
      <left style="thin">
        <color indexed="64"/>
      </left>
      <right/>
      <top style="medium">
        <color indexed="64"/>
      </top>
      <bottom/>
      <diagonal/>
    </border>
    <border>
      <left/>
      <right style="thin">
        <color indexed="64"/>
      </right>
      <top style="thin">
        <color indexed="64"/>
      </top>
      <bottom style="thin">
        <color indexed="64"/>
      </bottom>
      <diagonal/>
    </border>
    <border>
      <left/>
      <right/>
      <top style="dashed">
        <color auto="1"/>
      </top>
      <bottom style="dashed">
        <color auto="1"/>
      </bottom>
      <diagonal/>
    </border>
    <border>
      <left/>
      <right style="thin">
        <color auto="1"/>
      </right>
      <top style="dashed">
        <color auto="1"/>
      </top>
      <bottom style="dashed">
        <color auto="1"/>
      </bottom>
      <diagonal/>
    </border>
    <border>
      <left/>
      <right style="medium">
        <color indexed="64"/>
      </right>
      <top style="thin">
        <color indexed="64"/>
      </top>
      <bottom style="medium">
        <color indexed="64"/>
      </bottom>
      <diagonal/>
    </border>
    <border>
      <left style="dotted">
        <color auto="1"/>
      </left>
      <right style="dotted">
        <color auto="1"/>
      </right>
      <top/>
      <bottom/>
      <diagonal/>
    </border>
    <border>
      <left style="dotted">
        <color auto="1"/>
      </left>
      <right style="medium">
        <color indexed="64"/>
      </right>
      <top/>
      <bottom style="dashed">
        <color auto="1"/>
      </bottom>
      <diagonal/>
    </border>
    <border>
      <left style="dotted">
        <color auto="1"/>
      </left>
      <right style="dotted">
        <color auto="1"/>
      </right>
      <top/>
      <bottom style="medium">
        <color auto="1"/>
      </bottom>
      <diagonal/>
    </border>
    <border>
      <left/>
      <right/>
      <top style="dashed">
        <color auto="1"/>
      </top>
      <bottom style="thin">
        <color indexed="64"/>
      </bottom>
      <diagonal/>
    </border>
    <border>
      <left style="medium">
        <color auto="1"/>
      </left>
      <right/>
      <top/>
      <bottom style="medium">
        <color auto="1"/>
      </bottom>
      <diagonal/>
    </border>
    <border>
      <left style="medium">
        <color auto="1"/>
      </left>
      <right/>
      <top style="medium">
        <color indexed="64"/>
      </top>
      <bottom/>
      <diagonal/>
    </border>
    <border>
      <left style="dotted">
        <color auto="1"/>
      </left>
      <right style="dotted">
        <color auto="1"/>
      </right>
      <top style="dashed">
        <color indexed="64"/>
      </top>
      <bottom/>
      <diagonal/>
    </border>
    <border>
      <left/>
      <right style="thin">
        <color auto="1"/>
      </right>
      <top style="thin">
        <color auto="1"/>
      </top>
      <bottom style="medium">
        <color indexed="64"/>
      </bottom>
      <diagonal/>
    </border>
    <border>
      <left style="medium">
        <color auto="1"/>
      </left>
      <right style="dotted">
        <color auto="1"/>
      </right>
      <top style="dotted">
        <color auto="1"/>
      </top>
      <bottom/>
      <diagonal/>
    </border>
    <border>
      <left style="medium">
        <color auto="1"/>
      </left>
      <right style="dotted">
        <color auto="1"/>
      </right>
      <top/>
      <bottom/>
      <diagonal/>
    </border>
    <border>
      <left style="medium">
        <color auto="1"/>
      </left>
      <right style="dotted">
        <color auto="1"/>
      </right>
      <top/>
      <bottom style="medium">
        <color auto="1"/>
      </bottom>
      <diagonal/>
    </border>
    <border>
      <left/>
      <right/>
      <top style="thin">
        <color indexed="64"/>
      </top>
      <bottom style="medium">
        <color indexed="64"/>
      </bottom>
      <diagonal/>
    </border>
    <border>
      <left/>
      <right/>
      <top style="thin">
        <color indexed="64"/>
      </top>
      <bottom style="thin">
        <color indexed="64"/>
      </bottom>
      <diagonal/>
    </border>
    <border>
      <left style="dotted">
        <color auto="1"/>
      </left>
      <right style="dashed">
        <color indexed="64"/>
      </right>
      <top/>
      <bottom style="dashed">
        <color auto="1"/>
      </bottom>
      <diagonal/>
    </border>
    <border>
      <left style="medium">
        <color auto="1"/>
      </left>
      <right style="dotted">
        <color indexed="64"/>
      </right>
      <top style="medium">
        <color indexed="64"/>
      </top>
      <bottom/>
      <diagonal/>
    </border>
    <border>
      <left style="dotted">
        <color indexed="64"/>
      </left>
      <right style="dashed">
        <color indexed="64"/>
      </right>
      <top style="medium">
        <color indexed="64"/>
      </top>
      <bottom/>
      <diagonal/>
    </border>
    <border>
      <left/>
      <right style="medium">
        <color indexed="64"/>
      </right>
      <top style="medium">
        <color indexed="64"/>
      </top>
      <bottom/>
      <diagonal/>
    </border>
    <border>
      <left style="dotted">
        <color auto="1"/>
      </left>
      <right style="medium">
        <color indexed="64"/>
      </right>
      <top style="dotted">
        <color indexed="64"/>
      </top>
      <bottom/>
      <diagonal/>
    </border>
    <border>
      <left style="dashed">
        <color indexed="64"/>
      </left>
      <right style="dotted">
        <color indexed="64"/>
      </right>
      <top style="medium">
        <color indexed="64"/>
      </top>
      <bottom/>
      <diagonal/>
    </border>
    <border>
      <left style="dashed">
        <color indexed="64"/>
      </left>
      <right style="dotted">
        <color indexed="64"/>
      </right>
      <top/>
      <bottom/>
      <diagonal/>
    </border>
    <border>
      <left style="dotted">
        <color auto="1"/>
      </left>
      <right style="medium">
        <color indexed="64"/>
      </right>
      <top/>
      <bottom/>
      <diagonal/>
    </border>
    <border>
      <left style="dotted">
        <color indexed="64"/>
      </left>
      <right style="medium">
        <color indexed="64"/>
      </right>
      <top style="dotted">
        <color indexed="64"/>
      </top>
      <bottom style="dotted">
        <color indexed="64"/>
      </bottom>
      <diagonal/>
    </border>
    <border>
      <left style="dotted">
        <color auto="1"/>
      </left>
      <right/>
      <top style="dotted">
        <color auto="1"/>
      </top>
      <bottom/>
      <diagonal/>
    </border>
    <border>
      <left style="dotted">
        <color auto="1"/>
      </left>
      <right/>
      <top/>
      <bottom style="dotted">
        <color indexed="64"/>
      </bottom>
      <diagonal/>
    </border>
    <border>
      <left style="thin">
        <color auto="1"/>
      </left>
      <right/>
      <top style="dashed">
        <color auto="1"/>
      </top>
      <bottom style="dashed">
        <color indexed="64"/>
      </bottom>
      <diagonal/>
    </border>
    <border>
      <left style="thick">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top style="thin">
        <color auto="1"/>
      </top>
      <bottom style="thin">
        <color auto="1"/>
      </bottom>
      <diagonal/>
    </border>
    <border>
      <left/>
      <right style="thick">
        <color auto="1"/>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right style="medium">
        <color indexed="64"/>
      </right>
      <top style="thin">
        <color indexed="64"/>
      </top>
      <bottom style="thin">
        <color indexed="64"/>
      </bottom>
      <diagonal/>
    </border>
    <border>
      <left style="thin">
        <color auto="1"/>
      </left>
      <right style="thin">
        <color auto="1"/>
      </right>
      <top style="thin">
        <color auto="1"/>
      </top>
      <bottom style="thick">
        <color auto="1"/>
      </bottom>
      <diagonal/>
    </border>
    <border>
      <left/>
      <right style="thin">
        <color auto="1"/>
      </right>
      <top style="dashed">
        <color auto="1"/>
      </top>
      <bottom style="thin">
        <color auto="1"/>
      </bottom>
      <diagonal/>
    </border>
    <border>
      <left/>
      <right style="thin">
        <color auto="1"/>
      </right>
      <top style="dashed">
        <color auto="1"/>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thin">
        <color auto="1"/>
      </right>
      <top style="thin">
        <color auto="1"/>
      </top>
      <bottom style="dashed">
        <color auto="1"/>
      </bottom>
      <diagonal/>
    </border>
  </borders>
  <cellStyleXfs count="4">
    <xf numFmtId="0" fontId="0" fillId="0" borderId="0"/>
    <xf numFmtId="9" fontId="1" fillId="0" borderId="0" applyFont="0" applyFill="0" applyBorder="0" applyAlignment="0" applyProtection="0"/>
    <xf numFmtId="0" fontId="2" fillId="0" borderId="0"/>
    <xf numFmtId="0" fontId="60" fillId="0" borderId="0" applyNumberFormat="0" applyFill="0" applyBorder="0" applyAlignment="0" applyProtection="0"/>
  </cellStyleXfs>
  <cellXfs count="855">
    <xf numFmtId="0" fontId="0" fillId="0" borderId="0" xfId="0"/>
    <xf numFmtId="0" fontId="7" fillId="0" borderId="8" xfId="0" applyFont="1" applyBorder="1" applyAlignment="1">
      <alignmen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horizontal="center"/>
    </xf>
    <xf numFmtId="0" fontId="12" fillId="0" borderId="1" xfId="0" applyFont="1" applyBorder="1" applyAlignment="1">
      <alignment horizontal="center"/>
    </xf>
    <xf numFmtId="0" fontId="13" fillId="0" borderId="0" xfId="0" applyFont="1" applyAlignment="1">
      <alignment horizontal="left" vertical="top"/>
    </xf>
    <xf numFmtId="0" fontId="13" fillId="0" borderId="0" xfId="0" applyFont="1" applyAlignment="1">
      <alignment horizontal="left" vertical="center"/>
    </xf>
    <xf numFmtId="0" fontId="6" fillId="0" borderId="0" xfId="0" applyFont="1" applyBorder="1" applyAlignment="1">
      <alignment vertical="center"/>
    </xf>
    <xf numFmtId="0" fontId="13" fillId="0" borderId="0" xfId="0" applyFont="1"/>
    <xf numFmtId="0" fontId="14" fillId="0" borderId="0" xfId="0" applyFont="1"/>
    <xf numFmtId="0" fontId="15" fillId="0" borderId="0" xfId="0" applyFont="1"/>
    <xf numFmtId="0" fontId="16" fillId="0" borderId="0" xfId="0" applyFont="1" applyAlignment="1" applyProtection="1">
      <alignment vertical="center"/>
      <protection hidden="1"/>
    </xf>
    <xf numFmtId="0" fontId="14" fillId="24" borderId="33" xfId="0" applyFont="1" applyFill="1" applyBorder="1"/>
    <xf numFmtId="0" fontId="15" fillId="24" borderId="33" xfId="0" applyFont="1" applyFill="1" applyBorder="1"/>
    <xf numFmtId="0" fontId="14" fillId="25" borderId="120" xfId="0" applyFont="1" applyFill="1" applyBorder="1" applyAlignment="1">
      <alignment horizontal="center"/>
    </xf>
    <xf numFmtId="0" fontId="14" fillId="25" borderId="121" xfId="0" applyFont="1" applyFill="1" applyBorder="1" applyAlignment="1">
      <alignment horizontal="center"/>
    </xf>
    <xf numFmtId="0" fontId="14" fillId="26" borderId="120" xfId="0" applyFont="1" applyFill="1" applyBorder="1" applyAlignment="1">
      <alignment horizontal="left" vertical="center"/>
    </xf>
    <xf numFmtId="0" fontId="15" fillId="0" borderId="121" xfId="0" applyFont="1" applyBorder="1" applyAlignment="1">
      <alignment wrapText="1"/>
    </xf>
    <xf numFmtId="0" fontId="14" fillId="26" borderId="122" xfId="0" applyFont="1" applyFill="1" applyBorder="1" applyAlignment="1">
      <alignment horizontal="left" vertical="center" wrapText="1"/>
    </xf>
    <xf numFmtId="0" fontId="15" fillId="0" borderId="123" xfId="0" applyFont="1" applyBorder="1" applyAlignment="1">
      <alignment vertical="top" wrapText="1"/>
    </xf>
    <xf numFmtId="0" fontId="14" fillId="0" borderId="0" xfId="0" applyFont="1" applyFill="1" applyBorder="1" applyAlignment="1">
      <alignment horizontal="left" vertical="center" wrapText="1"/>
    </xf>
    <xf numFmtId="0" fontId="15" fillId="0" borderId="0" xfId="0" applyFont="1" applyBorder="1" applyAlignment="1">
      <alignment vertical="top" wrapText="1"/>
    </xf>
    <xf numFmtId="0" fontId="21" fillId="0" borderId="0" xfId="0" applyFont="1" applyBorder="1" applyAlignment="1">
      <alignment horizontal="left" vertical="center" wrapText="1"/>
    </xf>
    <xf numFmtId="0" fontId="16" fillId="0" borderId="0" xfId="0" quotePrefix="1" applyFont="1" applyAlignment="1" applyProtection="1">
      <alignment vertical="center"/>
      <protection hidden="1"/>
    </xf>
    <xf numFmtId="0" fontId="15" fillId="3" borderId="0" xfId="0" applyFont="1" applyFill="1" applyAlignment="1">
      <alignment vertical="center"/>
    </xf>
    <xf numFmtId="0" fontId="15" fillId="3" borderId="0" xfId="0" applyFont="1" applyFill="1" applyAlignment="1">
      <alignment horizontal="center" vertical="center"/>
    </xf>
    <xf numFmtId="0" fontId="17" fillId="3" borderId="0" xfId="0" applyFont="1" applyFill="1" applyAlignment="1">
      <alignment vertical="center"/>
    </xf>
    <xf numFmtId="0" fontId="17" fillId="3" borderId="0" xfId="0" applyFont="1" applyFill="1" applyAlignment="1">
      <alignment horizontal="center" vertical="center"/>
    </xf>
    <xf numFmtId="0" fontId="22" fillId="4" borderId="38" xfId="0" applyFont="1" applyFill="1" applyBorder="1" applyAlignment="1">
      <alignment horizontal="center" vertical="center" wrapText="1"/>
    </xf>
    <xf numFmtId="0" fontId="23" fillId="4" borderId="37" xfId="0" applyFont="1" applyFill="1" applyBorder="1" applyAlignment="1">
      <alignment horizontal="center" vertical="center" wrapText="1"/>
    </xf>
    <xf numFmtId="0" fontId="23" fillId="4" borderId="18" xfId="0" applyFont="1" applyFill="1" applyBorder="1" applyAlignment="1">
      <alignment horizontal="center" vertical="center" wrapText="1"/>
    </xf>
    <xf numFmtId="0" fontId="23" fillId="4" borderId="20" xfId="0" applyFont="1" applyFill="1" applyBorder="1" applyAlignment="1">
      <alignment horizontal="center" vertical="center" wrapText="1"/>
    </xf>
    <xf numFmtId="0" fontId="24" fillId="2" borderId="23" xfId="0" applyFont="1" applyFill="1" applyBorder="1" applyAlignment="1" applyProtection="1">
      <alignment horizontal="center" vertical="center" wrapText="1"/>
      <protection locked="0"/>
    </xf>
    <xf numFmtId="1" fontId="24" fillId="2" borderId="24" xfId="1" applyNumberFormat="1" applyFont="1" applyFill="1" applyBorder="1" applyAlignment="1" applyProtection="1">
      <alignment horizontal="center" vertical="center" wrapText="1"/>
      <protection locked="0"/>
    </xf>
    <xf numFmtId="0" fontId="25" fillId="3" borderId="0" xfId="0" applyFont="1" applyFill="1" applyAlignment="1">
      <alignment horizontal="left" vertical="center"/>
    </xf>
    <xf numFmtId="0" fontId="17" fillId="3" borderId="0" xfId="0" applyFont="1" applyFill="1" applyAlignment="1">
      <alignment vertical="center" wrapText="1"/>
    </xf>
    <xf numFmtId="0" fontId="17" fillId="3" borderId="0" xfId="0" applyFont="1" applyFill="1" applyAlignment="1">
      <alignment horizontal="left" vertical="center" wrapText="1"/>
    </xf>
    <xf numFmtId="0" fontId="10" fillId="3" borderId="0" xfId="0" applyFont="1" applyFill="1" applyAlignment="1">
      <alignment vertical="center" wrapText="1"/>
    </xf>
    <xf numFmtId="0" fontId="3" fillId="3" borderId="0" xfId="0" applyFont="1" applyFill="1" applyAlignment="1">
      <alignment vertical="center" wrapText="1"/>
    </xf>
    <xf numFmtId="0" fontId="26" fillId="3" borderId="0" xfId="0" applyFont="1" applyFill="1" applyAlignment="1">
      <alignment vertical="center"/>
    </xf>
    <xf numFmtId="0" fontId="27" fillId="3" borderId="0" xfId="0" applyFont="1" applyFill="1" applyAlignment="1">
      <alignment vertical="center"/>
    </xf>
    <xf numFmtId="0" fontId="28" fillId="3" borderId="32" xfId="0" applyFont="1" applyFill="1" applyBorder="1" applyAlignment="1">
      <alignment vertical="center"/>
    </xf>
    <xf numFmtId="0" fontId="28" fillId="3" borderId="0" xfId="0" applyFont="1" applyFill="1" applyBorder="1" applyAlignment="1">
      <alignment vertical="center"/>
    </xf>
    <xf numFmtId="0" fontId="28" fillId="3" borderId="0" xfId="0" applyFont="1" applyFill="1" applyAlignment="1">
      <alignment horizontal="center" vertical="center"/>
    </xf>
    <xf numFmtId="0" fontId="4" fillId="5" borderId="16" xfId="0" applyFont="1" applyFill="1" applyBorder="1" applyAlignment="1">
      <alignment horizontal="center" vertical="center" wrapText="1"/>
    </xf>
    <xf numFmtId="0" fontId="4" fillId="5" borderId="20"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0" xfId="0" applyFont="1" applyFill="1" applyAlignment="1">
      <alignment horizontal="center" vertical="center" wrapText="1"/>
    </xf>
    <xf numFmtId="0" fontId="4" fillId="5" borderId="33" xfId="0" applyFont="1" applyFill="1" applyBorder="1" applyAlignment="1">
      <alignment horizontal="center" vertical="center" wrapText="1"/>
    </xf>
    <xf numFmtId="0" fontId="4" fillId="5" borderId="3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0" fillId="2" borderId="21" xfId="0" applyFont="1" applyFill="1" applyBorder="1" applyAlignment="1">
      <alignment horizontal="center" vertical="center"/>
    </xf>
    <xf numFmtId="165" fontId="3" fillId="3" borderId="56" xfId="0" applyNumberFormat="1" applyFont="1" applyFill="1" applyBorder="1" applyAlignment="1">
      <alignment horizontal="center" vertical="center"/>
    </xf>
    <xf numFmtId="165" fontId="3" fillId="3" borderId="22" xfId="0" applyNumberFormat="1" applyFont="1" applyFill="1" applyBorder="1" applyAlignment="1">
      <alignment horizontal="center" vertical="center"/>
    </xf>
    <xf numFmtId="165" fontId="3" fillId="3" borderId="0" xfId="0" applyNumberFormat="1" applyFont="1" applyFill="1" applyAlignment="1">
      <alignment horizontal="center" vertical="center"/>
    </xf>
    <xf numFmtId="0" fontId="10" fillId="3" borderId="16" xfId="0" applyFont="1" applyFill="1" applyBorder="1" applyAlignment="1">
      <alignment vertical="center"/>
    </xf>
    <xf numFmtId="3" fontId="3" fillId="3" borderId="16" xfId="0" applyNumberFormat="1" applyFont="1" applyFill="1" applyBorder="1" applyAlignment="1">
      <alignment horizontal="center" vertical="center" wrapText="1"/>
    </xf>
    <xf numFmtId="3" fontId="3" fillId="3" borderId="20" xfId="0" applyNumberFormat="1" applyFont="1" applyFill="1" applyBorder="1" applyAlignment="1">
      <alignment horizontal="center" vertical="center" wrapText="1"/>
    </xf>
    <xf numFmtId="0" fontId="10" fillId="2" borderId="23" xfId="0" applyFont="1" applyFill="1" applyBorder="1" applyAlignment="1">
      <alignment horizontal="center" vertical="center"/>
    </xf>
    <xf numFmtId="165" fontId="3" fillId="3" borderId="42" xfId="0" applyNumberFormat="1" applyFont="1" applyFill="1" applyBorder="1" applyAlignment="1">
      <alignment horizontal="center" vertical="center"/>
    </xf>
    <xf numFmtId="165" fontId="3" fillId="3" borderId="24" xfId="0" applyNumberFormat="1" applyFont="1" applyFill="1" applyBorder="1" applyAlignment="1">
      <alignment horizontal="center" vertical="center"/>
    </xf>
    <xf numFmtId="165" fontId="3" fillId="3" borderId="0" xfId="0" applyNumberFormat="1" applyFont="1" applyFill="1" applyBorder="1" applyAlignment="1">
      <alignment horizontal="center" vertical="center"/>
    </xf>
    <xf numFmtId="0" fontId="10" fillId="3" borderId="1" xfId="0" applyFont="1" applyFill="1" applyBorder="1" applyAlignment="1">
      <alignment vertical="center"/>
    </xf>
    <xf numFmtId="3" fontId="3" fillId="3" borderId="1" xfId="0" applyNumberFormat="1" applyFont="1" applyFill="1" applyBorder="1" applyAlignment="1">
      <alignment horizontal="center" vertical="center" wrapText="1"/>
    </xf>
    <xf numFmtId="3" fontId="3" fillId="3" borderId="22" xfId="0" applyNumberFormat="1" applyFont="1" applyFill="1" applyBorder="1" applyAlignment="1">
      <alignment horizontal="center" vertical="center" wrapText="1"/>
    </xf>
    <xf numFmtId="165" fontId="3" fillId="3" borderId="6" xfId="0" applyNumberFormat="1" applyFont="1" applyFill="1" applyBorder="1" applyAlignment="1">
      <alignment horizontal="center" vertical="center"/>
    </xf>
    <xf numFmtId="165" fontId="3" fillId="3" borderId="30" xfId="0" applyNumberFormat="1" applyFont="1" applyFill="1" applyBorder="1" applyAlignment="1">
      <alignment horizontal="center" vertical="center"/>
    </xf>
    <xf numFmtId="165" fontId="3" fillId="3" borderId="17" xfId="0" applyNumberFormat="1" applyFont="1" applyFill="1" applyBorder="1" applyAlignment="1">
      <alignment horizontal="center" vertical="center"/>
    </xf>
    <xf numFmtId="165" fontId="3" fillId="3" borderId="46" xfId="0" applyNumberFormat="1" applyFont="1" applyFill="1" applyBorder="1" applyAlignment="1">
      <alignment horizontal="center" vertical="center"/>
    </xf>
    <xf numFmtId="0" fontId="10" fillId="3" borderId="17" xfId="0" applyFont="1" applyFill="1" applyBorder="1" applyAlignment="1">
      <alignment vertical="center"/>
    </xf>
    <xf numFmtId="3" fontId="3" fillId="3" borderId="17" xfId="0" applyNumberFormat="1" applyFont="1" applyFill="1" applyBorder="1" applyAlignment="1">
      <alignment horizontal="center" vertical="center" wrapText="1"/>
    </xf>
    <xf numFmtId="3" fontId="3" fillId="3" borderId="24" xfId="0" applyNumberFormat="1" applyFont="1" applyFill="1" applyBorder="1" applyAlignment="1">
      <alignment horizontal="center" vertical="center" wrapText="1"/>
    </xf>
    <xf numFmtId="0" fontId="10" fillId="3" borderId="0" xfId="0" applyFont="1" applyFill="1" applyBorder="1" applyAlignment="1">
      <alignment horizontal="center" vertical="center"/>
    </xf>
    <xf numFmtId="0" fontId="10" fillId="3" borderId="0" xfId="0" applyFont="1" applyFill="1" applyBorder="1" applyAlignment="1">
      <alignment vertical="center"/>
    </xf>
    <xf numFmtId="3" fontId="3" fillId="3" borderId="0" xfId="0" applyNumberFormat="1" applyFont="1" applyFill="1" applyBorder="1" applyAlignment="1">
      <alignment horizontal="center" vertical="center" wrapText="1"/>
    </xf>
    <xf numFmtId="0" fontId="33" fillId="3" borderId="32" xfId="0" applyFont="1" applyFill="1" applyBorder="1" applyAlignment="1">
      <alignment vertical="center"/>
    </xf>
    <xf numFmtId="0" fontId="3" fillId="3" borderId="32" xfId="0" applyFont="1" applyFill="1" applyBorder="1" applyAlignment="1">
      <alignment horizontal="center" vertical="center" wrapText="1"/>
    </xf>
    <xf numFmtId="0" fontId="25" fillId="3" borderId="32" xfId="0" applyFont="1" applyFill="1" applyBorder="1" applyAlignment="1">
      <alignment vertical="center" wrapText="1"/>
    </xf>
    <xf numFmtId="0" fontId="4" fillId="3" borderId="32" xfId="0" applyFont="1" applyFill="1" applyBorder="1" applyAlignment="1">
      <alignment vertical="center"/>
    </xf>
    <xf numFmtId="0" fontId="33" fillId="3" borderId="0" xfId="0" applyFont="1" applyFill="1" applyBorder="1" applyAlignment="1">
      <alignment vertical="center"/>
    </xf>
    <xf numFmtId="2" fontId="3" fillId="3" borderId="0" xfId="0" applyNumberFormat="1" applyFont="1" applyFill="1" applyAlignment="1">
      <alignment horizontal="center" vertical="center"/>
    </xf>
    <xf numFmtId="168" fontId="4" fillId="5" borderId="33" xfId="0" applyNumberFormat="1" applyFont="1" applyFill="1" applyBorder="1" applyAlignment="1">
      <alignment horizontal="center" vertical="center" wrapText="1"/>
    </xf>
    <xf numFmtId="0" fontId="10" fillId="3" borderId="19" xfId="0" applyFont="1" applyFill="1" applyBorder="1" applyAlignment="1">
      <alignment horizontal="center" vertical="center"/>
    </xf>
    <xf numFmtId="1" fontId="3" fillId="0" borderId="25" xfId="0" applyNumberFormat="1" applyFont="1" applyBorder="1" applyAlignment="1">
      <alignment horizontal="center" vertical="center"/>
    </xf>
    <xf numFmtId="1" fontId="3" fillId="0" borderId="16" xfId="0" applyNumberFormat="1" applyFont="1" applyBorder="1" applyAlignment="1">
      <alignment horizontal="center" vertical="center"/>
    </xf>
    <xf numFmtId="1" fontId="3" fillId="0" borderId="20" xfId="0" applyNumberFormat="1" applyFont="1" applyBorder="1" applyAlignment="1">
      <alignment horizontal="center" vertical="center"/>
    </xf>
    <xf numFmtId="0" fontId="10" fillId="3" borderId="86" xfId="0" applyFont="1" applyFill="1" applyBorder="1" applyAlignment="1">
      <alignment horizontal="center" vertical="center"/>
    </xf>
    <xf numFmtId="2" fontId="3" fillId="0" borderId="20" xfId="0" applyNumberFormat="1" applyFont="1" applyBorder="1" applyAlignment="1">
      <alignment horizontal="center" vertical="center"/>
    </xf>
    <xf numFmtId="0" fontId="10" fillId="3" borderId="31" xfId="0" applyFont="1" applyFill="1" applyBorder="1" applyAlignment="1">
      <alignment horizontal="center" vertical="center"/>
    </xf>
    <xf numFmtId="1" fontId="3" fillId="0" borderId="39" xfId="0" applyNumberFormat="1" applyFont="1" applyBorder="1" applyAlignment="1">
      <alignment horizontal="center" vertical="center"/>
    </xf>
    <xf numFmtId="1" fontId="3" fillId="0" borderId="17" xfId="0" applyNumberFormat="1" applyFont="1" applyBorder="1" applyAlignment="1">
      <alignment horizontal="center" vertical="center"/>
    </xf>
    <xf numFmtId="1" fontId="3" fillId="0" borderId="24" xfId="0" applyNumberFormat="1" applyFont="1" applyBorder="1" applyAlignment="1">
      <alignment horizontal="center" vertical="center"/>
    </xf>
    <xf numFmtId="0" fontId="10" fillId="3" borderId="17" xfId="0" applyFont="1" applyFill="1" applyBorder="1" applyAlignment="1">
      <alignment horizontal="center" vertical="center"/>
    </xf>
    <xf numFmtId="2" fontId="3" fillId="0" borderId="24" xfId="0" applyNumberFormat="1" applyFont="1" applyBorder="1" applyAlignment="1">
      <alignment horizontal="center" vertical="center"/>
    </xf>
    <xf numFmtId="0" fontId="17" fillId="3" borderId="0" xfId="0" applyFont="1" applyFill="1" applyAlignment="1">
      <alignment horizontal="center" vertical="center" wrapText="1"/>
    </xf>
    <xf numFmtId="1" fontId="4" fillId="3" borderId="0" xfId="0" applyNumberFormat="1" applyFont="1" applyFill="1" applyAlignment="1">
      <alignment horizontal="center" vertical="center" wrapText="1"/>
    </xf>
    <xf numFmtId="2" fontId="3" fillId="0" borderId="16" xfId="0" applyNumberFormat="1" applyFont="1" applyBorder="1" applyAlignment="1">
      <alignment horizontal="center" vertical="center"/>
    </xf>
    <xf numFmtId="2" fontId="3" fillId="0" borderId="17" xfId="0" applyNumberFormat="1" applyFont="1" applyBorder="1" applyAlignment="1">
      <alignment horizontal="center" vertical="center"/>
    </xf>
    <xf numFmtId="0" fontId="3" fillId="3" borderId="0" xfId="0" applyFont="1" applyFill="1" applyAlignment="1">
      <alignment horizontal="center" vertical="center" wrapText="1"/>
    </xf>
    <xf numFmtId="2" fontId="3" fillId="3" borderId="0" xfId="0" applyNumberFormat="1" applyFont="1" applyFill="1" applyAlignment="1">
      <alignment horizontal="center" vertical="center" wrapText="1"/>
    </xf>
    <xf numFmtId="0" fontId="3" fillId="3" borderId="0" xfId="0" applyFont="1" applyFill="1" applyAlignment="1">
      <alignment vertical="center"/>
    </xf>
    <xf numFmtId="0" fontId="33" fillId="3" borderId="0" xfId="0" applyFont="1" applyFill="1" applyAlignment="1">
      <alignment vertical="center"/>
    </xf>
    <xf numFmtId="168" fontId="4" fillId="5" borderId="56" xfId="0" applyNumberFormat="1" applyFont="1" applyFill="1" applyBorder="1" applyAlignment="1">
      <alignment horizontal="center" vertical="center" wrapText="1"/>
    </xf>
    <xf numFmtId="0" fontId="4" fillId="5" borderId="22" xfId="0" applyFont="1" applyFill="1" applyBorder="1" applyAlignment="1">
      <alignment horizontal="center" vertical="center" wrapText="1"/>
    </xf>
    <xf numFmtId="0" fontId="10" fillId="3" borderId="16" xfId="0" applyFont="1" applyFill="1" applyBorder="1" applyAlignment="1">
      <alignment horizontal="left" vertical="center"/>
    </xf>
    <xf numFmtId="0" fontId="10" fillId="0" borderId="16" xfId="0" applyFont="1" applyBorder="1" applyAlignment="1">
      <alignment horizontal="center" vertical="center" wrapText="1"/>
    </xf>
    <xf numFmtId="2" fontId="3" fillId="0" borderId="25" xfId="0" applyNumberFormat="1" applyFont="1" applyBorder="1" applyAlignment="1">
      <alignment horizontal="center" vertical="center" wrapText="1"/>
    </xf>
    <xf numFmtId="2" fontId="3" fillId="0" borderId="30" xfId="0" applyNumberFormat="1" applyFont="1" applyBorder="1" applyAlignment="1">
      <alignment horizontal="center" vertical="center" wrapText="1"/>
    </xf>
    <xf numFmtId="167" fontId="3" fillId="0" borderId="16" xfId="0" applyNumberFormat="1" applyFont="1" applyBorder="1" applyAlignment="1">
      <alignment horizontal="center" vertical="center"/>
    </xf>
    <xf numFmtId="167" fontId="3" fillId="0" borderId="20" xfId="0" applyNumberFormat="1" applyFont="1" applyBorder="1" applyAlignment="1">
      <alignment horizontal="center" vertical="center"/>
    </xf>
    <xf numFmtId="0" fontId="10" fillId="3" borderId="17" xfId="0" applyFont="1" applyFill="1" applyBorder="1" applyAlignment="1">
      <alignment horizontal="left" vertical="center"/>
    </xf>
    <xf numFmtId="0" fontId="10" fillId="0" borderId="17" xfId="0" applyFont="1" applyBorder="1" applyAlignment="1">
      <alignment horizontal="center" vertical="center" wrapText="1"/>
    </xf>
    <xf numFmtId="2" fontId="3" fillId="0" borderId="39" xfId="0" applyNumberFormat="1" applyFont="1" applyBorder="1" applyAlignment="1">
      <alignment horizontal="center" vertical="center" wrapText="1"/>
    </xf>
    <xf numFmtId="2" fontId="3" fillId="0" borderId="17" xfId="0" applyNumberFormat="1" applyFont="1" applyBorder="1" applyAlignment="1">
      <alignment horizontal="center" vertical="center" wrapText="1"/>
    </xf>
    <xf numFmtId="2" fontId="3" fillId="0" borderId="24" xfId="0" applyNumberFormat="1" applyFont="1" applyBorder="1" applyAlignment="1">
      <alignment horizontal="center" vertical="center" wrapText="1"/>
    </xf>
    <xf numFmtId="167" fontId="3" fillId="0" borderId="17" xfId="0" applyNumberFormat="1" applyFont="1" applyBorder="1" applyAlignment="1">
      <alignment horizontal="center" vertical="center"/>
    </xf>
    <xf numFmtId="167" fontId="3" fillId="0" borderId="24" xfId="0" applyNumberFormat="1" applyFont="1" applyBorder="1" applyAlignment="1">
      <alignment horizontal="center" vertical="center"/>
    </xf>
    <xf numFmtId="0" fontId="4" fillId="5" borderId="59" xfId="0" applyFont="1" applyFill="1" applyBorder="1" applyAlignment="1">
      <alignment horizontal="center" vertical="center" wrapText="1"/>
    </xf>
    <xf numFmtId="0" fontId="4" fillId="5" borderId="64"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28" xfId="0" applyFont="1" applyFill="1" applyBorder="1" applyAlignment="1">
      <alignment horizontal="center" vertical="center" wrapText="1"/>
    </xf>
    <xf numFmtId="0" fontId="4" fillId="5" borderId="98" xfId="0" applyFont="1" applyFill="1" applyBorder="1" applyAlignment="1">
      <alignment horizontal="center" vertical="center" wrapText="1"/>
    </xf>
    <xf numFmtId="167" fontId="3" fillId="0" borderId="16" xfId="0" applyNumberFormat="1" applyFont="1" applyBorder="1" applyAlignment="1">
      <alignment horizontal="center" vertical="center" wrapText="1"/>
    </xf>
    <xf numFmtId="167" fontId="3" fillId="0" borderId="20" xfId="0" applyNumberFormat="1" applyFont="1" applyBorder="1" applyAlignment="1">
      <alignment horizontal="center" vertical="center" wrapText="1"/>
    </xf>
    <xf numFmtId="167" fontId="3" fillId="0" borderId="17" xfId="0" applyNumberFormat="1" applyFont="1" applyBorder="1" applyAlignment="1">
      <alignment horizontal="center" vertical="center" wrapText="1"/>
    </xf>
    <xf numFmtId="167" fontId="3" fillId="0" borderId="24" xfId="0" applyNumberFormat="1" applyFont="1" applyBorder="1" applyAlignment="1">
      <alignment horizontal="center" vertical="center" wrapText="1"/>
    </xf>
    <xf numFmtId="0" fontId="15" fillId="3" borderId="0" xfId="0" applyNumberFormat="1" applyFont="1" applyFill="1" applyAlignment="1">
      <alignment vertical="center"/>
    </xf>
    <xf numFmtId="0" fontId="15" fillId="3" borderId="0" xfId="0" applyFont="1" applyFill="1" applyBorder="1" applyAlignment="1">
      <alignment vertical="center"/>
    </xf>
    <xf numFmtId="0" fontId="17" fillId="3" borderId="0" xfId="0" applyFont="1" applyFill="1" applyBorder="1" applyAlignment="1">
      <alignment horizontal="center" vertical="center" wrapText="1"/>
    </xf>
    <xf numFmtId="0" fontId="25" fillId="3" borderId="0" xfId="0" applyFont="1" applyFill="1" applyAlignment="1">
      <alignment vertical="center" wrapText="1"/>
    </xf>
    <xf numFmtId="0" fontId="35" fillId="3" borderId="0" xfId="0" applyFont="1" applyFill="1" applyAlignment="1">
      <alignment vertical="center" wrapText="1"/>
    </xf>
    <xf numFmtId="0" fontId="35" fillId="3" borderId="0" xfId="0" applyFont="1" applyFill="1" applyAlignment="1">
      <alignment vertical="center"/>
    </xf>
    <xf numFmtId="0" fontId="36" fillId="3" borderId="0" xfId="0" applyFont="1" applyFill="1" applyAlignment="1">
      <alignment horizontal="center" vertical="center"/>
    </xf>
    <xf numFmtId="0" fontId="15" fillId="13"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5" fillId="5" borderId="1" xfId="0" applyFont="1" applyFill="1" applyBorder="1" applyAlignment="1">
      <alignment vertical="center"/>
    </xf>
    <xf numFmtId="11" fontId="15" fillId="3" borderId="1" xfId="0" applyNumberFormat="1" applyFont="1" applyFill="1" applyBorder="1" applyAlignment="1">
      <alignment horizontal="center" vertical="center"/>
    </xf>
    <xf numFmtId="11" fontId="15" fillId="3" borderId="1" xfId="0" applyNumberFormat="1" applyFont="1" applyFill="1" applyBorder="1" applyAlignment="1">
      <alignment horizontal="center" vertical="center" wrapText="1"/>
    </xf>
    <xf numFmtId="168" fontId="15" fillId="5" borderId="1" xfId="0" applyNumberFormat="1" applyFont="1" applyFill="1" applyBorder="1" applyAlignment="1">
      <alignment vertical="center"/>
    </xf>
    <xf numFmtId="0" fontId="37" fillId="3" borderId="0" xfId="0" applyFont="1" applyFill="1" applyAlignment="1">
      <alignment vertical="center"/>
    </xf>
    <xf numFmtId="0" fontId="10" fillId="3" borderId="0" xfId="0" applyFont="1" applyFill="1" applyAlignment="1">
      <alignment vertical="center"/>
    </xf>
    <xf numFmtId="0" fontId="10" fillId="3" borderId="0" xfId="0" applyFont="1" applyFill="1" applyAlignment="1">
      <alignment horizontal="center" vertical="center"/>
    </xf>
    <xf numFmtId="0" fontId="10" fillId="3" borderId="0" xfId="0" applyFont="1" applyFill="1" applyAlignment="1">
      <alignment horizontal="center" vertical="center" wrapText="1"/>
    </xf>
    <xf numFmtId="0" fontId="3" fillId="3" borderId="0" xfId="0" applyFont="1" applyFill="1" applyAlignment="1">
      <alignment horizontal="center" vertical="center"/>
    </xf>
    <xf numFmtId="0" fontId="39" fillId="4" borderId="38" xfId="0" applyFont="1" applyFill="1" applyBorder="1" applyAlignment="1">
      <alignment horizontal="center" vertical="center" wrapText="1"/>
    </xf>
    <xf numFmtId="0" fontId="39" fillId="3" borderId="0" xfId="0" applyFont="1" applyFill="1" applyBorder="1" applyAlignment="1">
      <alignment horizontal="center" vertical="center" wrapText="1"/>
    </xf>
    <xf numFmtId="0" fontId="4" fillId="4" borderId="37" xfId="0" applyFont="1" applyFill="1" applyBorder="1" applyAlignment="1">
      <alignment horizontal="center" vertical="center" wrapText="1"/>
    </xf>
    <xf numFmtId="0" fontId="4" fillId="4" borderId="2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4" fillId="3" borderId="0" xfId="0" applyFont="1" applyFill="1" applyAlignment="1">
      <alignment horizontal="left" vertical="center"/>
    </xf>
    <xf numFmtId="0" fontId="3" fillId="3" borderId="0" xfId="0" applyFont="1" applyFill="1" applyAlignment="1">
      <alignment horizontal="left" vertical="center" wrapText="1"/>
    </xf>
    <xf numFmtId="0" fontId="39" fillId="3" borderId="0" xfId="0" applyFont="1" applyFill="1" applyAlignment="1">
      <alignment vertical="center"/>
    </xf>
    <xf numFmtId="0" fontId="32" fillId="3" borderId="0" xfId="0" applyFont="1" applyFill="1" applyAlignment="1">
      <alignment vertical="center"/>
    </xf>
    <xf numFmtId="0" fontId="10" fillId="2" borderId="18" xfId="0" applyFont="1" applyFill="1" applyBorder="1" applyAlignment="1">
      <alignment horizontal="center" vertical="center"/>
    </xf>
    <xf numFmtId="167" fontId="3" fillId="0" borderId="16" xfId="0" applyNumberFormat="1" applyFont="1" applyFill="1" applyBorder="1" applyAlignment="1">
      <alignment horizontal="center" vertical="center"/>
    </xf>
    <xf numFmtId="165" fontId="3" fillId="0" borderId="20" xfId="0" applyNumberFormat="1" applyFont="1" applyFill="1" applyBorder="1" applyAlignment="1">
      <alignment horizontal="center" vertical="center"/>
    </xf>
    <xf numFmtId="3" fontId="3" fillId="3" borderId="26" xfId="0" applyNumberFormat="1" applyFont="1" applyFill="1" applyBorder="1" applyAlignment="1">
      <alignment horizontal="center" vertical="center" wrapText="1"/>
    </xf>
    <xf numFmtId="165" fontId="3" fillId="0" borderId="17" xfId="0" applyNumberFormat="1" applyFont="1" applyFill="1" applyBorder="1" applyAlignment="1">
      <alignment horizontal="center" vertical="center"/>
    </xf>
    <xf numFmtId="165" fontId="3" fillId="0" borderId="24" xfId="0" applyNumberFormat="1" applyFont="1" applyFill="1" applyBorder="1" applyAlignment="1">
      <alignment horizontal="center" vertical="center"/>
    </xf>
    <xf numFmtId="165" fontId="3" fillId="0" borderId="25" xfId="0" applyNumberFormat="1" applyFont="1" applyFill="1" applyBorder="1" applyAlignment="1">
      <alignment horizontal="center" vertical="center"/>
    </xf>
    <xf numFmtId="165" fontId="3" fillId="0" borderId="30" xfId="0" applyNumberFormat="1" applyFont="1" applyFill="1" applyBorder="1" applyAlignment="1">
      <alignment horizontal="center" vertical="center"/>
    </xf>
    <xf numFmtId="0" fontId="4" fillId="3" borderId="0" xfId="0" applyFont="1" applyFill="1" applyAlignment="1">
      <alignment vertical="center" wrapText="1"/>
    </xf>
    <xf numFmtId="0" fontId="4" fillId="3" borderId="0" xfId="0" applyFont="1" applyFill="1" applyAlignment="1">
      <alignment vertical="center"/>
    </xf>
    <xf numFmtId="0" fontId="40" fillId="3" borderId="32" xfId="0" applyFont="1" applyFill="1" applyBorder="1" applyAlignment="1">
      <alignment horizontal="center" vertical="center" wrapText="1"/>
    </xf>
    <xf numFmtId="0" fontId="32" fillId="15" borderId="96" xfId="0" applyFont="1" applyFill="1" applyBorder="1" applyAlignment="1">
      <alignment horizontal="center" vertical="center"/>
    </xf>
    <xf numFmtId="0" fontId="3" fillId="0" borderId="57" xfId="0" applyFont="1" applyFill="1" applyBorder="1" applyAlignment="1">
      <alignment vertical="center"/>
    </xf>
    <xf numFmtId="0" fontId="3" fillId="15" borderId="50" xfId="0" applyFont="1" applyFill="1" applyBorder="1" applyAlignment="1">
      <alignment vertical="center"/>
    </xf>
    <xf numFmtId="0" fontId="32" fillId="15" borderId="85" xfId="0" applyFont="1" applyFill="1" applyBorder="1" applyAlignment="1">
      <alignment horizontal="center" vertical="center"/>
    </xf>
    <xf numFmtId="0" fontId="3" fillId="15" borderId="57" xfId="0" applyFont="1" applyFill="1" applyBorder="1" applyAlignment="1">
      <alignment vertical="center"/>
    </xf>
    <xf numFmtId="0" fontId="41" fillId="5" borderId="33" xfId="0" applyFont="1" applyFill="1" applyBorder="1" applyAlignment="1">
      <alignment horizontal="center" vertical="center" wrapText="1"/>
    </xf>
    <xf numFmtId="0" fontId="41" fillId="5" borderId="34" xfId="0" applyFont="1" applyFill="1" applyBorder="1" applyAlignment="1">
      <alignment horizontal="center" vertical="center" wrapText="1"/>
    </xf>
    <xf numFmtId="0" fontId="10" fillId="15" borderId="85" xfId="0" applyFont="1" applyFill="1" applyBorder="1" applyAlignment="1">
      <alignment horizontal="left" vertical="center" wrapText="1"/>
    </xf>
    <xf numFmtId="0" fontId="10" fillId="3" borderId="59" xfId="0" applyFont="1" applyFill="1" applyBorder="1" applyAlignment="1">
      <alignment vertical="center"/>
    </xf>
    <xf numFmtId="2" fontId="3" fillId="0" borderId="18" xfId="0" applyNumberFormat="1" applyFont="1" applyBorder="1" applyAlignment="1">
      <alignment horizontal="center" vertical="center"/>
    </xf>
    <xf numFmtId="0" fontId="3" fillId="0" borderId="40" xfId="0" applyFont="1" applyFill="1" applyBorder="1" applyAlignment="1">
      <alignment vertical="center"/>
    </xf>
    <xf numFmtId="0" fontId="10" fillId="3" borderId="98" xfId="0" applyFont="1" applyFill="1" applyBorder="1" applyAlignment="1">
      <alignment vertical="center"/>
    </xf>
    <xf numFmtId="2" fontId="3" fillId="0" borderId="23" xfId="0" applyNumberFormat="1" applyFont="1" applyBorder="1" applyAlignment="1">
      <alignment horizontal="center" vertical="center"/>
    </xf>
    <xf numFmtId="2" fontId="3" fillId="0" borderId="25" xfId="0" applyNumberFormat="1" applyFont="1" applyBorder="1" applyAlignment="1">
      <alignment horizontal="center" vertical="center"/>
    </xf>
    <xf numFmtId="2" fontId="3" fillId="0" borderId="30" xfId="0" applyNumberFormat="1" applyFont="1" applyBorder="1" applyAlignment="1">
      <alignment horizontal="center" vertical="center"/>
    </xf>
    <xf numFmtId="0" fontId="10" fillId="3" borderId="9" xfId="0" applyFont="1" applyFill="1" applyBorder="1" applyAlignment="1">
      <alignment vertical="center"/>
    </xf>
    <xf numFmtId="0" fontId="10" fillId="3" borderId="6" xfId="0" applyFont="1" applyFill="1" applyBorder="1" applyAlignment="1">
      <alignment horizontal="center" vertical="center"/>
    </xf>
    <xf numFmtId="2" fontId="3" fillId="0" borderId="37" xfId="0" applyNumberFormat="1" applyFont="1" applyBorder="1" applyAlignment="1">
      <alignment horizontal="center" vertical="center"/>
    </xf>
    <xf numFmtId="2" fontId="3" fillId="0" borderId="33" xfId="0" applyNumberFormat="1" applyFont="1" applyBorder="1" applyAlignment="1">
      <alignment horizontal="center" vertical="center"/>
    </xf>
    <xf numFmtId="2" fontId="3" fillId="0" borderId="34" xfId="0" applyNumberFormat="1" applyFont="1" applyBorder="1" applyAlignment="1">
      <alignment horizontal="center" vertical="center"/>
    </xf>
    <xf numFmtId="0" fontId="10" fillId="0" borderId="19" xfId="0" applyFont="1" applyFill="1" applyBorder="1" applyAlignment="1">
      <alignment horizontal="center" vertical="center"/>
    </xf>
    <xf numFmtId="2" fontId="3" fillId="23" borderId="18" xfId="0" applyNumberFormat="1" applyFont="1" applyFill="1" applyBorder="1" applyAlignment="1">
      <alignment horizontal="center" vertical="center" wrapText="1"/>
    </xf>
    <xf numFmtId="2" fontId="3" fillId="23" borderId="16" xfId="0" applyNumberFormat="1" applyFont="1" applyFill="1" applyBorder="1" applyAlignment="1">
      <alignment horizontal="center" vertical="center" wrapText="1"/>
    </xf>
    <xf numFmtId="2" fontId="3" fillId="23" borderId="20" xfId="0" applyNumberFormat="1" applyFont="1" applyFill="1" applyBorder="1" applyAlignment="1">
      <alignment horizontal="center" vertical="center" wrapText="1"/>
    </xf>
    <xf numFmtId="0" fontId="10" fillId="3" borderId="25" xfId="0" applyFont="1" applyFill="1" applyBorder="1" applyAlignment="1">
      <alignment horizontal="left" vertical="center"/>
    </xf>
    <xf numFmtId="0" fontId="10" fillId="0" borderId="6" xfId="0" quotePrefix="1" applyFont="1" applyBorder="1" applyAlignment="1">
      <alignment horizontal="center" vertical="center" wrapText="1"/>
    </xf>
    <xf numFmtId="2" fontId="3" fillId="0" borderId="26" xfId="0" applyNumberFormat="1" applyFont="1" applyBorder="1" applyAlignment="1">
      <alignment horizontal="center" vertical="center"/>
    </xf>
    <xf numFmtId="2" fontId="3" fillId="0" borderId="28" xfId="0" applyNumberFormat="1" applyFont="1" applyBorder="1" applyAlignment="1">
      <alignment horizontal="center" vertical="center"/>
    </xf>
    <xf numFmtId="0" fontId="10" fillId="0" borderId="31" xfId="0" applyFont="1" applyFill="1" applyBorder="1" applyAlignment="1">
      <alignment horizontal="center" vertical="center"/>
    </xf>
    <xf numFmtId="2" fontId="3" fillId="23" borderId="41" xfId="0" applyNumberFormat="1" applyFont="1" applyFill="1" applyBorder="1" applyAlignment="1">
      <alignment horizontal="center" vertical="center" wrapText="1"/>
    </xf>
    <xf numFmtId="2" fontId="3" fillId="23" borderId="39" xfId="0" applyNumberFormat="1" applyFont="1" applyFill="1" applyBorder="1" applyAlignment="1">
      <alignment horizontal="center" vertical="center" wrapText="1"/>
    </xf>
    <xf numFmtId="2" fontId="3" fillId="23" borderId="46" xfId="0" applyNumberFormat="1" applyFont="1" applyFill="1" applyBorder="1" applyAlignment="1">
      <alignment horizontal="center" vertical="center" wrapText="1"/>
    </xf>
    <xf numFmtId="0" fontId="10" fillId="0" borderId="31" xfId="0" quotePrefix="1" applyFont="1" applyBorder="1" applyAlignment="1">
      <alignment horizontal="center" vertical="center" wrapText="1"/>
    </xf>
    <xf numFmtId="0" fontId="10" fillId="15" borderId="85" xfId="0" applyFont="1" applyFill="1" applyBorder="1" applyAlignment="1">
      <alignment horizontal="left" vertical="center"/>
    </xf>
    <xf numFmtId="166" fontId="10" fillId="0" borderId="6" xfId="0" quotePrefix="1" applyNumberFormat="1" applyFont="1" applyFill="1" applyBorder="1" applyAlignment="1">
      <alignment horizontal="center" vertical="center" wrapText="1"/>
    </xf>
    <xf numFmtId="167" fontId="3" fillId="0" borderId="37" xfId="0" applyNumberFormat="1" applyFont="1" applyBorder="1" applyAlignment="1">
      <alignment horizontal="center" vertical="center" wrapText="1"/>
    </xf>
    <xf numFmtId="167" fontId="3" fillId="0" borderId="25" xfId="0" applyNumberFormat="1" applyFont="1" applyBorder="1" applyAlignment="1">
      <alignment horizontal="center" vertical="center" wrapText="1"/>
    </xf>
    <xf numFmtId="0" fontId="10" fillId="3" borderId="29" xfId="0" applyFont="1" applyFill="1" applyBorder="1" applyAlignment="1">
      <alignment vertical="center"/>
    </xf>
    <xf numFmtId="166" fontId="10" fillId="0" borderId="6" xfId="0" quotePrefix="1" applyNumberFormat="1" applyFont="1" applyBorder="1" applyAlignment="1">
      <alignment horizontal="center" vertical="center" wrapText="1"/>
    </xf>
    <xf numFmtId="0" fontId="10" fillId="15" borderId="95" xfId="0" applyFont="1" applyFill="1" applyBorder="1" applyAlignment="1">
      <alignment horizontal="left" vertical="center"/>
    </xf>
    <xf numFmtId="166" fontId="10" fillId="0" borderId="24" xfId="0" quotePrefix="1" applyNumberFormat="1" applyFont="1" applyFill="1" applyBorder="1" applyAlignment="1">
      <alignment horizontal="center" vertical="center" wrapText="1"/>
    </xf>
    <xf numFmtId="167" fontId="3" fillId="0" borderId="23" xfId="0" applyNumberFormat="1" applyFont="1" applyBorder="1" applyAlignment="1">
      <alignment horizontal="center" vertical="center" wrapText="1"/>
    </xf>
    <xf numFmtId="0" fontId="3" fillId="15" borderId="54" xfId="0" applyFont="1" applyFill="1" applyBorder="1" applyAlignment="1">
      <alignment vertical="center"/>
    </xf>
    <xf numFmtId="166" fontId="10" fillId="0" borderId="31" xfId="0" applyNumberFormat="1" applyFont="1" applyBorder="1" applyAlignment="1">
      <alignment horizontal="center" vertical="center" wrapText="1"/>
    </xf>
    <xf numFmtId="0" fontId="15" fillId="3" borderId="0" xfId="0" applyFont="1" applyFill="1" applyBorder="1" applyAlignment="1">
      <alignment horizontal="center" vertical="center" wrapText="1"/>
    </xf>
    <xf numFmtId="0" fontId="3" fillId="3" borderId="0" xfId="0" applyFont="1" applyFill="1" applyBorder="1" applyAlignment="1">
      <alignment vertical="center"/>
    </xf>
    <xf numFmtId="2" fontId="3" fillId="0" borderId="0" xfId="0" applyNumberFormat="1" applyFont="1" applyBorder="1" applyAlignment="1">
      <alignment horizontal="center" vertical="center" wrapText="1"/>
    </xf>
    <xf numFmtId="0" fontId="10" fillId="3" borderId="0" xfId="0" applyFont="1" applyFill="1" applyBorder="1" applyAlignment="1">
      <alignment horizontal="left" vertical="center"/>
    </xf>
    <xf numFmtId="0" fontId="10" fillId="0" borderId="0" xfId="0" applyFont="1" applyBorder="1" applyAlignment="1">
      <alignment horizontal="center" vertical="center" wrapText="1"/>
    </xf>
    <xf numFmtId="2" fontId="3" fillId="0" borderId="0" xfId="0" applyNumberFormat="1" applyFont="1" applyBorder="1" applyAlignment="1">
      <alignment horizontal="center" vertical="center"/>
    </xf>
    <xf numFmtId="0" fontId="11" fillId="3" borderId="0" xfId="0" applyFont="1" applyFill="1" applyAlignment="1">
      <alignment horizontal="center" vertical="center"/>
    </xf>
    <xf numFmtId="0" fontId="43" fillId="3" borderId="0" xfId="0" applyFont="1" applyFill="1" applyAlignment="1">
      <alignment vertical="center" wrapText="1"/>
    </xf>
    <xf numFmtId="0" fontId="11" fillId="3" borderId="0" xfId="0" applyFont="1" applyFill="1" applyAlignment="1">
      <alignment vertical="center" wrapText="1"/>
    </xf>
    <xf numFmtId="0" fontId="11" fillId="3" borderId="0" xfId="0" applyFont="1" applyFill="1" applyAlignment="1">
      <alignment horizontal="center" vertical="center" wrapText="1"/>
    </xf>
    <xf numFmtId="0" fontId="43" fillId="3" borderId="0" xfId="0" applyFont="1" applyFill="1" applyAlignment="1">
      <alignment vertical="center"/>
    </xf>
    <xf numFmtId="0" fontId="32" fillId="13" borderId="1" xfId="0" applyFont="1" applyFill="1" applyBorder="1" applyAlignment="1">
      <alignment vertical="center" wrapText="1"/>
    </xf>
    <xf numFmtId="0" fontId="32" fillId="13" borderId="1" xfId="0" applyFont="1" applyFill="1" applyBorder="1" applyAlignment="1">
      <alignment horizontal="center" vertical="center"/>
    </xf>
    <xf numFmtId="0" fontId="4" fillId="5" borderId="1" xfId="0" applyFont="1" applyFill="1" applyBorder="1" applyAlignment="1">
      <alignment horizontal="center" vertical="center" wrapText="1"/>
    </xf>
    <xf numFmtId="11" fontId="10" fillId="3" borderId="1" xfId="0" applyNumberFormat="1" applyFont="1" applyFill="1" applyBorder="1" applyAlignment="1">
      <alignment horizontal="center" vertical="center"/>
    </xf>
    <xf numFmtId="0" fontId="32" fillId="13" borderId="56" xfId="0" applyFont="1" applyFill="1" applyBorder="1" applyAlignment="1">
      <alignment vertical="center" wrapText="1"/>
    </xf>
    <xf numFmtId="0" fontId="41" fillId="5" borderId="1" xfId="0" applyFont="1" applyFill="1" applyBorder="1" applyAlignment="1">
      <alignment horizontal="left" vertical="center" wrapText="1"/>
    </xf>
    <xf numFmtId="2" fontId="10" fillId="3" borderId="1" xfId="0" applyNumberFormat="1" applyFont="1" applyFill="1" applyBorder="1" applyAlignment="1">
      <alignment horizontal="center" vertical="center"/>
    </xf>
    <xf numFmtId="0" fontId="38" fillId="3" borderId="0" xfId="0" applyFont="1" applyFill="1" applyAlignment="1">
      <alignment vertical="center"/>
    </xf>
    <xf numFmtId="2" fontId="10" fillId="3" borderId="0" xfId="0" applyNumberFormat="1" applyFont="1" applyFill="1" applyAlignment="1">
      <alignment horizontal="center" vertical="center"/>
    </xf>
    <xf numFmtId="0" fontId="15" fillId="0" borderId="0" xfId="0" applyFont="1" applyFill="1"/>
    <xf numFmtId="0" fontId="44" fillId="3" borderId="0" xfId="0" applyFont="1" applyFill="1"/>
    <xf numFmtId="0" fontId="15" fillId="3" borderId="0" xfId="0" applyFont="1" applyFill="1"/>
    <xf numFmtId="0" fontId="45" fillId="3" borderId="0" xfId="0" applyFont="1" applyFill="1"/>
    <xf numFmtId="0" fontId="15" fillId="3" borderId="0" xfId="0" applyFont="1" applyFill="1" applyBorder="1" applyAlignment="1">
      <alignment horizontal="center"/>
    </xf>
    <xf numFmtId="0" fontId="15" fillId="3" borderId="0" xfId="0" applyFont="1" applyFill="1" applyBorder="1" applyAlignment="1"/>
    <xf numFmtId="0" fontId="17" fillId="22" borderId="128" xfId="0" applyFont="1" applyFill="1" applyBorder="1"/>
    <xf numFmtId="0" fontId="25" fillId="22" borderId="129" xfId="0" applyFont="1" applyFill="1" applyBorder="1" applyAlignment="1">
      <alignment horizontal="center"/>
    </xf>
    <xf numFmtId="0" fontId="25" fillId="22" borderId="129" xfId="0" applyFont="1" applyFill="1" applyBorder="1" applyAlignment="1">
      <alignment horizontal="center" wrapText="1"/>
    </xf>
    <xf numFmtId="0" fontId="25" fillId="22" borderId="130" xfId="0" applyFont="1" applyFill="1" applyBorder="1" applyAlignment="1">
      <alignment horizontal="center" wrapText="1"/>
    </xf>
    <xf numFmtId="0" fontId="14" fillId="3" borderId="7" xfId="0" applyFont="1" applyFill="1" applyBorder="1" applyAlignment="1">
      <alignment horizontal="center" wrapText="1"/>
    </xf>
    <xf numFmtId="0" fontId="14" fillId="3" borderId="14" xfId="0" applyFont="1" applyFill="1" applyBorder="1" applyAlignment="1">
      <alignment horizontal="center" wrapText="1"/>
    </xf>
    <xf numFmtId="0" fontId="14" fillId="3" borderId="15" xfId="0" applyFont="1" applyFill="1" applyBorder="1" applyAlignment="1">
      <alignment horizontal="center" wrapText="1"/>
    </xf>
    <xf numFmtId="0" fontId="17" fillId="3" borderId="5" xfId="0" applyFont="1" applyFill="1" applyBorder="1" applyAlignment="1">
      <alignment vertical="center"/>
    </xf>
    <xf numFmtId="0" fontId="17" fillId="3" borderId="12" xfId="0" applyFont="1" applyFill="1" applyBorder="1" applyAlignment="1">
      <alignment horizontal="left" vertical="center"/>
    </xf>
    <xf numFmtId="0" fontId="17" fillId="3" borderId="14" xfId="0" applyFont="1" applyFill="1" applyBorder="1" applyAlignment="1">
      <alignment vertical="center" wrapText="1"/>
    </xf>
    <xf numFmtId="0" fontId="17" fillId="3" borderId="88" xfId="0" applyFont="1" applyFill="1" applyBorder="1" applyAlignment="1">
      <alignment vertical="center" wrapText="1"/>
    </xf>
    <xf numFmtId="0" fontId="17" fillId="3" borderId="88" xfId="0" applyFont="1" applyFill="1" applyBorder="1" applyAlignment="1">
      <alignment horizontal="center" vertical="center"/>
    </xf>
    <xf numFmtId="0" fontId="17" fillId="3" borderId="14"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7" fillId="3" borderId="127" xfId="0" quotePrefix="1" applyFont="1" applyFill="1" applyBorder="1" applyAlignment="1">
      <alignment horizontal="center" vertical="center"/>
    </xf>
    <xf numFmtId="0" fontId="15" fillId="3" borderId="5" xfId="0" applyFont="1" applyFill="1" applyBorder="1"/>
    <xf numFmtId="0" fontId="15" fillId="3" borderId="7" xfId="0" applyFont="1" applyFill="1" applyBorder="1" applyAlignment="1">
      <alignment vertical="center"/>
    </xf>
    <xf numFmtId="166" fontId="15" fillId="3" borderId="7" xfId="0" applyNumberFormat="1" applyFont="1" applyFill="1" applyBorder="1" applyAlignment="1">
      <alignment vertical="center"/>
    </xf>
    <xf numFmtId="0" fontId="17" fillId="3" borderId="115" xfId="0" applyFont="1" applyFill="1" applyBorder="1" applyAlignment="1">
      <alignment vertical="center" wrapText="1"/>
    </xf>
    <xf numFmtId="0" fontId="17" fillId="3" borderId="88" xfId="0" applyFont="1" applyFill="1" applyBorder="1" applyAlignment="1">
      <alignment vertical="center"/>
    </xf>
    <xf numFmtId="1" fontId="17" fillId="3" borderId="88" xfId="0" applyNumberFormat="1" applyFont="1" applyFill="1" applyBorder="1" applyAlignment="1">
      <alignment horizontal="center" vertical="center"/>
    </xf>
    <xf numFmtId="0" fontId="17" fillId="3" borderId="89" xfId="0" quotePrefix="1" applyFont="1" applyFill="1" applyBorder="1" applyAlignment="1">
      <alignment horizontal="center" vertical="center"/>
    </xf>
    <xf numFmtId="0" fontId="15" fillId="3" borderId="0" xfId="0" applyFont="1" applyFill="1" applyBorder="1"/>
    <xf numFmtId="0" fontId="17" fillId="3" borderId="5" xfId="0" applyFont="1" applyFill="1" applyBorder="1" applyAlignment="1">
      <alignment vertical="center" wrapText="1"/>
    </xf>
    <xf numFmtId="0" fontId="17" fillId="3" borderId="12" xfId="0" applyFont="1" applyFill="1" applyBorder="1" applyAlignment="1">
      <alignment vertical="center" wrapText="1"/>
    </xf>
    <xf numFmtId="0" fontId="17" fillId="0" borderId="88" xfId="0" applyFont="1" applyFill="1" applyBorder="1" applyAlignment="1">
      <alignment wrapText="1"/>
    </xf>
    <xf numFmtId="0" fontId="17" fillId="0" borderId="88" xfId="0" applyFont="1" applyFill="1" applyBorder="1" applyAlignment="1">
      <alignment vertical="center" wrapText="1"/>
    </xf>
    <xf numFmtId="0" fontId="17" fillId="0" borderId="88" xfId="0" applyFont="1" applyFill="1" applyBorder="1" applyAlignment="1">
      <alignment horizontal="center" vertical="center" wrapText="1"/>
    </xf>
    <xf numFmtId="1" fontId="17" fillId="0" borderId="88" xfId="0" quotePrefix="1" applyNumberFormat="1" applyFont="1" applyFill="1" applyBorder="1" applyAlignment="1">
      <alignment horizontal="center" vertical="center"/>
    </xf>
    <xf numFmtId="2" fontId="17" fillId="0" borderId="88" xfId="0" quotePrefix="1" applyNumberFormat="1" applyFont="1" applyFill="1" applyBorder="1" applyAlignment="1">
      <alignment horizontal="center" vertical="center"/>
    </xf>
    <xf numFmtId="0" fontId="17" fillId="0" borderId="88" xfId="0" quotePrefix="1" applyFont="1" applyFill="1" applyBorder="1" applyAlignment="1">
      <alignment horizontal="center" vertical="center"/>
    </xf>
    <xf numFmtId="0" fontId="15" fillId="3" borderId="5" xfId="0" applyFont="1" applyFill="1" applyBorder="1" applyAlignment="1">
      <alignment wrapText="1"/>
    </xf>
    <xf numFmtId="0" fontId="15" fillId="3" borderId="7" xfId="0" applyFont="1" applyFill="1" applyBorder="1"/>
    <xf numFmtId="0" fontId="17" fillId="3" borderId="6" xfId="0" applyFont="1" applyFill="1" applyBorder="1"/>
    <xf numFmtId="0" fontId="17" fillId="3" borderId="8" xfId="0" applyFont="1" applyFill="1" applyBorder="1"/>
    <xf numFmtId="0" fontId="17" fillId="3" borderId="0" xfId="0" applyFont="1" applyFill="1" applyBorder="1" applyAlignment="1">
      <alignment vertical="center" wrapText="1"/>
    </xf>
    <xf numFmtId="0" fontId="17" fillId="3" borderId="94" xfId="0" applyFont="1" applyFill="1" applyBorder="1" applyAlignment="1">
      <alignment vertical="center" wrapText="1"/>
    </xf>
    <xf numFmtId="0" fontId="17" fillId="3" borderId="94" xfId="0" applyFont="1" applyFill="1" applyBorder="1" applyAlignment="1">
      <alignment horizontal="center" vertical="center" wrapText="1"/>
    </xf>
    <xf numFmtId="0" fontId="17" fillId="3" borderId="94" xfId="0" quotePrefix="1" applyFont="1" applyFill="1" applyBorder="1" applyAlignment="1">
      <alignment horizontal="center" vertical="center"/>
    </xf>
    <xf numFmtId="11" fontId="17" fillId="3" borderId="94" xfId="0" quotePrefix="1" applyNumberFormat="1" applyFont="1" applyFill="1" applyBorder="1" applyAlignment="1">
      <alignment horizontal="center" vertical="center"/>
    </xf>
    <xf numFmtId="11" fontId="17" fillId="3" borderId="126" xfId="0" quotePrefix="1" applyNumberFormat="1" applyFont="1" applyFill="1" applyBorder="1" applyAlignment="1">
      <alignment horizontal="center" vertical="center"/>
    </xf>
    <xf numFmtId="0" fontId="15" fillId="3" borderId="8" xfId="0" applyFont="1" applyFill="1" applyBorder="1"/>
    <xf numFmtId="0" fontId="25" fillId="3" borderId="0" xfId="0" applyFont="1" applyFill="1" applyBorder="1" applyAlignment="1">
      <alignment vertical="center"/>
    </xf>
    <xf numFmtId="0" fontId="47" fillId="3" borderId="0" xfId="0" applyFont="1" applyFill="1" applyBorder="1" applyAlignment="1">
      <alignment horizontal="center"/>
    </xf>
    <xf numFmtId="0" fontId="17" fillId="3" borderId="3" xfId="0" applyFont="1" applyFill="1" applyBorder="1"/>
    <xf numFmtId="0" fontId="17" fillId="3" borderId="0" xfId="0" applyFont="1" applyFill="1"/>
    <xf numFmtId="0" fontId="17" fillId="3" borderId="0" xfId="0" applyFont="1" applyFill="1" applyBorder="1"/>
    <xf numFmtId="0" fontId="47" fillId="3" borderId="0" xfId="0" applyFont="1" applyFill="1" applyBorder="1" applyAlignment="1">
      <alignment horizontal="center" vertical="center" wrapText="1"/>
    </xf>
    <xf numFmtId="0" fontId="25" fillId="3" borderId="0" xfId="0" applyFont="1" applyFill="1" applyBorder="1"/>
    <xf numFmtId="0" fontId="25" fillId="3" borderId="0" xfId="0" applyFont="1" applyFill="1" applyBorder="1" applyAlignment="1">
      <alignment horizontal="center" vertical="center"/>
    </xf>
    <xf numFmtId="0" fontId="15" fillId="3" borderId="0" xfId="0" applyFont="1" applyFill="1" applyAlignment="1">
      <alignment horizontal="left" vertical="top"/>
    </xf>
    <xf numFmtId="0" fontId="15" fillId="3" borderId="1" xfId="0" applyFont="1" applyFill="1" applyBorder="1" applyAlignment="1">
      <alignment horizontal="left" vertical="top"/>
    </xf>
    <xf numFmtId="0" fontId="17" fillId="22" borderId="13" xfId="0" applyFont="1" applyFill="1" applyBorder="1"/>
    <xf numFmtId="0" fontId="25" fillId="22" borderId="14" xfId="0" applyFont="1" applyFill="1" applyBorder="1" applyAlignment="1"/>
    <xf numFmtId="0" fontId="25" fillId="22" borderId="14" xfId="0" applyFont="1" applyFill="1" applyBorder="1" applyAlignment="1">
      <alignment horizontal="center"/>
    </xf>
    <xf numFmtId="0" fontId="25" fillId="22" borderId="14" xfId="0" applyFont="1" applyFill="1" applyBorder="1" applyAlignment="1">
      <alignment horizontal="center" wrapText="1"/>
    </xf>
    <xf numFmtId="165" fontId="15" fillId="3" borderId="1" xfId="0" applyNumberFormat="1" applyFont="1" applyFill="1" applyBorder="1" applyAlignment="1">
      <alignment horizontal="left" vertical="top"/>
    </xf>
    <xf numFmtId="0" fontId="15" fillId="0" borderId="1" xfId="0" applyFont="1" applyFill="1" applyBorder="1" applyAlignment="1">
      <alignment horizontal="left" vertical="top"/>
    </xf>
    <xf numFmtId="0" fontId="17" fillId="3" borderId="11" xfId="0" applyFont="1" applyFill="1" applyBorder="1" applyAlignment="1">
      <alignment vertical="center"/>
    </xf>
    <xf numFmtId="0" fontId="17" fillId="0" borderId="88" xfId="0" applyFont="1" applyFill="1" applyBorder="1" applyAlignment="1">
      <alignment horizontal="center" vertical="center"/>
    </xf>
    <xf numFmtId="0" fontId="17" fillId="0" borderId="14" xfId="0" quotePrefix="1" applyFont="1" applyFill="1" applyBorder="1" applyAlignment="1">
      <alignment horizontal="center" vertical="center"/>
    </xf>
    <xf numFmtId="0" fontId="17" fillId="0" borderId="89" xfId="0" quotePrefix="1" applyFont="1" applyFill="1" applyBorder="1" applyAlignment="1">
      <alignment horizontal="center" vertical="center"/>
    </xf>
    <xf numFmtId="0" fontId="3" fillId="0" borderId="37" xfId="2" applyFont="1" applyBorder="1" applyAlignment="1">
      <alignment vertical="center" wrapText="1"/>
    </xf>
    <xf numFmtId="0" fontId="3" fillId="0" borderId="25" xfId="2" applyFont="1" applyBorder="1" applyAlignment="1">
      <alignment horizontal="left" vertical="center" wrapText="1"/>
    </xf>
    <xf numFmtId="0" fontId="3" fillId="0" borderId="30" xfId="2" applyFont="1" applyBorder="1" applyAlignment="1">
      <alignment vertical="center" wrapText="1"/>
    </xf>
    <xf numFmtId="0" fontId="17" fillId="0" borderId="115" xfId="0" applyFont="1" applyFill="1" applyBorder="1" applyAlignment="1">
      <alignment vertical="center" wrapText="1"/>
    </xf>
    <xf numFmtId="0" fontId="17" fillId="0" borderId="88" xfId="0" applyFont="1" applyFill="1" applyBorder="1" applyAlignment="1">
      <alignment vertical="center"/>
    </xf>
    <xf numFmtId="0" fontId="17" fillId="0" borderId="0" xfId="0" quotePrefix="1" applyFont="1" applyFill="1" applyBorder="1" applyAlignment="1">
      <alignment horizontal="center" vertical="center"/>
    </xf>
    <xf numFmtId="0" fontId="17" fillId="0" borderId="12" xfId="0" quotePrefix="1" applyFont="1" applyFill="1" applyBorder="1" applyAlignment="1">
      <alignment horizontal="center" vertical="center"/>
    </xf>
    <xf numFmtId="11" fontId="17" fillId="0" borderId="127" xfId="0" quotePrefix="1" applyNumberFormat="1" applyFont="1" applyFill="1" applyBorder="1" applyAlignment="1">
      <alignment horizontal="center" vertical="center"/>
    </xf>
    <xf numFmtId="0" fontId="17" fillId="3" borderId="8" xfId="0" quotePrefix="1" applyFont="1" applyFill="1" applyBorder="1" applyAlignment="1">
      <alignment horizontal="left" vertical="center" wrapText="1"/>
    </xf>
    <xf numFmtId="0" fontId="17" fillId="0" borderId="8" xfId="0" applyFont="1" applyFill="1" applyBorder="1" applyAlignment="1">
      <alignment horizontal="left" vertical="center" wrapText="1"/>
    </xf>
    <xf numFmtId="0" fontId="17" fillId="0" borderId="94" xfId="0" applyFont="1" applyFill="1" applyBorder="1" applyAlignment="1">
      <alignment horizontal="center" vertical="center" wrapText="1"/>
    </xf>
    <xf numFmtId="11" fontId="17" fillId="0" borderId="94" xfId="0" quotePrefix="1" applyNumberFormat="1" applyFont="1" applyFill="1" applyBorder="1" applyAlignment="1">
      <alignment horizontal="center" vertical="center"/>
    </xf>
    <xf numFmtId="11" fontId="17" fillId="0" borderId="126" xfId="0" applyNumberFormat="1" applyFont="1" applyFill="1" applyBorder="1" applyAlignment="1">
      <alignment horizontal="center" vertical="center"/>
    </xf>
    <xf numFmtId="0" fontId="47" fillId="3" borderId="0" xfId="0" applyFont="1" applyFill="1" applyBorder="1" applyAlignment="1">
      <alignment vertical="center" wrapText="1"/>
    </xf>
    <xf numFmtId="0" fontId="25" fillId="3" borderId="0" xfId="0" applyFont="1" applyFill="1" applyBorder="1" applyAlignment="1">
      <alignment horizontal="left" wrapText="1"/>
    </xf>
    <xf numFmtId="0" fontId="17" fillId="3" borderId="0" xfId="0" applyFont="1" applyFill="1" applyBorder="1" applyAlignment="1">
      <alignment vertical="center"/>
    </xf>
    <xf numFmtId="0" fontId="17" fillId="3" borderId="0" xfId="0" applyFont="1" applyFill="1" applyBorder="1" applyAlignment="1">
      <alignment horizontal="center" vertical="center"/>
    </xf>
    <xf numFmtId="0" fontId="25" fillId="3" borderId="0" xfId="0" quotePrefix="1" applyFont="1" applyFill="1" applyBorder="1" applyAlignment="1">
      <alignment horizontal="center" vertical="center"/>
    </xf>
    <xf numFmtId="0" fontId="47" fillId="3" borderId="0" xfId="0" applyFont="1" applyFill="1" applyBorder="1" applyAlignment="1">
      <alignment horizontal="center" vertical="center"/>
    </xf>
    <xf numFmtId="0" fontId="25" fillId="3" borderId="0" xfId="0" applyFont="1" applyFill="1" applyBorder="1" applyAlignment="1">
      <alignment wrapText="1"/>
    </xf>
    <xf numFmtId="0" fontId="14" fillId="11" borderId="71" xfId="0" applyFont="1" applyFill="1" applyBorder="1" applyAlignment="1">
      <alignment horizontal="center" vertical="center" wrapText="1"/>
    </xf>
    <xf numFmtId="0" fontId="48" fillId="14" borderId="50" xfId="0" applyFont="1" applyFill="1" applyBorder="1" applyAlignment="1">
      <alignment horizontal="center" vertical="center" wrapText="1"/>
    </xf>
    <xf numFmtId="0" fontId="14" fillId="14" borderId="50" xfId="0" applyFont="1" applyFill="1" applyBorder="1" applyAlignment="1">
      <alignment horizontal="center" vertical="center"/>
    </xf>
    <xf numFmtId="0" fontId="14" fillId="14" borderId="50" xfId="0" applyFont="1" applyFill="1" applyBorder="1" applyAlignment="1">
      <alignment horizontal="center" vertical="center" wrapText="1"/>
    </xf>
    <xf numFmtId="0" fontId="15" fillId="10" borderId="10" xfId="0" applyFont="1" applyFill="1" applyBorder="1" applyAlignment="1">
      <alignment vertical="center" wrapText="1"/>
    </xf>
    <xf numFmtId="0" fontId="15" fillId="0" borderId="10" xfId="0" applyFont="1" applyFill="1" applyBorder="1" applyAlignment="1">
      <alignment vertical="center" wrapText="1"/>
    </xf>
    <xf numFmtId="0" fontId="15" fillId="0" borderId="16" xfId="0" applyFont="1" applyBorder="1" applyAlignment="1">
      <alignment horizontal="center"/>
    </xf>
    <xf numFmtId="2" fontId="15" fillId="0" borderId="16" xfId="0" applyNumberFormat="1" applyFont="1" applyBorder="1" applyAlignment="1">
      <alignment horizontal="center"/>
    </xf>
    <xf numFmtId="0" fontId="15" fillId="0" borderId="20" xfId="0" applyFont="1" applyBorder="1" applyAlignment="1">
      <alignment horizontal="center"/>
    </xf>
    <xf numFmtId="0" fontId="15" fillId="10" borderId="55" xfId="0" applyFont="1" applyFill="1" applyBorder="1" applyAlignment="1">
      <alignment vertical="center" wrapText="1"/>
    </xf>
    <xf numFmtId="0" fontId="15" fillId="0" borderId="55" xfId="0" applyFont="1" applyFill="1" applyBorder="1" applyAlignment="1">
      <alignment vertical="center" wrapText="1"/>
    </xf>
    <xf numFmtId="0" fontId="15" fillId="0" borderId="1" xfId="0" applyFont="1" applyBorder="1" applyAlignment="1">
      <alignment horizontal="center"/>
    </xf>
    <xf numFmtId="2" fontId="15" fillId="0" borderId="1" xfId="0" applyNumberFormat="1" applyFont="1" applyBorder="1" applyAlignment="1">
      <alignment horizontal="center"/>
    </xf>
    <xf numFmtId="0" fontId="15" fillId="0" borderId="22" xfId="0" applyFont="1" applyBorder="1" applyAlignment="1">
      <alignment horizontal="center"/>
    </xf>
    <xf numFmtId="0" fontId="15" fillId="3" borderId="21" xfId="0" applyFont="1" applyFill="1" applyBorder="1" applyAlignment="1">
      <alignment vertical="center" wrapText="1"/>
    </xf>
    <xf numFmtId="0" fontId="15" fillId="10" borderId="65" xfId="0" applyFont="1" applyFill="1" applyBorder="1" applyAlignment="1">
      <alignment vertical="center" wrapText="1"/>
    </xf>
    <xf numFmtId="0" fontId="15" fillId="3" borderId="23" xfId="0" applyFont="1" applyFill="1" applyBorder="1" applyAlignment="1">
      <alignment vertical="center" wrapText="1"/>
    </xf>
    <xf numFmtId="0" fontId="15" fillId="0" borderId="17" xfId="0" applyFont="1" applyBorder="1" applyAlignment="1">
      <alignment horizontal="center"/>
    </xf>
    <xf numFmtId="2" fontId="15" fillId="0" borderId="39" xfId="0" applyNumberFormat="1" applyFont="1" applyBorder="1" applyAlignment="1">
      <alignment horizontal="center"/>
    </xf>
    <xf numFmtId="0" fontId="15" fillId="0" borderId="24" xfId="0" applyFont="1" applyBorder="1" applyAlignment="1">
      <alignment horizontal="center"/>
    </xf>
    <xf numFmtId="0" fontId="15" fillId="0" borderId="0" xfId="0" applyFont="1" applyAlignment="1">
      <alignment wrapText="1"/>
    </xf>
    <xf numFmtId="0" fontId="15" fillId="0" borderId="0" xfId="0" applyFont="1" applyBorder="1"/>
    <xf numFmtId="0" fontId="14" fillId="11" borderId="50" xfId="0" applyFont="1" applyFill="1" applyBorder="1" applyAlignment="1">
      <alignment vertical="center" wrapText="1"/>
    </xf>
    <xf numFmtId="0" fontId="48" fillId="14" borderId="36" xfId="0" applyFont="1" applyFill="1" applyBorder="1" applyAlignment="1">
      <alignment vertical="center" wrapText="1"/>
    </xf>
    <xf numFmtId="0" fontId="48" fillId="14" borderId="64" xfId="0" applyFont="1" applyFill="1" applyBorder="1" applyAlignment="1">
      <alignment vertical="center" wrapText="1"/>
    </xf>
    <xf numFmtId="0" fontId="48" fillId="14" borderId="26" xfId="0" applyFont="1" applyFill="1" applyBorder="1" applyAlignment="1">
      <alignment vertical="center" wrapText="1"/>
    </xf>
    <xf numFmtId="0" fontId="14" fillId="11" borderId="57" xfId="0" applyFont="1" applyFill="1" applyBorder="1" applyAlignment="1">
      <alignment vertical="center" wrapText="1"/>
    </xf>
    <xf numFmtId="0" fontId="48" fillId="14" borderId="45" xfId="0" applyFont="1" applyFill="1" applyBorder="1" applyAlignment="1">
      <alignment vertical="center" wrapText="1"/>
    </xf>
    <xf numFmtId="0" fontId="48" fillId="14" borderId="7" xfId="0" applyFont="1" applyFill="1" applyBorder="1" applyAlignment="1">
      <alignment vertical="center" wrapText="1"/>
    </xf>
    <xf numFmtId="0" fontId="48" fillId="14" borderId="27" xfId="0" applyFont="1" applyFill="1" applyBorder="1" applyAlignment="1">
      <alignment vertical="center" wrapText="1"/>
    </xf>
    <xf numFmtId="0" fontId="14" fillId="11" borderId="57" xfId="0" applyFont="1" applyFill="1" applyBorder="1" applyAlignment="1">
      <alignment horizontal="center" vertical="center" wrapText="1"/>
    </xf>
    <xf numFmtId="0" fontId="48" fillId="14" borderId="45" xfId="0" applyFont="1" applyFill="1" applyBorder="1" applyAlignment="1">
      <alignment horizontal="center" vertical="center" wrapText="1"/>
    </xf>
    <xf numFmtId="0" fontId="48" fillId="14" borderId="7" xfId="0" applyFont="1" applyFill="1" applyBorder="1" applyAlignment="1">
      <alignment horizontal="center" vertical="center" wrapText="1"/>
    </xf>
    <xf numFmtId="0" fontId="48" fillId="14" borderId="27" xfId="0" applyFont="1" applyFill="1" applyBorder="1" applyAlignment="1">
      <alignment horizontal="center" vertical="center" wrapText="1"/>
    </xf>
    <xf numFmtId="0" fontId="25" fillId="12" borderId="17" xfId="0" applyFont="1" applyFill="1" applyBorder="1" applyAlignment="1">
      <alignment horizontal="center" vertical="center" wrapText="1"/>
    </xf>
    <xf numFmtId="0" fontId="25" fillId="12" borderId="24" xfId="0" applyFont="1" applyFill="1" applyBorder="1" applyAlignment="1">
      <alignment horizontal="center" vertical="center" wrapText="1"/>
    </xf>
    <xf numFmtId="0" fontId="15" fillId="10" borderId="18" xfId="0" applyFont="1" applyFill="1" applyBorder="1" applyAlignment="1">
      <alignment vertical="center" wrapText="1"/>
    </xf>
    <xf numFmtId="0" fontId="15" fillId="3" borderId="16" xfId="0" applyFont="1" applyFill="1" applyBorder="1" applyAlignment="1">
      <alignment vertical="center" wrapText="1"/>
    </xf>
    <xf numFmtId="1" fontId="15" fillId="3" borderId="16" xfId="0" applyNumberFormat="1" applyFont="1" applyFill="1" applyBorder="1" applyAlignment="1">
      <alignment horizontal="center" vertical="center" wrapText="1"/>
    </xf>
    <xf numFmtId="164" fontId="15" fillId="3" borderId="16" xfId="0" applyNumberFormat="1" applyFont="1" applyFill="1" applyBorder="1" applyAlignment="1">
      <alignment horizontal="center" vertical="center" wrapText="1"/>
    </xf>
    <xf numFmtId="2" fontId="15" fillId="3" borderId="16" xfId="0" applyNumberFormat="1" applyFont="1" applyFill="1" applyBorder="1" applyAlignment="1">
      <alignment horizontal="center" vertical="center" wrapText="1"/>
    </xf>
    <xf numFmtId="1" fontId="15" fillId="3" borderId="26" xfId="0" applyNumberFormat="1" applyFont="1" applyFill="1" applyBorder="1" applyAlignment="1">
      <alignment horizontal="center" vertical="center" wrapText="1"/>
    </xf>
    <xf numFmtId="3" fontId="15" fillId="3" borderId="26" xfId="0" applyNumberFormat="1" applyFont="1" applyFill="1" applyBorder="1" applyAlignment="1">
      <alignment horizontal="center" vertical="center" wrapText="1"/>
    </xf>
    <xf numFmtId="0" fontId="15" fillId="3" borderId="16" xfId="0" applyFont="1" applyFill="1" applyBorder="1" applyAlignment="1">
      <alignment horizontal="center" vertical="center" wrapText="1"/>
    </xf>
    <xf numFmtId="3" fontId="15" fillId="12" borderId="16" xfId="0" applyNumberFormat="1" applyFont="1" applyFill="1" applyBorder="1" applyAlignment="1">
      <alignment horizontal="center" vertical="center" wrapText="1"/>
    </xf>
    <xf numFmtId="170" fontId="15" fillId="12" borderId="16" xfId="0" applyNumberFormat="1" applyFont="1" applyFill="1" applyBorder="1" applyAlignment="1">
      <alignment horizontal="center" vertical="center" wrapText="1"/>
    </xf>
    <xf numFmtId="3" fontId="17" fillId="12" borderId="16" xfId="0" applyNumberFormat="1" applyFont="1" applyFill="1" applyBorder="1" applyAlignment="1">
      <alignment horizontal="center" vertical="center" wrapText="1"/>
    </xf>
    <xf numFmtId="4" fontId="17" fillId="12" borderId="20" xfId="0" applyNumberFormat="1" applyFont="1" applyFill="1" applyBorder="1" applyAlignment="1">
      <alignment horizontal="center" vertical="center" wrapText="1"/>
    </xf>
    <xf numFmtId="0" fontId="15" fillId="10" borderId="21" xfId="0" applyFont="1" applyFill="1" applyBorder="1" applyAlignment="1">
      <alignment vertical="center" wrapText="1"/>
    </xf>
    <xf numFmtId="0" fontId="15" fillId="3" borderId="1" xfId="0" applyFont="1" applyFill="1" applyBorder="1" applyAlignment="1">
      <alignment vertical="center" wrapText="1"/>
    </xf>
    <xf numFmtId="1" fontId="15" fillId="3" borderId="1" xfId="0" applyNumberFormat="1" applyFont="1" applyFill="1" applyBorder="1" applyAlignment="1">
      <alignment horizontal="center" vertical="center" wrapText="1"/>
    </xf>
    <xf numFmtId="164" fontId="15" fillId="3" borderId="1" xfId="0" applyNumberFormat="1" applyFont="1" applyFill="1" applyBorder="1" applyAlignment="1">
      <alignment horizontal="center" vertical="center" wrapText="1"/>
    </xf>
    <xf numFmtId="2" fontId="15" fillId="3" borderId="1" xfId="0" applyNumberFormat="1" applyFont="1" applyFill="1" applyBorder="1" applyAlignment="1">
      <alignment horizontal="center" vertical="center" wrapText="1"/>
    </xf>
    <xf numFmtId="3" fontId="15" fillId="3" borderId="1" xfId="0" applyNumberFormat="1" applyFont="1" applyFill="1" applyBorder="1" applyAlignment="1">
      <alignment horizontal="center" vertical="center" wrapText="1"/>
    </xf>
    <xf numFmtId="0" fontId="15" fillId="3" borderId="1" xfId="0" applyFont="1" applyFill="1" applyBorder="1" applyAlignment="1">
      <alignment horizontal="center" vertical="center" wrapText="1"/>
    </xf>
    <xf numFmtId="3" fontId="15" fillId="12" borderId="1" xfId="0" applyNumberFormat="1" applyFont="1" applyFill="1" applyBorder="1" applyAlignment="1">
      <alignment horizontal="center" vertical="center" wrapText="1"/>
    </xf>
    <xf numFmtId="4" fontId="15" fillId="12" borderId="1" xfId="0" applyNumberFormat="1" applyFont="1" applyFill="1" applyBorder="1" applyAlignment="1">
      <alignment horizontal="center" vertical="center" wrapText="1"/>
    </xf>
    <xf numFmtId="4" fontId="17" fillId="12" borderId="25" xfId="0" applyNumberFormat="1" applyFont="1" applyFill="1" applyBorder="1" applyAlignment="1">
      <alignment horizontal="center" vertical="center" wrapText="1"/>
    </xf>
    <xf numFmtId="4" fontId="17" fillId="12" borderId="22" xfId="0" applyNumberFormat="1" applyFont="1" applyFill="1" applyBorder="1" applyAlignment="1">
      <alignment horizontal="center" vertical="center" wrapText="1"/>
    </xf>
    <xf numFmtId="4" fontId="17" fillId="12" borderId="1" xfId="0" applyNumberFormat="1" applyFont="1" applyFill="1" applyBorder="1" applyAlignment="1">
      <alignment horizontal="center" vertical="center" wrapText="1"/>
    </xf>
    <xf numFmtId="0" fontId="15" fillId="10" borderId="23" xfId="0" applyFont="1" applyFill="1" applyBorder="1" applyAlignment="1">
      <alignment vertical="center" wrapText="1"/>
    </xf>
    <xf numFmtId="0" fontId="15" fillId="3" borderId="17" xfId="0" applyFont="1" applyFill="1" applyBorder="1" applyAlignment="1">
      <alignment vertical="center" wrapText="1"/>
    </xf>
    <xf numFmtId="1" fontId="15" fillId="3" borderId="17" xfId="0" applyNumberFormat="1" applyFont="1" applyFill="1" applyBorder="1" applyAlignment="1">
      <alignment horizontal="center" vertical="center" wrapText="1"/>
    </xf>
    <xf numFmtId="164" fontId="15" fillId="3" borderId="17" xfId="0" applyNumberFormat="1" applyFont="1" applyFill="1" applyBorder="1" applyAlignment="1">
      <alignment horizontal="center" vertical="center" wrapText="1"/>
    </xf>
    <xf numFmtId="2" fontId="15" fillId="3" borderId="17" xfId="0" applyNumberFormat="1" applyFont="1" applyFill="1" applyBorder="1" applyAlignment="1">
      <alignment horizontal="center" vertical="center" wrapText="1"/>
    </xf>
    <xf numFmtId="3" fontId="15" fillId="3" borderId="17" xfId="0" applyNumberFormat="1" applyFont="1" applyFill="1" applyBorder="1" applyAlignment="1">
      <alignment horizontal="center" vertical="center" wrapText="1"/>
    </xf>
    <xf numFmtId="0" fontId="15" fillId="3" borderId="17" xfId="0" applyFont="1" applyFill="1" applyBorder="1" applyAlignment="1">
      <alignment horizontal="center" vertical="center" wrapText="1"/>
    </xf>
    <xf numFmtId="4" fontId="15" fillId="12" borderId="17" xfId="0" applyNumberFormat="1" applyFont="1" applyFill="1" applyBorder="1" applyAlignment="1">
      <alignment horizontal="center" vertical="center" wrapText="1"/>
    </xf>
    <xf numFmtId="4" fontId="17" fillId="12" borderId="17" xfId="0" applyNumberFormat="1" applyFont="1" applyFill="1" applyBorder="1" applyAlignment="1">
      <alignment horizontal="center" vertical="center" wrapText="1"/>
    </xf>
    <xf numFmtId="4" fontId="17" fillId="12" borderId="24" xfId="0" applyNumberFormat="1" applyFont="1" applyFill="1" applyBorder="1" applyAlignment="1">
      <alignment horizontal="center" vertical="center" wrapText="1"/>
    </xf>
    <xf numFmtId="0" fontId="15" fillId="20" borderId="0" xfId="0" applyFont="1" applyFill="1" applyAlignment="1">
      <alignment wrapText="1"/>
    </xf>
    <xf numFmtId="0" fontId="15" fillId="20" borderId="0" xfId="0" applyFont="1" applyFill="1" applyBorder="1" applyAlignment="1">
      <alignment wrapText="1"/>
    </xf>
    <xf numFmtId="0" fontId="15" fillId="20" borderId="40" xfId="0" applyFont="1" applyFill="1" applyBorder="1" applyAlignment="1">
      <alignment wrapText="1"/>
    </xf>
    <xf numFmtId="170" fontId="17" fillId="12" borderId="16" xfId="0" applyNumberFormat="1" applyFont="1" applyFill="1" applyBorder="1" applyAlignment="1">
      <alignment horizontal="center" vertical="center" wrapText="1"/>
    </xf>
    <xf numFmtId="171" fontId="17" fillId="12" borderId="22" xfId="0" applyNumberFormat="1" applyFont="1" applyFill="1" applyBorder="1" applyAlignment="1">
      <alignment horizontal="center" vertical="center" wrapText="1"/>
    </xf>
    <xf numFmtId="0" fontId="10" fillId="0" borderId="0" xfId="0" applyFont="1"/>
    <xf numFmtId="0" fontId="10" fillId="0" borderId="0" xfId="0" applyFont="1" applyAlignment="1">
      <alignment horizontal="center"/>
    </xf>
    <xf numFmtId="0" fontId="54" fillId="0" borderId="0" xfId="0" applyFont="1" applyAlignment="1">
      <alignment vertical="center"/>
    </xf>
    <xf numFmtId="0" fontId="32" fillId="19" borderId="36" xfId="0" applyFont="1" applyFill="1" applyBorder="1" applyAlignment="1">
      <alignment vertical="center" wrapText="1"/>
    </xf>
    <xf numFmtId="0" fontId="32" fillId="19" borderId="26" xfId="0" applyFont="1" applyFill="1" applyBorder="1" applyAlignment="1">
      <alignment wrapText="1"/>
    </xf>
    <xf numFmtId="0" fontId="32" fillId="19" borderId="26" xfId="0" applyFont="1" applyFill="1" applyBorder="1" applyAlignment="1">
      <alignment vertical="center" wrapText="1"/>
    </xf>
    <xf numFmtId="0" fontId="10" fillId="0" borderId="0" xfId="0" applyFont="1" applyAlignment="1">
      <alignment vertical="center"/>
    </xf>
    <xf numFmtId="0" fontId="10" fillId="0" borderId="0" xfId="0" applyFont="1" applyAlignment="1">
      <alignment horizontal="center" vertical="center"/>
    </xf>
    <xf numFmtId="0" fontId="10" fillId="3" borderId="0" xfId="0" applyFont="1" applyFill="1"/>
    <xf numFmtId="0" fontId="32" fillId="19" borderId="45" xfId="0" applyFont="1" applyFill="1" applyBorder="1" applyAlignment="1">
      <alignment vertical="center" wrapText="1"/>
    </xf>
    <xf numFmtId="0" fontId="32" fillId="19" borderId="27" xfId="0" applyFont="1" applyFill="1" applyBorder="1" applyAlignment="1">
      <alignment wrapText="1"/>
    </xf>
    <xf numFmtId="0" fontId="32" fillId="19" borderId="27" xfId="0" applyFont="1" applyFill="1" applyBorder="1" applyAlignment="1">
      <alignment vertical="center" wrapText="1"/>
    </xf>
    <xf numFmtId="0" fontId="32" fillId="19" borderId="45" xfId="0" applyFont="1" applyFill="1" applyBorder="1" applyAlignment="1">
      <alignment horizontal="center" vertical="center" wrapText="1"/>
    </xf>
    <xf numFmtId="0" fontId="32" fillId="19" borderId="27" xfId="0" applyFont="1" applyFill="1" applyBorder="1" applyAlignment="1">
      <alignment horizontal="center" vertical="center" wrapText="1"/>
    </xf>
    <xf numFmtId="0" fontId="32" fillId="19" borderId="33" xfId="0" applyFont="1" applyFill="1" applyBorder="1" applyAlignment="1">
      <alignment horizontal="center" vertical="center" wrapText="1"/>
    </xf>
    <xf numFmtId="0" fontId="10" fillId="0" borderId="36" xfId="0" applyFont="1" applyBorder="1" applyAlignment="1">
      <alignment horizontal="center" vertical="center"/>
    </xf>
    <xf numFmtId="0" fontId="10" fillId="0" borderId="26" xfId="0" applyFont="1" applyFill="1" applyBorder="1" applyAlignment="1">
      <alignment horizontal="center" vertical="center"/>
    </xf>
    <xf numFmtId="0" fontId="57" fillId="7" borderId="26" xfId="0" applyFont="1" applyFill="1" applyBorder="1" applyAlignment="1">
      <alignment horizontal="center" vertical="center" wrapText="1"/>
    </xf>
    <xf numFmtId="0" fontId="10" fillId="8" borderId="16" xfId="0" applyFont="1" applyFill="1" applyBorder="1" applyAlignment="1">
      <alignment horizontal="left" vertical="center"/>
    </xf>
    <xf numFmtId="0" fontId="10" fillId="8" borderId="26" xfId="0" applyFont="1" applyFill="1" applyBorder="1" applyAlignment="1">
      <alignment horizontal="left" vertical="center"/>
    </xf>
    <xf numFmtId="164" fontId="10" fillId="0" borderId="26" xfId="0" applyNumberFormat="1" applyFont="1" applyFill="1" applyBorder="1" applyAlignment="1">
      <alignment horizontal="left" vertical="center"/>
    </xf>
    <xf numFmtId="2" fontId="10" fillId="0" borderId="16" xfId="0" applyNumberFormat="1" applyFont="1" applyFill="1" applyBorder="1" applyAlignment="1">
      <alignment horizontal="left" vertical="center"/>
    </xf>
    <xf numFmtId="164" fontId="10" fillId="0" borderId="16" xfId="0" applyNumberFormat="1" applyFont="1" applyFill="1" applyBorder="1" applyAlignment="1">
      <alignment horizontal="left" vertical="center"/>
    </xf>
    <xf numFmtId="2" fontId="10" fillId="0" borderId="26" xfId="0" applyNumberFormat="1" applyFont="1" applyFill="1" applyBorder="1" applyAlignment="1">
      <alignment horizontal="left" vertical="center"/>
    </xf>
    <xf numFmtId="1" fontId="10" fillId="0" borderId="26" xfId="0" applyNumberFormat="1" applyFont="1" applyFill="1" applyBorder="1" applyAlignment="1">
      <alignment horizontal="left" vertical="center"/>
    </xf>
    <xf numFmtId="2" fontId="10" fillId="0" borderId="26" xfId="0" applyNumberFormat="1" applyFont="1" applyBorder="1" applyAlignment="1">
      <alignment horizontal="left" vertical="center"/>
    </xf>
    <xf numFmtId="172" fontId="10" fillId="0" borderId="26" xfId="0" applyNumberFormat="1" applyFont="1" applyFill="1" applyBorder="1" applyAlignment="1">
      <alignment horizontal="left" vertical="center"/>
    </xf>
    <xf numFmtId="1" fontId="10" fillId="0" borderId="16" xfId="0" applyNumberFormat="1" applyFont="1" applyBorder="1" applyAlignment="1">
      <alignment horizontal="center" vertical="center"/>
    </xf>
    <xf numFmtId="2" fontId="10" fillId="0" borderId="26" xfId="0" applyNumberFormat="1" applyFont="1" applyBorder="1" applyAlignment="1">
      <alignment horizontal="center" vertical="center" wrapText="1"/>
    </xf>
    <xf numFmtId="2" fontId="10" fillId="0" borderId="20" xfId="0" applyNumberFormat="1" applyFont="1" applyBorder="1" applyAlignment="1">
      <alignment horizontal="center" vertical="center"/>
    </xf>
    <xf numFmtId="0" fontId="10" fillId="0" borderId="21" xfId="0" applyFont="1" applyBorder="1" applyAlignment="1">
      <alignment horizontal="center" vertical="center"/>
    </xf>
    <xf numFmtId="0" fontId="10" fillId="0" borderId="1" xfId="0" applyFont="1" applyFill="1" applyBorder="1" applyAlignment="1">
      <alignment horizontal="center" vertical="center"/>
    </xf>
    <xf numFmtId="0" fontId="57" fillId="7" borderId="1" xfId="0" applyFont="1" applyFill="1" applyBorder="1" applyAlignment="1">
      <alignment horizontal="center" vertical="center" wrapText="1"/>
    </xf>
    <xf numFmtId="0" fontId="10" fillId="8" borderId="25" xfId="0" applyFont="1" applyFill="1" applyBorder="1" applyAlignment="1">
      <alignment horizontal="left" vertical="center"/>
    </xf>
    <xf numFmtId="0" fontId="10" fillId="8" borderId="1" xfId="0" applyFont="1" applyFill="1" applyBorder="1" applyAlignment="1">
      <alignment horizontal="left" vertical="center"/>
    </xf>
    <xf numFmtId="164" fontId="10" fillId="0" borderId="1" xfId="0" applyNumberFormat="1" applyFont="1" applyFill="1" applyBorder="1" applyAlignment="1">
      <alignment horizontal="left" vertical="center"/>
    </xf>
    <xf numFmtId="2" fontId="10" fillId="0" borderId="25" xfId="0" applyNumberFormat="1" applyFont="1" applyFill="1" applyBorder="1" applyAlignment="1">
      <alignment horizontal="left" vertical="center"/>
    </xf>
    <xf numFmtId="164" fontId="10" fillId="0" borderId="25" xfId="0" applyNumberFormat="1" applyFont="1" applyFill="1" applyBorder="1" applyAlignment="1">
      <alignment horizontal="left" vertical="center"/>
    </xf>
    <xf numFmtId="2" fontId="10" fillId="0" borderId="1" xfId="0" applyNumberFormat="1" applyFont="1" applyFill="1" applyBorder="1" applyAlignment="1">
      <alignment horizontal="left" vertical="center"/>
    </xf>
    <xf numFmtId="1" fontId="10" fillId="0" borderId="1" xfId="0" applyNumberFormat="1" applyFont="1" applyFill="1" applyBorder="1" applyAlignment="1">
      <alignment horizontal="left" vertical="center"/>
    </xf>
    <xf numFmtId="2" fontId="10" fillId="0" borderId="1" xfId="0" applyNumberFormat="1" applyFont="1" applyBorder="1" applyAlignment="1">
      <alignment horizontal="left" vertical="center"/>
    </xf>
    <xf numFmtId="172" fontId="10" fillId="0" borderId="1" xfId="0" applyNumberFormat="1" applyFont="1" applyFill="1" applyBorder="1" applyAlignment="1">
      <alignment horizontal="left" vertical="center"/>
    </xf>
    <xf numFmtId="1" fontId="10" fillId="0" borderId="25" xfId="0" applyNumberFormat="1" applyFont="1" applyBorder="1" applyAlignment="1">
      <alignment horizontal="center" vertical="center"/>
    </xf>
    <xf numFmtId="0" fontId="11" fillId="0" borderId="1" xfId="0" applyFont="1" applyBorder="1" applyAlignment="1">
      <alignment horizontal="center" wrapText="1"/>
    </xf>
    <xf numFmtId="2" fontId="10" fillId="0" borderId="22" xfId="0" applyNumberFormat="1" applyFont="1" applyBorder="1" applyAlignment="1">
      <alignment horizontal="center" vertical="center"/>
    </xf>
    <xf numFmtId="164" fontId="10" fillId="8" borderId="1" xfId="0" applyNumberFormat="1" applyFont="1" applyFill="1" applyBorder="1" applyAlignment="1">
      <alignment horizontal="left" vertical="center"/>
    </xf>
    <xf numFmtId="2" fontId="10" fillId="8" borderId="1" xfId="0" applyNumberFormat="1" applyFont="1" applyFill="1" applyBorder="1" applyAlignment="1">
      <alignment horizontal="left" vertical="center"/>
    </xf>
    <xf numFmtId="167" fontId="10" fillId="0" borderId="1" xfId="0" applyNumberFormat="1" applyFont="1" applyFill="1" applyBorder="1" applyAlignment="1">
      <alignment horizontal="left" vertical="center"/>
    </xf>
    <xf numFmtId="1" fontId="10" fillId="0" borderId="1" xfId="0" applyNumberFormat="1" applyFont="1" applyBorder="1" applyAlignment="1">
      <alignment horizontal="center" vertical="center"/>
    </xf>
    <xf numFmtId="2" fontId="10" fillId="0" borderId="1" xfId="0" applyNumberFormat="1" applyFont="1" applyBorder="1" applyAlignment="1">
      <alignment horizontal="center" vertical="center" wrapText="1"/>
    </xf>
    <xf numFmtId="0" fontId="10" fillId="3" borderId="1" xfId="0" applyFont="1" applyFill="1" applyBorder="1" applyAlignment="1">
      <alignment horizontal="center" vertical="center" wrapText="1"/>
    </xf>
    <xf numFmtId="0" fontId="10" fillId="3" borderId="1" xfId="0" applyFont="1" applyFill="1" applyBorder="1" applyAlignment="1">
      <alignment horizontal="left" vertical="center"/>
    </xf>
    <xf numFmtId="0" fontId="10" fillId="0" borderId="1" xfId="0" applyFont="1" applyBorder="1" applyAlignment="1">
      <alignment horizontal="center" vertical="center"/>
    </xf>
    <xf numFmtId="164" fontId="10" fillId="8" borderId="25" xfId="0" applyNumberFormat="1" applyFont="1" applyFill="1" applyBorder="1" applyAlignment="1">
      <alignment horizontal="left" vertical="center"/>
    </xf>
    <xf numFmtId="0" fontId="10" fillId="22" borderId="21" xfId="0" applyFont="1" applyFill="1" applyBorder="1" applyAlignment="1">
      <alignment horizontal="center" vertical="center"/>
    </xf>
    <xf numFmtId="0" fontId="10" fillId="22" borderId="1" xfId="0" applyFont="1" applyFill="1" applyBorder="1" applyAlignment="1">
      <alignment horizontal="center" vertical="center"/>
    </xf>
    <xf numFmtId="0" fontId="10" fillId="3" borderId="1" xfId="0" applyFont="1" applyFill="1" applyBorder="1" applyAlignment="1">
      <alignment horizontal="center" vertical="center"/>
    </xf>
    <xf numFmtId="169" fontId="10" fillId="0" borderId="1" xfId="0" applyNumberFormat="1" applyFont="1" applyBorder="1" applyAlignment="1">
      <alignment horizontal="left" vertical="center"/>
    </xf>
    <xf numFmtId="172" fontId="10" fillId="0" borderId="1" xfId="0" applyNumberFormat="1" applyFont="1" applyBorder="1" applyAlignment="1">
      <alignment horizontal="left" vertical="center"/>
    </xf>
    <xf numFmtId="0" fontId="11" fillId="0" borderId="1" xfId="0" applyFont="1" applyBorder="1" applyAlignment="1">
      <alignment vertical="center" wrapText="1"/>
    </xf>
    <xf numFmtId="2" fontId="10" fillId="0" borderId="124" xfId="0" applyNumberFormat="1" applyFont="1" applyBorder="1" applyAlignment="1">
      <alignment vertical="center"/>
    </xf>
    <xf numFmtId="0" fontId="57" fillId="18" borderId="1" xfId="0" applyFont="1" applyFill="1" applyBorder="1" applyAlignment="1">
      <alignment horizontal="center" vertical="center" wrapText="1"/>
    </xf>
    <xf numFmtId="0" fontId="10" fillId="8" borderId="1" xfId="0" quotePrefix="1" applyFont="1" applyFill="1" applyBorder="1" applyAlignment="1">
      <alignment horizontal="left" vertical="center"/>
    </xf>
    <xf numFmtId="2" fontId="10" fillId="8" borderId="1" xfId="0" quotePrefix="1" applyNumberFormat="1" applyFont="1" applyFill="1" applyBorder="1" applyAlignment="1">
      <alignment horizontal="left" vertical="center"/>
    </xf>
    <xf numFmtId="169" fontId="10" fillId="8" borderId="1" xfId="0" quotePrefix="1" applyNumberFormat="1" applyFont="1" applyFill="1" applyBorder="1" applyAlignment="1">
      <alignment horizontal="left" vertical="center"/>
    </xf>
    <xf numFmtId="0" fontId="10" fillId="8" borderId="1" xfId="0" quotePrefix="1" applyFont="1" applyFill="1" applyBorder="1" applyAlignment="1">
      <alignment horizontal="center" vertical="center"/>
    </xf>
    <xf numFmtId="0" fontId="10" fillId="0" borderId="1" xfId="0" applyFont="1" applyBorder="1" applyAlignment="1">
      <alignment horizontal="left" wrapText="1"/>
    </xf>
    <xf numFmtId="2" fontId="10" fillId="0" borderId="1" xfId="0" applyNumberFormat="1" applyFont="1" applyBorder="1" applyAlignment="1">
      <alignment horizontal="center" vertical="center"/>
    </xf>
    <xf numFmtId="0" fontId="10" fillId="3" borderId="0" xfId="0" applyFont="1" applyFill="1" applyAlignment="1">
      <alignment horizontal="center"/>
    </xf>
    <xf numFmtId="0" fontId="10" fillId="0" borderId="23" xfId="0" applyFont="1" applyBorder="1" applyAlignment="1">
      <alignment horizontal="center" vertical="center"/>
    </xf>
    <xf numFmtId="0" fontId="10" fillId="3" borderId="17" xfId="0" applyFont="1" applyFill="1" applyBorder="1" applyAlignment="1">
      <alignment horizontal="center" vertical="center" wrapText="1"/>
    </xf>
    <xf numFmtId="0" fontId="10" fillId="8" borderId="17" xfId="0" applyFont="1" applyFill="1" applyBorder="1" applyAlignment="1">
      <alignment horizontal="left" vertical="center"/>
    </xf>
    <xf numFmtId="0" fontId="10" fillId="8" borderId="17" xfId="0" quotePrefix="1" applyFont="1" applyFill="1" applyBorder="1" applyAlignment="1">
      <alignment horizontal="left" vertical="center"/>
    </xf>
    <xf numFmtId="2" fontId="10" fillId="8" borderId="17" xfId="0" quotePrefix="1" applyNumberFormat="1" applyFont="1" applyFill="1" applyBorder="1" applyAlignment="1">
      <alignment horizontal="left" vertical="center"/>
    </xf>
    <xf numFmtId="2" fontId="10" fillId="0" borderId="17" xfId="0" applyNumberFormat="1" applyFont="1" applyFill="1" applyBorder="1" applyAlignment="1">
      <alignment horizontal="left" vertical="center"/>
    </xf>
    <xf numFmtId="0" fontId="10" fillId="8" borderId="17" xfId="0" quotePrefix="1" applyFont="1" applyFill="1" applyBorder="1" applyAlignment="1">
      <alignment horizontal="center" vertical="center"/>
    </xf>
    <xf numFmtId="2" fontId="10" fillId="0" borderId="125" xfId="0" applyNumberFormat="1" applyFont="1" applyBorder="1" applyAlignment="1">
      <alignment horizontal="center" vertical="center"/>
    </xf>
    <xf numFmtId="0" fontId="32" fillId="0" borderId="0" xfId="0" applyFont="1" applyAlignment="1">
      <alignment vertical="center"/>
    </xf>
    <xf numFmtId="0" fontId="10" fillId="0" borderId="0" xfId="0" applyFont="1" applyAlignment="1">
      <alignment horizontal="center" vertical="center" wrapText="1"/>
    </xf>
    <xf numFmtId="0" fontId="10" fillId="0" borderId="0" xfId="0" applyFont="1" applyAlignment="1">
      <alignment horizontal="left" vertical="center"/>
    </xf>
    <xf numFmtId="0" fontId="10" fillId="0" borderId="0" xfId="0" applyFont="1" applyAlignment="1">
      <alignment wrapText="1"/>
    </xf>
    <xf numFmtId="0" fontId="15" fillId="21" borderId="0" xfId="0" applyFont="1" applyFill="1" applyBorder="1"/>
    <xf numFmtId="0" fontId="15" fillId="21" borderId="0" xfId="0" applyFont="1" applyFill="1"/>
    <xf numFmtId="0" fontId="15" fillId="21" borderId="74" xfId="0" applyFont="1" applyFill="1" applyBorder="1" applyAlignment="1">
      <alignment horizontal="center" vertical="center"/>
    </xf>
    <xf numFmtId="0" fontId="15" fillId="0" borderId="49" xfId="0" applyFont="1" applyBorder="1"/>
    <xf numFmtId="0" fontId="15" fillId="0" borderId="84" xfId="0" applyFont="1" applyBorder="1"/>
    <xf numFmtId="0" fontId="15" fillId="0" borderId="48" xfId="0" applyFont="1" applyBorder="1"/>
    <xf numFmtId="0" fontId="15" fillId="0" borderId="72" xfId="0" applyFont="1" applyBorder="1"/>
    <xf numFmtId="0" fontId="15" fillId="0" borderId="73" xfId="0" applyFont="1" applyBorder="1"/>
    <xf numFmtId="9" fontId="15" fillId="0" borderId="49" xfId="0" applyNumberFormat="1" applyFont="1" applyBorder="1"/>
    <xf numFmtId="9" fontId="15" fillId="0" borderId="48" xfId="0" applyNumberFormat="1" applyFont="1" applyBorder="1"/>
    <xf numFmtId="9" fontId="15" fillId="0" borderId="49" xfId="0" applyNumberFormat="1" applyFont="1" applyBorder="1" applyAlignment="1">
      <alignment horizontal="center"/>
    </xf>
    <xf numFmtId="9" fontId="15" fillId="0" borderId="48" xfId="0" applyNumberFormat="1" applyFont="1" applyBorder="1" applyAlignment="1">
      <alignment horizontal="center"/>
    </xf>
    <xf numFmtId="9" fontId="15" fillId="0" borderId="0" xfId="0" applyNumberFormat="1" applyFont="1" applyBorder="1"/>
    <xf numFmtId="0" fontId="15" fillId="0" borderId="48" xfId="0" applyNumberFormat="1" applyFont="1" applyBorder="1"/>
    <xf numFmtId="0" fontId="14" fillId="6" borderId="50" xfId="0" applyFont="1" applyFill="1" applyBorder="1" applyAlignment="1">
      <alignment horizontal="center" vertical="center" wrapText="1"/>
    </xf>
    <xf numFmtId="0" fontId="14" fillId="6" borderId="28" xfId="0" applyFont="1" applyFill="1" applyBorder="1" applyAlignment="1">
      <alignment horizontal="center" vertical="center" wrapText="1"/>
    </xf>
    <xf numFmtId="0" fontId="14" fillId="6" borderId="10" xfId="0" applyFont="1" applyFill="1" applyBorder="1" applyAlignment="1">
      <alignment horizontal="left" wrapText="1"/>
    </xf>
    <xf numFmtId="0" fontId="15" fillId="3" borderId="18" xfId="0" applyFont="1" applyFill="1" applyBorder="1" applyAlignment="1">
      <alignment horizontal="center"/>
    </xf>
    <xf numFmtId="164" fontId="15" fillId="3" borderId="16" xfId="0" applyNumberFormat="1" applyFont="1" applyFill="1" applyBorder="1" applyAlignment="1">
      <alignment horizontal="center"/>
    </xf>
    <xf numFmtId="0" fontId="15" fillId="3" borderId="20" xfId="0" applyFont="1" applyFill="1" applyBorder="1"/>
    <xf numFmtId="0" fontId="14" fillId="6" borderId="55" xfId="0" applyFont="1" applyFill="1" applyBorder="1" applyAlignment="1">
      <alignment horizontal="left" wrapText="1"/>
    </xf>
    <xf numFmtId="1" fontId="15" fillId="3" borderId="1" xfId="0" applyNumberFormat="1" applyFont="1" applyFill="1" applyBorder="1" applyAlignment="1">
      <alignment horizontal="center"/>
    </xf>
    <xf numFmtId="0" fontId="15" fillId="3" borderId="22" xfId="0" applyFont="1" applyFill="1" applyBorder="1"/>
    <xf numFmtId="0" fontId="15" fillId="3" borderId="21" xfId="0" applyFont="1" applyFill="1" applyBorder="1" applyAlignment="1">
      <alignment horizontal="center"/>
    </xf>
    <xf numFmtId="0" fontId="15" fillId="3" borderId="1" xfId="0" applyFont="1" applyFill="1" applyBorder="1" applyAlignment="1">
      <alignment horizontal="center"/>
    </xf>
    <xf numFmtId="0" fontId="14" fillId="6" borderId="65" xfId="0" applyFont="1" applyFill="1" applyBorder="1" applyAlignment="1">
      <alignment horizontal="left" wrapText="1"/>
    </xf>
    <xf numFmtId="0" fontId="15" fillId="3" borderId="23" xfId="0" applyFont="1" applyFill="1" applyBorder="1" applyAlignment="1">
      <alignment horizontal="center"/>
    </xf>
    <xf numFmtId="0" fontId="15" fillId="3" borderId="17" xfId="0" applyFont="1" applyFill="1" applyBorder="1" applyAlignment="1">
      <alignment horizontal="center"/>
    </xf>
    <xf numFmtId="0" fontId="15" fillId="3" borderId="24" xfId="0" applyFont="1" applyFill="1" applyBorder="1"/>
    <xf numFmtId="0" fontId="15" fillId="3" borderId="0" xfId="0" applyFont="1" applyFill="1" applyBorder="1" applyAlignment="1">
      <alignment horizontal="left" vertical="top" wrapText="1"/>
    </xf>
    <xf numFmtId="0" fontId="14" fillId="3" borderId="0" xfId="0" applyFont="1" applyFill="1"/>
    <xf numFmtId="0" fontId="20" fillId="3" borderId="0" xfId="0" applyFont="1" applyFill="1"/>
    <xf numFmtId="0" fontId="3" fillId="0" borderId="0" xfId="0" applyFont="1" applyAlignment="1">
      <alignment vertical="center" wrapText="1"/>
    </xf>
    <xf numFmtId="0" fontId="10" fillId="0" borderId="0" xfId="0" applyFont="1" applyAlignment="1">
      <alignment vertical="center" wrapText="1"/>
    </xf>
    <xf numFmtId="0" fontId="36" fillId="0" borderId="1" xfId="0" applyFont="1" applyBorder="1" applyAlignment="1">
      <alignment vertical="center"/>
    </xf>
    <xf numFmtId="0" fontId="15" fillId="0" borderId="0" xfId="0" applyFont="1" applyAlignment="1">
      <alignment vertical="center" wrapText="1"/>
    </xf>
    <xf numFmtId="0" fontId="58" fillId="0" borderId="1" xfId="0" applyFont="1" applyBorder="1" applyAlignment="1">
      <alignment vertical="center"/>
    </xf>
    <xf numFmtId="0" fontId="10" fillId="17" borderId="103" xfId="0" applyFont="1" applyFill="1" applyBorder="1" applyAlignment="1">
      <alignment horizontal="center" vertical="center" wrapText="1"/>
    </xf>
    <xf numFmtId="0" fontId="59" fillId="17" borderId="87" xfId="0" applyFont="1" applyFill="1" applyBorder="1" applyAlignment="1">
      <alignment horizontal="center" vertical="center" wrapText="1"/>
    </xf>
    <xf numFmtId="0" fontId="10" fillId="17" borderId="1" xfId="0" applyFont="1" applyFill="1" applyBorder="1" applyAlignment="1">
      <alignment horizontal="center" vertical="center" wrapText="1"/>
    </xf>
    <xf numFmtId="0" fontId="10" fillId="17" borderId="25" xfId="0" applyFont="1" applyFill="1" applyBorder="1" applyAlignment="1">
      <alignment horizontal="center" vertical="center" wrapText="1"/>
    </xf>
    <xf numFmtId="0" fontId="32" fillId="17" borderId="25" xfId="0" applyFont="1" applyFill="1" applyBorder="1" applyAlignment="1">
      <alignment horizontal="center" vertical="center" wrapText="1"/>
    </xf>
    <xf numFmtId="0" fontId="11" fillId="17" borderId="25" xfId="0" applyFont="1" applyFill="1" applyBorder="1" applyAlignment="1">
      <alignment horizontal="center" vertical="center" wrapText="1"/>
    </xf>
    <xf numFmtId="0" fontId="12" fillId="17" borderId="25" xfId="0" applyFont="1" applyFill="1" applyBorder="1" applyAlignment="1">
      <alignment horizontal="center" vertical="center" wrapText="1"/>
    </xf>
    <xf numFmtId="0" fontId="10" fillId="17" borderId="1" xfId="0" applyFont="1" applyFill="1" applyBorder="1"/>
    <xf numFmtId="0" fontId="10" fillId="0" borderId="103" xfId="0" applyFont="1" applyBorder="1"/>
    <xf numFmtId="0" fontId="10" fillId="0" borderId="1" xfId="0" applyFont="1" applyBorder="1" applyAlignment="1">
      <alignment vertical="center" wrapText="1"/>
    </xf>
    <xf numFmtId="0" fontId="10" fillId="0" borderId="1" xfId="0" applyFont="1" applyBorder="1" applyAlignment="1">
      <alignment wrapText="1"/>
    </xf>
    <xf numFmtId="165" fontId="10" fillId="0" borderId="1" xfId="0" applyNumberFormat="1" applyFont="1" applyBorder="1" applyAlignment="1">
      <alignment horizontal="center" vertical="center" wrapText="1"/>
    </xf>
    <xf numFmtId="167" fontId="10" fillId="0" borderId="1" xfId="0" applyNumberFormat="1" applyFont="1" applyBorder="1" applyAlignment="1">
      <alignment horizontal="center" vertical="center" wrapText="1"/>
    </xf>
    <xf numFmtId="0" fontId="10" fillId="0" borderId="1" xfId="0" applyFont="1" applyBorder="1"/>
    <xf numFmtId="0" fontId="10" fillId="17" borderId="33" xfId="0" applyFont="1" applyFill="1" applyBorder="1"/>
    <xf numFmtId="9" fontId="10" fillId="0" borderId="33" xfId="1" applyFont="1" applyBorder="1"/>
    <xf numFmtId="0" fontId="32" fillId="17" borderId="38" xfId="0" applyFont="1" applyFill="1" applyBorder="1"/>
    <xf numFmtId="164" fontId="32" fillId="0" borderId="43" xfId="0" applyNumberFormat="1" applyFont="1" applyBorder="1"/>
    <xf numFmtId="0" fontId="32" fillId="0" borderId="44" xfId="0" applyFont="1" applyBorder="1"/>
    <xf numFmtId="165" fontId="10" fillId="0" borderId="1" xfId="0" applyNumberFormat="1" applyFont="1" applyBorder="1" applyAlignment="1">
      <alignment horizontal="center" vertical="center"/>
    </xf>
    <xf numFmtId="167" fontId="10"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14" fontId="10" fillId="0" borderId="1" xfId="0" applyNumberFormat="1" applyFont="1" applyBorder="1" applyAlignment="1">
      <alignment horizontal="center" vertical="center" wrapText="1"/>
    </xf>
    <xf numFmtId="2" fontId="3" fillId="0" borderId="1" xfId="0" applyNumberFormat="1" applyFont="1" applyBorder="1" applyAlignment="1">
      <alignment horizontal="center" vertical="center" wrapText="1"/>
    </xf>
    <xf numFmtId="16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164" fontId="10" fillId="0" borderId="1" xfId="0" applyNumberFormat="1" applyFont="1" applyBorder="1" applyAlignment="1">
      <alignment horizontal="center" vertical="center" wrapText="1"/>
    </xf>
    <xf numFmtId="1" fontId="3" fillId="0" borderId="1" xfId="0" applyNumberFormat="1" applyFont="1" applyBorder="1" applyAlignment="1">
      <alignment horizontal="center" vertical="center" wrapText="1"/>
    </xf>
    <xf numFmtId="0" fontId="10" fillId="0" borderId="1" xfId="0" quotePrefix="1" applyFont="1" applyBorder="1" applyAlignment="1">
      <alignment horizontal="center" vertical="center" wrapText="1"/>
    </xf>
    <xf numFmtId="0" fontId="10" fillId="0" borderId="1" xfId="0" applyFont="1" applyBorder="1" applyAlignment="1">
      <alignment horizontal="left" vertical="center" wrapText="1"/>
    </xf>
    <xf numFmtId="0" fontId="10" fillId="0" borderId="25" xfId="0" applyFont="1" applyBorder="1" applyAlignment="1">
      <alignment vertical="center" wrapText="1"/>
    </xf>
    <xf numFmtId="0" fontId="10" fillId="0" borderId="25" xfId="0" applyFont="1" applyBorder="1" applyAlignment="1">
      <alignment horizontal="left" vertical="center"/>
    </xf>
    <xf numFmtId="0" fontId="3" fillId="0" borderId="25" xfId="0" applyFont="1" applyBorder="1" applyAlignment="1">
      <alignment horizontal="center" vertical="center" wrapText="1"/>
    </xf>
    <xf numFmtId="0" fontId="10" fillId="0" borderId="25" xfId="0" applyFont="1" applyBorder="1" applyAlignment="1">
      <alignment horizontal="center" vertical="center"/>
    </xf>
    <xf numFmtId="0" fontId="10" fillId="0" borderId="25" xfId="0" applyFont="1" applyBorder="1" applyAlignment="1">
      <alignment horizontal="center" vertical="center" wrapText="1"/>
    </xf>
    <xf numFmtId="167" fontId="10" fillId="0" borderId="25" xfId="0" applyNumberFormat="1" applyFont="1" applyBorder="1" applyAlignment="1">
      <alignment horizontal="center" vertical="center" wrapText="1"/>
    </xf>
    <xf numFmtId="165" fontId="3" fillId="0" borderId="25" xfId="0" applyNumberFormat="1" applyFont="1" applyBorder="1" applyAlignment="1">
      <alignment horizontal="center" vertical="center" wrapText="1"/>
    </xf>
    <xf numFmtId="164" fontId="3" fillId="0" borderId="25" xfId="0" applyNumberFormat="1" applyFont="1" applyBorder="1" applyAlignment="1">
      <alignment horizontal="center" vertical="center" wrapText="1"/>
    </xf>
    <xf numFmtId="0" fontId="10" fillId="0" borderId="25" xfId="0" applyFont="1" applyBorder="1"/>
    <xf numFmtId="0" fontId="10" fillId="0" borderId="1" xfId="0" applyFont="1" applyBorder="1" applyAlignment="1">
      <alignment horizontal="left" vertical="center"/>
    </xf>
    <xf numFmtId="165" fontId="3" fillId="0" borderId="1" xfId="0" applyNumberFormat="1" applyFont="1" applyBorder="1" applyAlignment="1">
      <alignment horizontal="center" vertical="center" wrapText="1"/>
    </xf>
    <xf numFmtId="0" fontId="12" fillId="0" borderId="1" xfId="0" applyFont="1" applyBorder="1" applyAlignment="1">
      <alignment vertical="center" wrapText="1"/>
    </xf>
    <xf numFmtId="0" fontId="12" fillId="0" borderId="25" xfId="0" applyFont="1" applyBorder="1" applyAlignment="1">
      <alignment vertical="center" wrapText="1"/>
    </xf>
    <xf numFmtId="0" fontId="12" fillId="0" borderId="1" xfId="0" applyFont="1" applyBorder="1" applyAlignment="1">
      <alignment horizontal="left" vertical="center"/>
    </xf>
    <xf numFmtId="0" fontId="12" fillId="0" borderId="1" xfId="0" applyFont="1" applyBorder="1" applyAlignment="1">
      <alignment horizontal="center" vertical="center"/>
    </xf>
    <xf numFmtId="0" fontId="12" fillId="0" borderId="25" xfId="0" applyFont="1" applyBorder="1" applyAlignment="1">
      <alignment horizontal="center" vertical="center" wrapText="1"/>
    </xf>
    <xf numFmtId="164" fontId="12" fillId="0" borderId="1" xfId="0" applyNumberFormat="1" applyFont="1" applyBorder="1" applyAlignment="1">
      <alignment horizontal="center" vertical="center" wrapText="1"/>
    </xf>
    <xf numFmtId="0" fontId="12" fillId="0" borderId="1" xfId="0" applyFont="1" applyBorder="1"/>
    <xf numFmtId="2" fontId="12" fillId="0" borderId="25" xfId="0" applyNumberFormat="1" applyFont="1" applyBorder="1" applyAlignment="1">
      <alignment horizontal="center" vertical="center" wrapText="1"/>
    </xf>
    <xf numFmtId="14" fontId="12" fillId="0" borderId="1" xfId="0" applyNumberFormat="1" applyFont="1" applyBorder="1" applyAlignment="1">
      <alignment horizontal="center" vertical="center"/>
    </xf>
    <xf numFmtId="2" fontId="10" fillId="0" borderId="25" xfId="0" applyNumberFormat="1" applyFont="1" applyBorder="1" applyAlignment="1">
      <alignment horizontal="center" vertical="center" wrapText="1"/>
    </xf>
    <xf numFmtId="165" fontId="12" fillId="0" borderId="1" xfId="0" applyNumberFormat="1" applyFont="1" applyBorder="1" applyAlignment="1">
      <alignment horizontal="center" vertical="center" wrapText="1"/>
    </xf>
    <xf numFmtId="167" fontId="12" fillId="0" borderId="25" xfId="0" applyNumberFormat="1" applyFont="1" applyBorder="1" applyAlignment="1">
      <alignment horizontal="center" vertical="center" wrapText="1"/>
    </xf>
    <xf numFmtId="2" fontId="12" fillId="0" borderId="1" xfId="0" applyNumberFormat="1" applyFont="1" applyBorder="1" applyAlignment="1">
      <alignment horizontal="center" vertical="center" wrapText="1"/>
    </xf>
    <xf numFmtId="164" fontId="10" fillId="0" borderId="25" xfId="0" applyNumberFormat="1" applyFont="1" applyBorder="1" applyAlignment="1">
      <alignment horizontal="center" vertical="center" wrapText="1"/>
    </xf>
    <xf numFmtId="165" fontId="10" fillId="0" borderId="25" xfId="0" applyNumberFormat="1" applyFont="1" applyBorder="1" applyAlignment="1">
      <alignment horizontal="center" vertical="center" wrapText="1"/>
    </xf>
    <xf numFmtId="0" fontId="3" fillId="0" borderId="1" xfId="0" applyFont="1" applyBorder="1" applyAlignment="1">
      <alignment horizontal="left" vertical="center" wrapText="1"/>
    </xf>
    <xf numFmtId="0" fontId="12" fillId="0" borderId="1" xfId="0" applyFont="1" applyBorder="1" applyAlignment="1">
      <alignment horizontal="left" vertical="center" wrapText="1"/>
    </xf>
    <xf numFmtId="14" fontId="12" fillId="0" borderId="1" xfId="0" applyNumberFormat="1" applyFont="1" applyBorder="1" applyAlignment="1">
      <alignment horizontal="center" vertical="center" wrapText="1"/>
    </xf>
    <xf numFmtId="14" fontId="11" fillId="0" borderId="1" xfId="0" applyNumberFormat="1" applyFont="1" applyBorder="1" applyAlignment="1">
      <alignment horizontal="center" vertical="center" wrapText="1"/>
    </xf>
    <xf numFmtId="165" fontId="10" fillId="0" borderId="1" xfId="0" applyNumberFormat="1" applyFont="1" applyBorder="1"/>
    <xf numFmtId="2" fontId="11" fillId="0" borderId="1" xfId="0" applyNumberFormat="1" applyFont="1" applyBorder="1" applyAlignment="1">
      <alignment horizontal="center" vertical="center" wrapText="1"/>
    </xf>
    <xf numFmtId="1" fontId="10" fillId="0" borderId="1" xfId="0" applyNumberFormat="1" applyFont="1" applyBorder="1" applyAlignment="1">
      <alignment horizontal="center" vertical="center" wrapText="1"/>
    </xf>
    <xf numFmtId="0" fontId="10" fillId="0" borderId="17" xfId="0" applyFont="1" applyBorder="1" applyAlignment="1">
      <alignment vertical="center" wrapText="1"/>
    </xf>
    <xf numFmtId="165" fontId="10" fillId="0" borderId="1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0" fontId="10" fillId="0" borderId="17" xfId="0" applyFont="1" applyBorder="1"/>
    <xf numFmtId="164" fontId="3" fillId="0" borderId="0" xfId="0" applyNumberFormat="1" applyFont="1" applyAlignment="1">
      <alignment horizontal="center" vertical="center" wrapText="1"/>
    </xf>
    <xf numFmtId="0" fontId="25" fillId="16" borderId="69" xfId="2" applyFont="1" applyFill="1" applyBorder="1" applyAlignment="1">
      <alignment horizontal="center" vertical="center" wrapText="1"/>
    </xf>
    <xf numFmtId="0" fontId="15" fillId="0" borderId="49" xfId="0" applyFont="1" applyBorder="1" applyAlignment="1">
      <alignment horizontal="left"/>
    </xf>
    <xf numFmtId="0" fontId="48" fillId="3" borderId="85" xfId="0" applyFont="1" applyFill="1" applyBorder="1" applyAlignment="1">
      <alignment horizontal="left" vertical="center" wrapText="1"/>
    </xf>
    <xf numFmtId="0" fontId="15" fillId="21" borderId="0" xfId="0" applyFont="1" applyFill="1" applyAlignment="1">
      <alignment vertical="center" wrapText="1"/>
    </xf>
    <xf numFmtId="0" fontId="15" fillId="0" borderId="48" xfId="0" applyFont="1" applyBorder="1" applyAlignment="1">
      <alignment horizontal="left"/>
    </xf>
    <xf numFmtId="0" fontId="25" fillId="16" borderId="70" xfId="2" applyFont="1" applyFill="1" applyBorder="1" applyAlignment="1">
      <alignment horizontal="center" vertical="center" wrapText="1"/>
    </xf>
    <xf numFmtId="0" fontId="17" fillId="21" borderId="0" xfId="2" applyFont="1" applyFill="1"/>
    <xf numFmtId="0" fontId="15" fillId="21" borderId="0" xfId="0" applyFont="1" applyFill="1" applyAlignment="1">
      <alignment wrapText="1"/>
    </xf>
    <xf numFmtId="0" fontId="15" fillId="21" borderId="58" xfId="0" applyFont="1" applyFill="1" applyBorder="1" applyAlignment="1">
      <alignment vertical="center"/>
    </xf>
    <xf numFmtId="0" fontId="17" fillId="0" borderId="37" xfId="2" applyFont="1" applyBorder="1" applyAlignment="1">
      <alignment vertical="center" wrapText="1"/>
    </xf>
    <xf numFmtId="0" fontId="17" fillId="0" borderId="25" xfId="2" applyFont="1" applyBorder="1" applyAlignment="1">
      <alignment horizontal="center" vertical="center" wrapText="1"/>
    </xf>
    <xf numFmtId="0" fontId="17" fillId="0" borderId="30" xfId="2" applyFont="1" applyBorder="1" applyAlignment="1">
      <alignment vertical="center" wrapText="1"/>
    </xf>
    <xf numFmtId="0" fontId="15" fillId="21" borderId="0" xfId="0" applyFont="1" applyFill="1" applyBorder="1" applyAlignment="1">
      <alignment vertical="center"/>
    </xf>
    <xf numFmtId="0" fontId="17" fillId="0" borderId="23" xfId="2" applyFont="1" applyBorder="1" applyAlignment="1">
      <alignment vertical="center" wrapText="1"/>
    </xf>
    <xf numFmtId="0" fontId="17" fillId="0" borderId="17" xfId="2" applyFont="1" applyFill="1" applyBorder="1" applyAlignment="1">
      <alignment horizontal="center" vertical="center" wrapText="1"/>
    </xf>
    <xf numFmtId="0" fontId="17" fillId="0" borderId="24" xfId="2" applyFont="1" applyBorder="1" applyAlignment="1">
      <alignment vertical="center" wrapText="1"/>
    </xf>
    <xf numFmtId="0" fontId="17" fillId="0" borderId="75" xfId="2" applyFont="1" applyBorder="1" applyAlignment="1">
      <alignment vertical="center" wrapText="1"/>
    </xf>
    <xf numFmtId="0" fontId="17" fillId="0" borderId="76" xfId="2" applyFont="1" applyBorder="1" applyAlignment="1">
      <alignment horizontal="center" vertical="center" wrapText="1"/>
    </xf>
    <xf numFmtId="0" fontId="17" fillId="0" borderId="77" xfId="2" applyFont="1" applyBorder="1" applyAlignment="1">
      <alignment vertical="center" wrapText="1"/>
    </xf>
    <xf numFmtId="0" fontId="15" fillId="21" borderId="0" xfId="0" applyFont="1" applyFill="1" applyBorder="1" applyAlignment="1">
      <alignment wrapText="1"/>
    </xf>
    <xf numFmtId="0" fontId="17" fillId="0" borderId="21" xfId="2" applyFont="1" applyBorder="1" applyAlignment="1">
      <alignment vertical="center" wrapText="1"/>
    </xf>
    <xf numFmtId="0" fontId="17" fillId="0" borderId="1" xfId="2" applyFont="1" applyBorder="1" applyAlignment="1">
      <alignment horizontal="center" vertical="center" wrapText="1"/>
    </xf>
    <xf numFmtId="0" fontId="17" fillId="0" borderId="22" xfId="2" applyFont="1" applyBorder="1" applyAlignment="1">
      <alignment vertical="center" wrapText="1"/>
    </xf>
    <xf numFmtId="0" fontId="17" fillId="0" borderId="1" xfId="2" applyFont="1" applyFill="1" applyBorder="1" applyAlignment="1">
      <alignment horizontal="center" vertical="center" wrapText="1"/>
    </xf>
    <xf numFmtId="0" fontId="15" fillId="21" borderId="0" xfId="0" applyFont="1" applyFill="1" applyAlignment="1">
      <alignment vertical="center"/>
    </xf>
    <xf numFmtId="3" fontId="17" fillId="0" borderId="1" xfId="2" applyNumberFormat="1" applyFont="1" applyBorder="1" applyAlignment="1">
      <alignment horizontal="center" vertical="center" wrapText="1"/>
    </xf>
    <xf numFmtId="0" fontId="17" fillId="0" borderId="17" xfId="2" applyFont="1" applyBorder="1" applyAlignment="1">
      <alignment horizontal="center" vertical="center" wrapText="1"/>
    </xf>
    <xf numFmtId="3" fontId="17" fillId="0" borderId="17" xfId="2" applyNumberFormat="1" applyFont="1" applyBorder="1" applyAlignment="1">
      <alignment horizontal="center" vertical="center" wrapText="1"/>
    </xf>
    <xf numFmtId="1" fontId="15" fillId="0" borderId="21" xfId="0" applyNumberFormat="1" applyFont="1" applyBorder="1" applyAlignment="1">
      <alignment horizontal="center" vertical="center"/>
    </xf>
    <xf numFmtId="1" fontId="15" fillId="0" borderId="55" xfId="0" applyNumberFormat="1" applyFont="1" applyBorder="1" applyAlignment="1">
      <alignment horizontal="center" vertical="center"/>
    </xf>
    <xf numFmtId="1" fontId="15" fillId="0" borderId="1" xfId="0" applyNumberFormat="1" applyFont="1" applyBorder="1" applyAlignment="1">
      <alignment horizontal="center" vertical="center"/>
    </xf>
    <xf numFmtId="0" fontId="44" fillId="0" borderId="0" xfId="0" applyFont="1"/>
    <xf numFmtId="0" fontId="14" fillId="22" borderId="0" xfId="0" applyFont="1" applyFill="1"/>
    <xf numFmtId="0" fontId="61" fillId="0" borderId="0" xfId="3" applyFont="1"/>
    <xf numFmtId="0" fontId="4" fillId="5" borderId="16" xfId="0" applyFont="1" applyFill="1" applyBorder="1" applyAlignment="1" applyProtection="1">
      <alignment horizontal="center" vertical="center" wrapText="1"/>
      <protection locked="0"/>
    </xf>
    <xf numFmtId="0" fontId="4" fillId="5" borderId="33" xfId="0" applyFont="1" applyFill="1" applyBorder="1" applyAlignment="1" applyProtection="1">
      <alignment horizontal="center" vertical="center" wrapText="1"/>
      <protection locked="0"/>
    </xf>
    <xf numFmtId="0" fontId="4" fillId="5" borderId="17" xfId="0" applyFont="1" applyFill="1" applyBorder="1" applyAlignment="1" applyProtection="1">
      <alignment horizontal="center" vertical="center" wrapText="1"/>
      <protection locked="0"/>
    </xf>
    <xf numFmtId="0" fontId="10" fillId="2" borderId="37" xfId="0" applyFont="1" applyFill="1" applyBorder="1" applyAlignment="1" applyProtection="1">
      <alignment horizontal="center" vertical="center"/>
      <protection locked="0"/>
    </xf>
    <xf numFmtId="0" fontId="10" fillId="2" borderId="23" xfId="0" applyFont="1" applyFill="1" applyBorder="1" applyAlignment="1" applyProtection="1">
      <alignment horizontal="center" vertical="center"/>
      <protection locked="0"/>
    </xf>
    <xf numFmtId="0" fontId="3" fillId="2" borderId="23" xfId="0" applyFont="1" applyFill="1" applyBorder="1" applyAlignment="1" applyProtection="1">
      <alignment horizontal="center" vertical="center" wrapText="1"/>
      <protection locked="0"/>
    </xf>
    <xf numFmtId="0" fontId="17" fillId="0" borderId="116" xfId="0" applyFont="1" applyBorder="1" applyAlignment="1">
      <alignment horizontal="left" vertical="center" wrapText="1"/>
    </xf>
    <xf numFmtId="0" fontId="17" fillId="0" borderId="117" xfId="0" applyFont="1" applyBorder="1" applyAlignment="1">
      <alignment horizontal="left" vertical="center" wrapText="1"/>
    </xf>
    <xf numFmtId="0" fontId="17" fillId="0" borderId="118" xfId="0" applyFont="1" applyBorder="1" applyAlignment="1">
      <alignment horizontal="center" vertical="center" wrapText="1"/>
    </xf>
    <xf numFmtId="0" fontId="17" fillId="0" borderId="119" xfId="0" applyFont="1" applyBorder="1" applyAlignment="1">
      <alignment horizontal="center" vertical="center" wrapText="1"/>
    </xf>
    <xf numFmtId="0" fontId="4" fillId="5" borderId="1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17" fillId="3" borderId="40" xfId="0" applyFont="1" applyFill="1" applyBorder="1" applyAlignment="1">
      <alignment horizontal="center" vertical="center"/>
    </xf>
    <xf numFmtId="0" fontId="4" fillId="9" borderId="16" xfId="0" applyFont="1" applyFill="1" applyBorder="1" applyAlignment="1">
      <alignment horizontal="center" vertical="center" wrapText="1"/>
    </xf>
    <xf numFmtId="0" fontId="4" fillId="9" borderId="20"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23" xfId="0" applyFont="1" applyFill="1" applyBorder="1" applyAlignment="1">
      <alignment horizontal="center" vertical="center" wrapText="1"/>
    </xf>
    <xf numFmtId="1" fontId="3" fillId="0" borderId="26" xfId="0" applyNumberFormat="1" applyFont="1" applyBorder="1" applyAlignment="1">
      <alignment horizontal="center" vertical="center" wrapText="1"/>
    </xf>
    <xf numFmtId="1" fontId="3" fillId="0" borderId="39" xfId="0" applyNumberFormat="1" applyFont="1" applyBorder="1" applyAlignment="1">
      <alignment horizontal="center" vertical="center" wrapText="1"/>
    </xf>
    <xf numFmtId="0" fontId="4" fillId="5" borderId="18" xfId="0" applyFont="1" applyFill="1" applyBorder="1" applyAlignment="1">
      <alignment horizontal="center" vertical="center" wrapText="1"/>
    </xf>
    <xf numFmtId="0" fontId="4" fillId="5" borderId="23" xfId="0" applyFont="1" applyFill="1" applyBorder="1" applyAlignment="1">
      <alignment horizontal="center" vertical="center" wrapText="1"/>
    </xf>
    <xf numFmtId="0" fontId="4" fillId="5" borderId="16" xfId="0" applyFont="1" applyFill="1" applyBorder="1" applyAlignment="1">
      <alignment horizontal="center" vertical="center" wrapText="1"/>
    </xf>
    <xf numFmtId="0" fontId="4" fillId="5" borderId="33" xfId="0" applyFont="1" applyFill="1" applyBorder="1" applyAlignment="1">
      <alignment horizontal="center" vertical="center" wrapText="1"/>
    </xf>
    <xf numFmtId="168" fontId="10" fillId="2" borderId="21" xfId="0" applyNumberFormat="1" applyFont="1" applyFill="1" applyBorder="1" applyAlignment="1">
      <alignment horizontal="center" vertical="center" wrapText="1"/>
    </xf>
    <xf numFmtId="0" fontId="10" fillId="2" borderId="18" xfId="0" applyFont="1" applyFill="1" applyBorder="1" applyAlignment="1">
      <alignment horizontal="center" vertical="center"/>
    </xf>
    <xf numFmtId="0" fontId="10" fillId="2" borderId="21" xfId="0" applyFont="1" applyFill="1" applyBorder="1" applyAlignment="1">
      <alignment horizontal="center" vertical="center"/>
    </xf>
    <xf numFmtId="0" fontId="4" fillId="5" borderId="18" xfId="0" applyFont="1" applyFill="1" applyBorder="1" applyAlignment="1" applyProtection="1">
      <alignment horizontal="center" vertical="center"/>
      <protection locked="0"/>
    </xf>
    <xf numFmtId="0" fontId="4" fillId="5" borderId="23" xfId="0" applyFont="1" applyFill="1" applyBorder="1" applyAlignment="1" applyProtection="1">
      <alignment horizontal="center" vertical="center"/>
      <protection locked="0"/>
    </xf>
    <xf numFmtId="0" fontId="4" fillId="5" borderId="26" xfId="0" applyFont="1" applyFill="1" applyBorder="1" applyAlignment="1">
      <alignment horizontal="center" vertical="center"/>
    </xf>
    <xf numFmtId="0" fontId="4" fillId="5" borderId="39" xfId="0" applyFont="1" applyFill="1" applyBorder="1" applyAlignment="1">
      <alignment horizontal="center" vertical="center"/>
    </xf>
    <xf numFmtId="0" fontId="3" fillId="2" borderId="36" xfId="0" applyFont="1" applyFill="1" applyBorder="1" applyAlignment="1">
      <alignment horizontal="center" vertical="center" wrapText="1"/>
    </xf>
    <xf numFmtId="0" fontId="3" fillId="2" borderId="41" xfId="0" applyFont="1" applyFill="1" applyBorder="1" applyAlignment="1">
      <alignment horizontal="center" vertical="center" wrapText="1"/>
    </xf>
    <xf numFmtId="1" fontId="15" fillId="3" borderId="26" xfId="0" quotePrefix="1" applyNumberFormat="1" applyFont="1" applyFill="1" applyBorder="1" applyAlignment="1">
      <alignment horizontal="center" vertical="center"/>
    </xf>
    <xf numFmtId="1" fontId="15" fillId="3" borderId="39" xfId="0" applyNumberFormat="1" applyFont="1" applyFill="1" applyBorder="1" applyAlignment="1">
      <alignment horizontal="center" vertical="center"/>
    </xf>
    <xf numFmtId="0" fontId="4" fillId="5" borderId="17" xfId="0" applyFont="1" applyFill="1" applyBorder="1" applyAlignment="1">
      <alignment horizontal="center" vertical="center" wrapText="1"/>
    </xf>
    <xf numFmtId="0" fontId="4" fillId="5" borderId="31" xfId="0" applyFont="1" applyFill="1" applyBorder="1" applyAlignment="1">
      <alignment horizontal="center" vertical="center" wrapText="1"/>
    </xf>
    <xf numFmtId="0" fontId="10" fillId="2" borderId="23" xfId="0" applyFont="1" applyFill="1" applyBorder="1" applyAlignment="1">
      <alignment horizontal="center" vertical="center"/>
    </xf>
    <xf numFmtId="0" fontId="17" fillId="3" borderId="40" xfId="0" applyFont="1" applyFill="1" applyBorder="1" applyAlignment="1">
      <alignment horizontal="center" vertical="center" wrapText="1"/>
    </xf>
    <xf numFmtId="0" fontId="17" fillId="3" borderId="0" xfId="0" applyFont="1" applyFill="1" applyBorder="1" applyAlignment="1">
      <alignment horizontal="center" vertical="center" wrapText="1"/>
    </xf>
    <xf numFmtId="0" fontId="3" fillId="2" borderId="18" xfId="0" applyFont="1" applyFill="1" applyBorder="1" applyAlignment="1">
      <alignment horizontal="center" vertical="center" wrapText="1"/>
    </xf>
    <xf numFmtId="2" fontId="15" fillId="3" borderId="26" xfId="0" quotePrefix="1" applyNumberFormat="1" applyFont="1" applyFill="1" applyBorder="1" applyAlignment="1">
      <alignment horizontal="center" vertical="center"/>
    </xf>
    <xf numFmtId="2" fontId="15" fillId="3" borderId="39" xfId="0" applyNumberFormat="1" applyFont="1" applyFill="1" applyBorder="1" applyAlignment="1">
      <alignment horizontal="center" vertical="center"/>
    </xf>
    <xf numFmtId="0" fontId="4" fillId="2" borderId="18"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5" borderId="36" xfId="0" applyFont="1" applyFill="1" applyBorder="1" applyAlignment="1">
      <alignment horizontal="center" vertical="center" wrapText="1"/>
    </xf>
    <xf numFmtId="0" fontId="4" fillId="5" borderId="41" xfId="0" applyFont="1" applyFill="1" applyBorder="1" applyAlignment="1">
      <alignment horizontal="center" vertical="center" wrapText="1"/>
    </xf>
    <xf numFmtId="2" fontId="3" fillId="0" borderId="26" xfId="0" applyNumberFormat="1" applyFont="1" applyBorder="1" applyAlignment="1">
      <alignment horizontal="center" vertical="center" wrapText="1"/>
    </xf>
    <xf numFmtId="2" fontId="3" fillId="0" borderId="39" xfId="0" applyNumberFormat="1" applyFont="1" applyBorder="1" applyAlignment="1">
      <alignment horizontal="center" vertical="center" wrapText="1"/>
    </xf>
    <xf numFmtId="0" fontId="4" fillId="5" borderId="35" xfId="0" applyFont="1" applyFill="1" applyBorder="1" applyAlignment="1">
      <alignment horizontal="center" vertical="center" wrapText="1"/>
    </xf>
    <xf numFmtId="166" fontId="10" fillId="0" borderId="19" xfId="0" quotePrefix="1" applyNumberFormat="1" applyFont="1" applyBorder="1" applyAlignment="1">
      <alignment horizontal="center" vertical="center" wrapText="1"/>
    </xf>
    <xf numFmtId="166" fontId="10" fillId="0" borderId="31" xfId="0" applyNumberFormat="1" applyFont="1" applyBorder="1" applyAlignment="1">
      <alignment horizontal="center" vertical="center" wrapText="1"/>
    </xf>
    <xf numFmtId="0" fontId="3" fillId="3" borderId="0" xfId="0" applyFont="1" applyFill="1" applyBorder="1" applyAlignment="1">
      <alignment horizontal="center" vertical="center"/>
    </xf>
    <xf numFmtId="0" fontId="3" fillId="3" borderId="40" xfId="0" applyFont="1" applyFill="1" applyBorder="1" applyAlignment="1">
      <alignment horizontal="center" vertical="center"/>
    </xf>
    <xf numFmtId="0" fontId="32" fillId="5" borderId="26" xfId="0" applyFont="1" applyFill="1" applyBorder="1" applyAlignment="1">
      <alignment horizontal="center" vertical="center" wrapText="1"/>
    </xf>
    <xf numFmtId="0" fontId="32" fillId="5" borderId="39" xfId="0" applyFont="1" applyFill="1" applyBorder="1" applyAlignment="1">
      <alignment horizontal="center" vertical="center" wrapText="1"/>
    </xf>
    <xf numFmtId="0" fontId="16" fillId="0" borderId="0" xfId="0" applyFont="1" applyAlignment="1" applyProtection="1">
      <alignment horizontal="center" vertical="center"/>
      <protection hidden="1"/>
    </xf>
    <xf numFmtId="0" fontId="4" fillId="5" borderId="35" xfId="0" applyFont="1" applyFill="1" applyBorder="1" applyAlignment="1" applyProtection="1">
      <alignment horizontal="center" vertical="center"/>
      <protection locked="0"/>
    </xf>
    <xf numFmtId="0" fontId="10" fillId="3" borderId="1"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25" xfId="0" applyFont="1" applyFill="1" applyBorder="1" applyAlignment="1">
      <alignment horizontal="center" vertical="center" wrapText="1"/>
    </xf>
    <xf numFmtId="0" fontId="22" fillId="4" borderId="43" xfId="0" applyFont="1" applyFill="1" applyBorder="1" applyAlignment="1">
      <alignment horizontal="center" vertical="center" wrapText="1"/>
    </xf>
    <xf numFmtId="0" fontId="22" fillId="4" borderId="44" xfId="0" applyFont="1" applyFill="1" applyBorder="1" applyAlignment="1">
      <alignment horizontal="center" vertical="center" wrapText="1"/>
    </xf>
    <xf numFmtId="0" fontId="17" fillId="3" borderId="0" xfId="0" applyFont="1" applyFill="1" applyAlignment="1">
      <alignment horizontal="left" vertical="center" wrapText="1"/>
    </xf>
    <xf numFmtId="0" fontId="23" fillId="4" borderId="19" xfId="0" applyFont="1" applyFill="1" applyBorder="1" applyAlignment="1">
      <alignment horizontal="center" vertical="center" wrapText="1"/>
    </xf>
    <xf numFmtId="0" fontId="23" fillId="4" borderId="51" xfId="0" applyFont="1" applyFill="1" applyBorder="1" applyAlignment="1">
      <alignment horizontal="center" vertical="center" wrapText="1"/>
    </xf>
    <xf numFmtId="0" fontId="24" fillId="2" borderId="31" xfId="0" applyFont="1" applyFill="1" applyBorder="1" applyAlignment="1">
      <alignment horizontal="center" vertical="center" wrapText="1"/>
    </xf>
    <xf numFmtId="0" fontId="24" fillId="2" borderId="102" xfId="0" applyFont="1" applyFill="1" applyBorder="1" applyAlignment="1">
      <alignment horizontal="center" vertical="center" wrapText="1"/>
    </xf>
    <xf numFmtId="0" fontId="23" fillId="4" borderId="47" xfId="0" applyFont="1" applyFill="1" applyBorder="1" applyAlignment="1">
      <alignment horizontal="center" vertical="center" wrapText="1"/>
    </xf>
    <xf numFmtId="0" fontId="24" fillId="2" borderId="90" xfId="0" applyFont="1" applyFill="1" applyBorder="1" applyAlignment="1">
      <alignment horizontal="center" vertical="center" wrapText="1"/>
    </xf>
    <xf numFmtId="0" fontId="22" fillId="4" borderId="52" xfId="0" applyFont="1" applyFill="1" applyBorder="1" applyAlignment="1">
      <alignment horizontal="center" vertical="center" wrapText="1"/>
    </xf>
    <xf numFmtId="0" fontId="22" fillId="4" borderId="53" xfId="0" applyFont="1" applyFill="1" applyBorder="1" applyAlignment="1">
      <alignment horizontal="center" vertical="center" wrapText="1"/>
    </xf>
    <xf numFmtId="0" fontId="23" fillId="4" borderId="10" xfId="0" applyFont="1" applyFill="1" applyBorder="1" applyAlignment="1">
      <alignment horizontal="center" vertical="center" wrapText="1"/>
    </xf>
    <xf numFmtId="0" fontId="24" fillId="2" borderId="65" xfId="0" applyFont="1" applyFill="1" applyBorder="1" applyAlignment="1" applyProtection="1">
      <alignment horizontal="center" vertical="center" wrapText="1"/>
      <protection locked="0"/>
    </xf>
    <xf numFmtId="0" fontId="24" fillId="2" borderId="90" xfId="0" applyFont="1" applyFill="1" applyBorder="1" applyAlignment="1" applyProtection="1">
      <alignment horizontal="center" vertical="center" wrapText="1"/>
      <protection locked="0"/>
    </xf>
    <xf numFmtId="0" fontId="4" fillId="5" borderId="16" xfId="0" applyFont="1" applyFill="1" applyBorder="1" applyAlignment="1">
      <alignment horizontal="center" vertical="center"/>
    </xf>
    <xf numFmtId="0" fontId="4" fillId="5" borderId="17" xfId="0" applyFont="1" applyFill="1" applyBorder="1" applyAlignment="1">
      <alignment horizontal="center" vertical="center"/>
    </xf>
    <xf numFmtId="165" fontId="10" fillId="3" borderId="16" xfId="0" applyNumberFormat="1" applyFont="1" applyFill="1" applyBorder="1" applyAlignment="1">
      <alignment horizontal="center" vertical="center"/>
    </xf>
    <xf numFmtId="165" fontId="10" fillId="3" borderId="17" xfId="0" applyNumberFormat="1" applyFont="1" applyFill="1" applyBorder="1" applyAlignment="1">
      <alignment horizontal="center" vertical="center"/>
    </xf>
    <xf numFmtId="0" fontId="4" fillId="5" borderId="62" xfId="0" applyFont="1" applyFill="1" applyBorder="1" applyAlignment="1">
      <alignment horizontal="center" vertical="center" wrapText="1"/>
    </xf>
    <xf numFmtId="0" fontId="4" fillId="5" borderId="60" xfId="0" applyFont="1" applyFill="1" applyBorder="1" applyAlignment="1">
      <alignment horizontal="center" vertical="center" wrapText="1"/>
    </xf>
    <xf numFmtId="0" fontId="4" fillId="9" borderId="61" xfId="0" applyFont="1" applyFill="1" applyBorder="1" applyAlignment="1">
      <alignment horizontal="center" vertical="center" wrapText="1"/>
    </xf>
    <xf numFmtId="0" fontId="4" fillId="9" borderId="53" xfId="0" applyFont="1" applyFill="1" applyBorder="1" applyAlignment="1">
      <alignment horizontal="center" vertical="center" wrapText="1"/>
    </xf>
    <xf numFmtId="0" fontId="42" fillId="3" borderId="80" xfId="0" applyFont="1" applyFill="1" applyBorder="1" applyAlignment="1">
      <alignment horizontal="center" vertical="center" wrapText="1"/>
    </xf>
    <xf numFmtId="0" fontId="42" fillId="3" borderId="91" xfId="0" applyFont="1" applyFill="1" applyBorder="1" applyAlignment="1">
      <alignment horizontal="center" vertical="center" wrapText="1"/>
    </xf>
    <xf numFmtId="0" fontId="42" fillId="3" borderId="93" xfId="0" applyFont="1" applyFill="1" applyBorder="1" applyAlignment="1">
      <alignment horizontal="center" vertical="center" wrapText="1"/>
    </xf>
    <xf numFmtId="0" fontId="15" fillId="3" borderId="113" xfId="0" applyFont="1" applyFill="1" applyBorder="1" applyAlignment="1">
      <alignment horizontal="center" vertical="center" wrapText="1"/>
    </xf>
    <xf numFmtId="0" fontId="15" fillId="3" borderId="114" xfId="0" applyFont="1" applyFill="1" applyBorder="1" applyAlignment="1">
      <alignment horizontal="center" vertical="center" wrapText="1"/>
    </xf>
    <xf numFmtId="0" fontId="15" fillId="3" borderId="83" xfId="0" applyFont="1" applyFill="1" applyBorder="1" applyAlignment="1">
      <alignment horizontal="center" vertical="center" wrapText="1"/>
    </xf>
    <xf numFmtId="0" fontId="15" fillId="3" borderId="79" xfId="0" applyFont="1" applyFill="1" applyBorder="1" applyAlignment="1">
      <alignment horizontal="center" vertical="center" wrapText="1"/>
    </xf>
    <xf numFmtId="2" fontId="3" fillId="0" borderId="36" xfId="0" applyNumberFormat="1" applyFont="1" applyBorder="1" applyAlignment="1">
      <alignment horizontal="center" vertical="center" wrapText="1"/>
    </xf>
    <xf numFmtId="2" fontId="3" fillId="0" borderId="41" xfId="0" applyNumberFormat="1" applyFont="1" applyBorder="1" applyAlignment="1">
      <alignment horizontal="center" vertical="center" wrapText="1"/>
    </xf>
    <xf numFmtId="0" fontId="40" fillId="3" borderId="32" xfId="0" applyFont="1" applyFill="1" applyBorder="1" applyAlignment="1">
      <alignment horizontal="center" vertical="center" wrapText="1"/>
    </xf>
    <xf numFmtId="0" fontId="3" fillId="15" borderId="57" xfId="0" applyFont="1" applyFill="1" applyBorder="1" applyAlignment="1">
      <alignment horizontal="center" vertical="center"/>
    </xf>
    <xf numFmtId="0" fontId="14" fillId="3" borderId="105" xfId="0" applyFont="1" applyFill="1" applyBorder="1" applyAlignment="1">
      <alignment horizontal="center" vertical="center" wrapText="1"/>
    </xf>
    <xf numFmtId="0" fontId="14" fillId="3" borderId="81" xfId="0" applyFont="1" applyFill="1" applyBorder="1" applyAlignment="1">
      <alignment horizontal="center" vertical="center" wrapText="1"/>
    </xf>
    <xf numFmtId="0" fontId="42" fillId="3" borderId="82" xfId="0" applyFont="1" applyFill="1" applyBorder="1" applyAlignment="1">
      <alignment horizontal="center" vertical="center" wrapText="1"/>
    </xf>
    <xf numFmtId="0" fontId="15" fillId="3" borderId="91" xfId="0" applyFont="1" applyFill="1" applyBorder="1" applyAlignment="1">
      <alignment horizontal="center" vertical="center" wrapText="1"/>
    </xf>
    <xf numFmtId="0" fontId="15" fillId="3" borderId="82" xfId="0" applyFont="1" applyFill="1" applyBorder="1" applyAlignment="1">
      <alignment horizontal="center" vertical="center" wrapText="1"/>
    </xf>
    <xf numFmtId="0" fontId="4" fillId="5" borderId="51" xfId="0" applyFont="1" applyFill="1" applyBorder="1" applyAlignment="1">
      <alignment horizontal="center" vertical="center" wrapText="1"/>
    </xf>
    <xf numFmtId="0" fontId="4" fillId="5" borderId="47" xfId="0" applyFont="1" applyFill="1" applyBorder="1" applyAlignment="1">
      <alignment horizontal="center" vertical="center" wrapText="1"/>
    </xf>
    <xf numFmtId="0" fontId="32" fillId="3" borderId="50" xfId="0" applyFont="1" applyFill="1" applyBorder="1" applyAlignment="1">
      <alignment horizontal="center" vertical="center" wrapText="1"/>
    </xf>
    <xf numFmtId="0" fontId="32" fillId="3" borderId="54" xfId="0" applyFont="1" applyFill="1" applyBorder="1" applyAlignment="1">
      <alignment horizontal="center" vertical="center" wrapText="1"/>
    </xf>
    <xf numFmtId="168" fontId="10" fillId="2" borderId="37" xfId="0" quotePrefix="1" applyNumberFormat="1"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23" xfId="0" applyFont="1" applyFill="1" applyBorder="1" applyAlignment="1">
      <alignment horizontal="center" vertical="center" wrapText="1"/>
    </xf>
    <xf numFmtId="1" fontId="3" fillId="0" borderId="36" xfId="0" applyNumberFormat="1" applyFont="1" applyBorder="1" applyAlignment="1">
      <alignment horizontal="center" vertical="center" wrapText="1"/>
    </xf>
    <xf numFmtId="1" fontId="3" fillId="0" borderId="41" xfId="0" applyNumberFormat="1" applyFont="1" applyBorder="1" applyAlignment="1">
      <alignment horizontal="center" vertical="center" wrapText="1"/>
    </xf>
    <xf numFmtId="0" fontId="4" fillId="5" borderId="33" xfId="0" applyFont="1" applyFill="1" applyBorder="1" applyAlignment="1">
      <alignment horizontal="center" vertical="center"/>
    </xf>
    <xf numFmtId="0" fontId="10" fillId="3" borderId="36" xfId="0" applyFont="1" applyFill="1" applyBorder="1" applyAlignment="1">
      <alignment horizontal="center" vertical="center"/>
    </xf>
    <xf numFmtId="0" fontId="10" fillId="3" borderId="41" xfId="0" applyFont="1" applyFill="1" applyBorder="1" applyAlignment="1">
      <alignment horizontal="center" vertical="center"/>
    </xf>
    <xf numFmtId="0" fontId="15" fillId="3" borderId="107" xfId="0" applyFont="1" applyFill="1" applyBorder="1" applyAlignment="1">
      <alignment horizontal="center" vertical="center" wrapText="1"/>
    </xf>
    <xf numFmtId="0" fontId="15" fillId="3" borderId="40" xfId="0" applyFont="1" applyFill="1" applyBorder="1" applyAlignment="1">
      <alignment horizontal="center" vertical="center" wrapText="1"/>
    </xf>
    <xf numFmtId="0" fontId="14" fillId="3" borderId="96" xfId="0" applyFont="1" applyFill="1" applyBorder="1" applyAlignment="1">
      <alignment horizontal="center" vertical="center" wrapText="1"/>
    </xf>
    <xf numFmtId="0" fontId="14" fillId="3" borderId="85" xfId="0" applyFont="1" applyFill="1" applyBorder="1" applyAlignment="1">
      <alignment horizontal="center" vertical="center" wrapText="1"/>
    </xf>
    <xf numFmtId="0" fontId="42" fillId="3" borderId="106" xfId="0" applyFont="1" applyFill="1" applyBorder="1" applyAlignment="1">
      <alignment horizontal="center" vertical="center" wrapText="1"/>
    </xf>
    <xf numFmtId="0" fontId="42" fillId="3" borderId="104" xfId="0" applyFont="1" applyFill="1" applyBorder="1" applyAlignment="1">
      <alignment horizontal="center" vertical="center" wrapText="1"/>
    </xf>
    <xf numFmtId="0" fontId="17" fillId="3" borderId="109" xfId="0" applyFont="1" applyFill="1" applyBorder="1" applyAlignment="1">
      <alignment horizontal="center" vertical="center" wrapText="1"/>
    </xf>
    <xf numFmtId="0" fontId="17" fillId="3" borderId="110" xfId="0" applyFont="1" applyFill="1" applyBorder="1" applyAlignment="1">
      <alignment horizontal="center" vertical="center" wrapText="1"/>
    </xf>
    <xf numFmtId="0" fontId="39" fillId="4" borderId="61" xfId="0" applyFont="1" applyFill="1" applyBorder="1" applyAlignment="1">
      <alignment horizontal="center" vertical="center" wrapText="1"/>
    </xf>
    <xf numFmtId="0" fontId="39" fillId="4" borderId="62" xfId="0" applyFont="1" applyFill="1" applyBorder="1" applyAlignment="1">
      <alignment horizontal="center" vertical="center" wrapText="1"/>
    </xf>
    <xf numFmtId="0" fontId="39" fillId="4" borderId="53" xfId="0" applyFont="1" applyFill="1" applyBorder="1" applyAlignment="1">
      <alignment horizontal="center" vertical="center" wrapText="1"/>
    </xf>
    <xf numFmtId="0" fontId="39" fillId="4" borderId="52" xfId="0" applyFont="1" applyFill="1" applyBorder="1" applyAlignment="1">
      <alignment horizontal="center" vertical="center" wrapText="1"/>
    </xf>
    <xf numFmtId="0" fontId="4" fillId="4" borderId="19" xfId="0" applyFont="1" applyFill="1" applyBorder="1" applyAlignment="1">
      <alignment horizontal="center" vertical="center" wrapText="1"/>
    </xf>
    <xf numFmtId="0" fontId="4" fillId="4" borderId="47" xfId="0" applyFont="1" applyFill="1" applyBorder="1" applyAlignment="1">
      <alignment horizontal="center" vertical="center" wrapText="1"/>
    </xf>
    <xf numFmtId="0" fontId="3" fillId="2" borderId="31" xfId="0" applyFont="1" applyFill="1" applyBorder="1" applyAlignment="1" applyProtection="1">
      <alignment horizontal="center" vertical="center" wrapText="1"/>
      <protection locked="0"/>
    </xf>
    <xf numFmtId="0" fontId="3" fillId="2" borderId="90" xfId="0" applyFont="1" applyFill="1" applyBorder="1" applyAlignment="1" applyProtection="1">
      <alignment horizontal="center" vertical="center" wrapText="1"/>
      <protection locked="0"/>
    </xf>
    <xf numFmtId="0" fontId="10" fillId="3" borderId="16" xfId="0" applyFont="1" applyFill="1" applyBorder="1" applyAlignment="1">
      <alignment horizontal="center" vertical="center"/>
    </xf>
    <xf numFmtId="0" fontId="10" fillId="3" borderId="17" xfId="0" applyFont="1" applyFill="1" applyBorder="1" applyAlignment="1">
      <alignment horizontal="center" vertical="center"/>
    </xf>
    <xf numFmtId="0" fontId="4" fillId="4" borderId="10" xfId="0" applyFont="1" applyFill="1" applyBorder="1" applyAlignment="1">
      <alignment horizontal="center" vertical="center" wrapText="1"/>
    </xf>
    <xf numFmtId="0" fontId="3" fillId="2" borderId="65" xfId="0" applyFont="1" applyFill="1" applyBorder="1" applyAlignment="1" applyProtection="1">
      <alignment horizontal="center" vertical="center" wrapText="1"/>
      <protection locked="0"/>
    </xf>
    <xf numFmtId="0" fontId="3" fillId="2" borderId="31" xfId="0" applyFont="1" applyFill="1" applyBorder="1" applyAlignment="1">
      <alignment horizontal="center" vertical="center" wrapText="1"/>
    </xf>
    <xf numFmtId="0" fontId="3" fillId="2" borderId="90" xfId="0" applyFont="1" applyFill="1" applyBorder="1" applyAlignment="1">
      <alignment horizontal="center" vertical="center" wrapText="1"/>
    </xf>
    <xf numFmtId="0" fontId="3" fillId="3" borderId="0" xfId="0" applyFont="1" applyFill="1" applyAlignment="1">
      <alignment horizontal="center" vertical="center" wrapText="1"/>
    </xf>
    <xf numFmtId="0" fontId="3" fillId="3" borderId="40" xfId="0" applyFont="1" applyFill="1" applyBorder="1" applyAlignment="1">
      <alignment horizontal="center" vertical="center" wrapText="1"/>
    </xf>
    <xf numFmtId="2" fontId="3" fillId="0" borderId="64" xfId="0" applyNumberFormat="1" applyFont="1" applyBorder="1" applyAlignment="1">
      <alignment horizontal="center" vertical="center" wrapText="1"/>
    </xf>
    <xf numFmtId="2" fontId="3" fillId="0" borderId="63" xfId="0" applyNumberFormat="1" applyFont="1" applyBorder="1" applyAlignment="1">
      <alignment horizontal="center" vertical="center" wrapText="1"/>
    </xf>
    <xf numFmtId="0" fontId="14" fillId="3" borderId="78" xfId="0" applyFont="1" applyFill="1" applyBorder="1" applyAlignment="1">
      <alignment horizontal="center" vertical="center" wrapText="1"/>
    </xf>
    <xf numFmtId="0" fontId="15" fillId="3" borderId="80" xfId="0" applyFont="1" applyFill="1" applyBorder="1" applyAlignment="1">
      <alignment horizontal="center" vertical="center" wrapText="1"/>
    </xf>
    <xf numFmtId="0" fontId="15" fillId="3" borderId="108" xfId="0" applyFont="1" applyFill="1" applyBorder="1" applyAlignment="1">
      <alignment horizontal="center" vertical="center" wrapText="1"/>
    </xf>
    <xf numFmtId="0" fontId="15" fillId="3" borderId="92" xfId="0" applyFont="1" applyFill="1" applyBorder="1" applyAlignment="1">
      <alignment horizontal="center" vertical="center" wrapText="1"/>
    </xf>
    <xf numFmtId="0" fontId="42" fillId="3" borderId="97" xfId="0" applyFont="1" applyFill="1" applyBorder="1" applyAlignment="1">
      <alignment horizontal="center" vertical="center" wrapText="1"/>
    </xf>
    <xf numFmtId="0" fontId="15" fillId="3" borderId="111" xfId="0" applyFont="1" applyFill="1" applyBorder="1" applyAlignment="1">
      <alignment horizontal="center" vertical="center" wrapText="1"/>
    </xf>
    <xf numFmtId="0" fontId="3" fillId="15" borderId="54" xfId="0" applyFont="1" applyFill="1" applyBorder="1" applyAlignment="1">
      <alignment horizontal="center" vertical="center"/>
    </xf>
    <xf numFmtId="0" fontId="14" fillId="3" borderId="99" xfId="0" applyFont="1" applyFill="1" applyBorder="1" applyAlignment="1">
      <alignment horizontal="center" vertical="center" wrapText="1"/>
    </xf>
    <xf numFmtId="0" fontId="14" fillId="3" borderId="100" xfId="0" applyFont="1" applyFill="1" applyBorder="1" applyAlignment="1">
      <alignment horizontal="center" vertical="center" wrapText="1"/>
    </xf>
    <xf numFmtId="0" fontId="14" fillId="3" borderId="101" xfId="0" applyFont="1" applyFill="1" applyBorder="1" applyAlignment="1">
      <alignment horizontal="center" vertical="center" wrapText="1"/>
    </xf>
    <xf numFmtId="0" fontId="4" fillId="5" borderId="27" xfId="0" applyFont="1" applyFill="1" applyBorder="1" applyAlignment="1">
      <alignment horizontal="center" vertical="center"/>
    </xf>
    <xf numFmtId="0" fontId="4" fillId="5" borderId="59" xfId="0" applyFont="1" applyFill="1" applyBorder="1" applyAlignment="1">
      <alignment horizontal="center" vertical="center" wrapText="1"/>
    </xf>
    <xf numFmtId="0" fontId="4" fillId="5" borderId="4" xfId="0" applyFont="1" applyFill="1" applyBorder="1" applyAlignment="1">
      <alignment horizontal="center" vertical="center" wrapText="1"/>
    </xf>
    <xf numFmtId="2" fontId="15" fillId="3" borderId="36" xfId="0" quotePrefix="1" applyNumberFormat="1" applyFont="1" applyFill="1" applyBorder="1" applyAlignment="1">
      <alignment horizontal="center" vertical="center"/>
    </xf>
    <xf numFmtId="2" fontId="15" fillId="3" borderId="41" xfId="0" applyNumberFormat="1" applyFont="1" applyFill="1" applyBorder="1" applyAlignment="1">
      <alignment horizontal="center" vertical="center"/>
    </xf>
    <xf numFmtId="166" fontId="15" fillId="0" borderId="45" xfId="0" quotePrefix="1" applyNumberFormat="1" applyFont="1" applyFill="1" applyBorder="1" applyAlignment="1">
      <alignment horizontal="center" vertical="center"/>
    </xf>
    <xf numFmtId="166" fontId="15" fillId="0" borderId="41" xfId="0" applyNumberFormat="1" applyFont="1" applyFill="1" applyBorder="1" applyAlignment="1">
      <alignment horizontal="center" vertical="center"/>
    </xf>
    <xf numFmtId="0" fontId="15" fillId="3" borderId="93" xfId="0" applyFont="1" applyFill="1" applyBorder="1" applyAlignment="1">
      <alignment horizontal="center" vertical="center" wrapText="1"/>
    </xf>
    <xf numFmtId="0" fontId="15" fillId="3" borderId="112" xfId="0" applyFont="1" applyFill="1" applyBorder="1" applyAlignment="1">
      <alignment horizontal="center" vertical="center" wrapText="1"/>
    </xf>
    <xf numFmtId="0" fontId="17" fillId="3" borderId="11" xfId="0" applyFont="1" applyFill="1" applyBorder="1" applyAlignment="1">
      <alignment horizontal="left" vertical="center"/>
    </xf>
    <xf numFmtId="0" fontId="17" fillId="3" borderId="6" xfId="0" applyFont="1" applyFill="1" applyBorder="1" applyAlignment="1">
      <alignment horizontal="left" vertical="center"/>
    </xf>
    <xf numFmtId="0" fontId="16" fillId="0" borderId="0" xfId="0" applyFont="1" applyFill="1" applyAlignment="1" applyProtection="1">
      <alignment horizontal="left" vertical="center"/>
      <protection hidden="1"/>
    </xf>
    <xf numFmtId="165" fontId="15" fillId="3" borderId="1" xfId="0" applyNumberFormat="1" applyFont="1" applyFill="1" applyBorder="1" applyAlignment="1">
      <alignment horizontal="left" vertical="top"/>
    </xf>
    <xf numFmtId="0" fontId="25" fillId="22" borderId="129" xfId="0" applyFont="1" applyFill="1" applyBorder="1" applyAlignment="1">
      <alignment horizontal="center"/>
    </xf>
    <xf numFmtId="0" fontId="25" fillId="22" borderId="14" xfId="0" applyFont="1" applyFill="1" applyBorder="1" applyAlignment="1">
      <alignment horizontal="center"/>
    </xf>
    <xf numFmtId="0" fontId="16" fillId="0" borderId="0" xfId="0" applyFont="1" applyAlignment="1">
      <alignment horizontal="center"/>
    </xf>
    <xf numFmtId="0" fontId="14" fillId="17" borderId="52" xfId="0" applyFont="1" applyFill="1" applyBorder="1" applyAlignment="1">
      <alignment horizontal="center" wrapText="1"/>
    </xf>
    <xf numFmtId="0" fontId="14" fillId="17" borderId="62" xfId="0" applyFont="1" applyFill="1" applyBorder="1" applyAlignment="1">
      <alignment horizontal="center" wrapText="1"/>
    </xf>
    <xf numFmtId="0" fontId="14" fillId="17" borderId="53" xfId="0" applyFont="1" applyFill="1" applyBorder="1" applyAlignment="1">
      <alignment horizontal="center" wrapText="1"/>
    </xf>
    <xf numFmtId="0" fontId="14" fillId="14" borderId="10" xfId="0" applyFont="1" applyFill="1" applyBorder="1" applyAlignment="1">
      <alignment horizontal="center"/>
    </xf>
    <xf numFmtId="0" fontId="14" fillId="14" borderId="51" xfId="0" applyFont="1" applyFill="1" applyBorder="1" applyAlignment="1">
      <alignment horizontal="center"/>
    </xf>
    <xf numFmtId="0" fontId="48" fillId="14" borderId="1" xfId="0" applyFont="1" applyFill="1" applyBorder="1" applyAlignment="1">
      <alignment horizontal="center" vertical="center" wrapText="1"/>
    </xf>
    <xf numFmtId="0" fontId="48" fillId="14" borderId="27" xfId="0" applyFont="1" applyFill="1" applyBorder="1" applyAlignment="1">
      <alignment horizontal="center" vertical="center" wrapText="1"/>
    </xf>
    <xf numFmtId="0" fontId="48" fillId="14" borderId="17" xfId="0" applyFont="1" applyFill="1" applyBorder="1" applyAlignment="1">
      <alignment horizontal="center" vertical="center" wrapText="1"/>
    </xf>
    <xf numFmtId="0" fontId="48" fillId="14" borderId="2" xfId="0" applyFont="1" applyFill="1" applyBorder="1" applyAlignment="1">
      <alignment horizontal="center" vertical="center" wrapText="1"/>
    </xf>
    <xf numFmtId="0" fontId="48" fillId="14" borderId="5" xfId="0" applyFont="1" applyFill="1" applyBorder="1" applyAlignment="1">
      <alignment horizontal="center" vertical="center" wrapText="1"/>
    </xf>
    <xf numFmtId="0" fontId="48" fillId="14" borderId="42" xfId="0" applyFont="1" applyFill="1" applyBorder="1" applyAlignment="1">
      <alignment horizontal="center" vertical="center" wrapText="1"/>
    </xf>
    <xf numFmtId="0" fontId="14" fillId="14" borderId="6" xfId="0" applyFont="1" applyFill="1" applyBorder="1" applyAlignment="1">
      <alignment horizontal="center" vertical="center" wrapText="1"/>
    </xf>
    <xf numFmtId="0" fontId="14" fillId="14" borderId="5" xfId="0" applyFont="1" applyFill="1" applyBorder="1" applyAlignment="1">
      <alignment horizontal="center" vertical="center" wrapText="1"/>
    </xf>
    <xf numFmtId="0" fontId="14" fillId="14" borderId="2" xfId="0" applyFont="1" applyFill="1" applyBorder="1" applyAlignment="1">
      <alignment horizontal="center" vertical="center" wrapText="1"/>
    </xf>
    <xf numFmtId="0" fontId="48" fillId="14" borderId="26" xfId="0" applyFont="1" applyFill="1" applyBorder="1" applyAlignment="1">
      <alignment horizontal="center" vertical="center" wrapText="1"/>
    </xf>
    <xf numFmtId="0" fontId="14" fillId="12" borderId="19" xfId="0" applyFont="1" applyFill="1" applyBorder="1" applyAlignment="1">
      <alignment horizontal="center"/>
    </xf>
    <xf numFmtId="0" fontId="14" fillId="12" borderId="51" xfId="0" applyFont="1" applyFill="1" applyBorder="1" applyAlignment="1">
      <alignment horizontal="center"/>
    </xf>
    <xf numFmtId="0" fontId="14" fillId="12" borderId="47" xfId="0" applyFont="1" applyFill="1" applyBorder="1" applyAlignment="1">
      <alignment horizontal="center"/>
    </xf>
    <xf numFmtId="0" fontId="25" fillId="12" borderId="3" xfId="0" applyFont="1" applyFill="1" applyBorder="1" applyAlignment="1">
      <alignment horizontal="center" vertical="center" wrapText="1"/>
    </xf>
    <xf numFmtId="0" fontId="25" fillId="12" borderId="8" xfId="0" applyFont="1" applyFill="1" applyBorder="1" applyAlignment="1">
      <alignment horizontal="center" vertical="center" wrapText="1"/>
    </xf>
    <xf numFmtId="0" fontId="25" fillId="12" borderId="66" xfId="0" applyFont="1" applyFill="1" applyBorder="1" applyAlignment="1">
      <alignment horizontal="center" vertical="center" wrapText="1"/>
    </xf>
    <xf numFmtId="0" fontId="25" fillId="12" borderId="67" xfId="0" applyFont="1" applyFill="1" applyBorder="1" applyAlignment="1">
      <alignment horizontal="center" vertical="center" wrapText="1"/>
    </xf>
    <xf numFmtId="0" fontId="14" fillId="14" borderId="33" xfId="0" applyFont="1" applyFill="1" applyBorder="1" applyAlignment="1">
      <alignment horizontal="center" vertical="center" wrapText="1"/>
    </xf>
    <xf numFmtId="0" fontId="14" fillId="14" borderId="27" xfId="0" applyFont="1" applyFill="1" applyBorder="1" applyAlignment="1">
      <alignment horizontal="center" vertical="center" wrapText="1"/>
    </xf>
    <xf numFmtId="0" fontId="14" fillId="14" borderId="39" xfId="0" applyFont="1" applyFill="1" applyBorder="1" applyAlignment="1">
      <alignment horizontal="center" vertical="center" wrapText="1"/>
    </xf>
    <xf numFmtId="0" fontId="25" fillId="12" borderId="2" xfId="0" applyFont="1" applyFill="1" applyBorder="1" applyAlignment="1">
      <alignment horizontal="center" vertical="center" wrapText="1"/>
    </xf>
    <xf numFmtId="0" fontId="25" fillId="12" borderId="6" xfId="0" applyFont="1" applyFill="1" applyBorder="1" applyAlignment="1">
      <alignment horizontal="center" vertical="center" wrapText="1"/>
    </xf>
    <xf numFmtId="0" fontId="14" fillId="17" borderId="32" xfId="0" applyFont="1" applyFill="1" applyBorder="1" applyAlignment="1">
      <alignment horizontal="center"/>
    </xf>
    <xf numFmtId="0" fontId="14" fillId="17" borderId="68" xfId="0" applyFont="1" applyFill="1" applyBorder="1" applyAlignment="1">
      <alignment horizontal="center"/>
    </xf>
    <xf numFmtId="0" fontId="4" fillId="19" borderId="64" xfId="0" applyFont="1" applyFill="1" applyBorder="1" applyAlignment="1">
      <alignment horizontal="center" vertical="center" wrapText="1"/>
    </xf>
    <xf numFmtId="0" fontId="4" fillId="19" borderId="7" xfId="0" applyFont="1" applyFill="1" applyBorder="1" applyAlignment="1">
      <alignment horizontal="center" vertical="center" wrapText="1"/>
    </xf>
    <xf numFmtId="0" fontId="32" fillId="19" borderId="6" xfId="0" applyFont="1" applyFill="1" applyBorder="1" applyAlignment="1">
      <alignment horizontal="center" vertical="center" wrapText="1"/>
    </xf>
    <xf numFmtId="0" fontId="32" fillId="19" borderId="9" xfId="0" applyFont="1" applyFill="1" applyBorder="1" applyAlignment="1">
      <alignment horizontal="center" vertical="center" wrapText="1"/>
    </xf>
    <xf numFmtId="2" fontId="10" fillId="0" borderId="124" xfId="0" applyNumberFormat="1" applyFont="1" applyBorder="1" applyAlignment="1">
      <alignment horizontal="center" vertical="center"/>
    </xf>
    <xf numFmtId="2" fontId="10" fillId="0" borderId="90" xfId="0" applyNumberFormat="1" applyFont="1" applyBorder="1" applyAlignment="1">
      <alignment horizontal="center" vertical="center"/>
    </xf>
    <xf numFmtId="0" fontId="10" fillId="22" borderId="1" xfId="0" applyFont="1" applyFill="1" applyBorder="1" applyAlignment="1">
      <alignment horizontal="center" vertical="center" wrapText="1"/>
    </xf>
    <xf numFmtId="0" fontId="10" fillId="22" borderId="33" xfId="0" applyFont="1" applyFill="1" applyBorder="1" applyAlignment="1">
      <alignment horizontal="center" vertical="center" wrapText="1"/>
    </xf>
    <xf numFmtId="0" fontId="10" fillId="22" borderId="27" xfId="0" applyFont="1" applyFill="1" applyBorder="1" applyAlignment="1">
      <alignment horizontal="center" vertical="center" wrapText="1"/>
    </xf>
    <xf numFmtId="0" fontId="10" fillId="22" borderId="22" xfId="0" applyFont="1" applyFill="1" applyBorder="1" applyAlignment="1">
      <alignment horizontal="center" vertical="center" wrapText="1"/>
    </xf>
    <xf numFmtId="0" fontId="32" fillId="19" borderId="86" xfId="0" applyFont="1" applyFill="1" applyBorder="1" applyAlignment="1">
      <alignment horizontal="center" vertical="center" wrapText="1"/>
    </xf>
    <xf numFmtId="0" fontId="32" fillId="19" borderId="64" xfId="0" applyFont="1" applyFill="1" applyBorder="1" applyAlignment="1">
      <alignment horizontal="center" vertical="center" wrapText="1"/>
    </xf>
    <xf numFmtId="0" fontId="32" fillId="19" borderId="5" xfId="0" applyFont="1" applyFill="1" applyBorder="1" applyAlignment="1">
      <alignment horizontal="center" vertical="center" wrapText="1"/>
    </xf>
    <xf numFmtId="0" fontId="32" fillId="19" borderId="7" xfId="0" applyFont="1" applyFill="1" applyBorder="1" applyAlignment="1">
      <alignment horizontal="center" vertical="center" wrapText="1"/>
    </xf>
    <xf numFmtId="0" fontId="10" fillId="22" borderId="25" xfId="0" applyFont="1" applyFill="1" applyBorder="1" applyAlignment="1">
      <alignment horizontal="center" vertical="center" wrapText="1"/>
    </xf>
    <xf numFmtId="0" fontId="57" fillId="22" borderId="1" xfId="0" applyFont="1" applyFill="1" applyBorder="1" applyAlignment="1">
      <alignment horizontal="center" vertical="center" wrapText="1"/>
    </xf>
    <xf numFmtId="0" fontId="57" fillId="22" borderId="33" xfId="0" applyFont="1" applyFill="1" applyBorder="1" applyAlignment="1">
      <alignment horizontal="center" vertical="center" wrapText="1"/>
    </xf>
    <xf numFmtId="0" fontId="57" fillId="22" borderId="22" xfId="0" applyFont="1" applyFill="1" applyBorder="1" applyAlignment="1">
      <alignment horizontal="center" vertical="center" wrapText="1"/>
    </xf>
    <xf numFmtId="0" fontId="4" fillId="19" borderId="28" xfId="0" applyFont="1" applyFill="1" applyBorder="1" applyAlignment="1">
      <alignment horizontal="center" vertical="center" wrapText="1"/>
    </xf>
    <xf numFmtId="0" fontId="4" fillId="19" borderId="29" xfId="0" applyFont="1" applyFill="1" applyBorder="1" applyAlignment="1">
      <alignment horizontal="center" vertical="center" wrapText="1"/>
    </xf>
    <xf numFmtId="0" fontId="4" fillId="19" borderId="56" xfId="0" applyFont="1" applyFill="1" applyBorder="1" applyAlignment="1">
      <alignment horizontal="center" vertical="center" wrapText="1"/>
    </xf>
    <xf numFmtId="0" fontId="4" fillId="19" borderId="87" xfId="0" applyFont="1" applyFill="1" applyBorder="1" applyAlignment="1">
      <alignment horizontal="center" vertical="center" wrapText="1"/>
    </xf>
    <xf numFmtId="0" fontId="32" fillId="19" borderId="19" xfId="0" applyFont="1" applyFill="1" applyBorder="1" applyAlignment="1">
      <alignment horizontal="center" vertical="center" wrapText="1"/>
    </xf>
    <xf numFmtId="0" fontId="32" fillId="19" borderId="59" xfId="0" applyFont="1" applyFill="1" applyBorder="1" applyAlignment="1">
      <alignment horizontal="center" vertical="center" wrapText="1"/>
    </xf>
    <xf numFmtId="0" fontId="4" fillId="19" borderId="19" xfId="0" applyFont="1" applyFill="1" applyBorder="1" applyAlignment="1">
      <alignment horizontal="center" vertical="center" wrapText="1"/>
    </xf>
    <xf numFmtId="0" fontId="4" fillId="19" borderId="59" xfId="0" applyFont="1" applyFill="1" applyBorder="1" applyAlignment="1">
      <alignment horizontal="center" vertical="center" wrapText="1"/>
    </xf>
    <xf numFmtId="0" fontId="4" fillId="19" borderId="26" xfId="0" applyFont="1" applyFill="1" applyBorder="1" applyAlignment="1">
      <alignment horizontal="center" vertical="center" wrapText="1"/>
    </xf>
    <xf numFmtId="0" fontId="4" fillId="19" borderId="27" xfId="0" applyFont="1" applyFill="1" applyBorder="1" applyAlignment="1">
      <alignment horizontal="center" vertical="center" wrapText="1"/>
    </xf>
    <xf numFmtId="0" fontId="32" fillId="19" borderId="26" xfId="0" applyFont="1" applyFill="1" applyBorder="1" applyAlignment="1">
      <alignment horizontal="center" vertical="center" wrapText="1"/>
    </xf>
    <xf numFmtId="0" fontId="32" fillId="19" borderId="27" xfId="0" applyFont="1" applyFill="1" applyBorder="1" applyAlignment="1">
      <alignment horizontal="center" vertical="center" wrapText="1"/>
    </xf>
    <xf numFmtId="0" fontId="15" fillId="3" borderId="0" xfId="0" applyFont="1" applyFill="1" applyAlignment="1">
      <alignment horizontal="left" wrapText="1"/>
    </xf>
    <xf numFmtId="0" fontId="15" fillId="3" borderId="58" xfId="0" applyFont="1" applyFill="1" applyBorder="1" applyAlignment="1">
      <alignment horizontal="left" vertical="top" wrapText="1"/>
    </xf>
    <xf numFmtId="0" fontId="15" fillId="3" borderId="0" xfId="0" applyFont="1" applyFill="1" applyBorder="1" applyAlignment="1">
      <alignment horizontal="left" vertical="top" wrapText="1"/>
    </xf>
    <xf numFmtId="0" fontId="10" fillId="17" borderId="1" xfId="0" applyFont="1" applyFill="1" applyBorder="1" applyAlignment="1">
      <alignment horizontal="center"/>
    </xf>
    <xf numFmtId="0" fontId="10" fillId="17" borderId="33" xfId="0" applyFont="1" applyFill="1" applyBorder="1" applyAlignment="1">
      <alignment horizontal="center" vertical="center" wrapText="1"/>
    </xf>
    <xf numFmtId="0" fontId="10" fillId="17" borderId="25" xfId="0" applyFont="1" applyFill="1" applyBorder="1" applyAlignment="1">
      <alignment horizontal="center" vertical="center" wrapText="1"/>
    </xf>
    <xf numFmtId="0" fontId="10" fillId="17" borderId="1" xfId="0" applyFont="1" applyFill="1" applyBorder="1" applyAlignment="1">
      <alignment horizontal="center" vertical="center" wrapText="1"/>
    </xf>
    <xf numFmtId="0" fontId="10" fillId="17" borderId="56" xfId="0" applyFont="1" applyFill="1" applyBorder="1" applyAlignment="1">
      <alignment horizontal="center" vertical="center" wrapText="1"/>
    </xf>
    <xf numFmtId="0" fontId="10" fillId="17" borderId="103" xfId="0" applyFont="1" applyFill="1" applyBorder="1" applyAlignment="1">
      <alignment horizontal="center" vertical="center" wrapText="1"/>
    </xf>
    <xf numFmtId="0" fontId="59" fillId="17" borderId="56" xfId="0" applyFont="1" applyFill="1" applyBorder="1" applyAlignment="1">
      <alignment horizontal="center" vertical="center" wrapText="1"/>
    </xf>
    <xf numFmtId="0" fontId="59" fillId="17" borderId="103" xfId="0" applyFont="1" applyFill="1" applyBorder="1" applyAlignment="1">
      <alignment horizontal="center" vertical="center" wrapText="1"/>
    </xf>
    <xf numFmtId="0" fontId="59" fillId="17" borderId="87" xfId="0" applyFont="1" applyFill="1" applyBorder="1" applyAlignment="1">
      <alignment horizontal="center" vertical="center" wrapText="1"/>
    </xf>
    <xf numFmtId="0" fontId="3" fillId="17" borderId="27" xfId="0" applyFont="1" applyFill="1" applyBorder="1" applyAlignment="1">
      <alignment horizontal="center" vertical="center" wrapText="1"/>
    </xf>
    <xf numFmtId="0" fontId="3" fillId="17" borderId="25" xfId="0" applyFont="1" applyFill="1" applyBorder="1" applyAlignment="1">
      <alignment horizontal="center" vertical="center" wrapText="1"/>
    </xf>
    <xf numFmtId="0" fontId="14" fillId="0" borderId="0" xfId="0" applyFont="1" applyAlignment="1">
      <alignment horizontal="left" vertical="center" wrapText="1"/>
    </xf>
    <xf numFmtId="0" fontId="10" fillId="17" borderId="27" xfId="0" applyFont="1" applyFill="1" applyBorder="1" applyAlignment="1">
      <alignment horizontal="center" vertical="center" wrapText="1"/>
    </xf>
    <xf numFmtId="0" fontId="10" fillId="17" borderId="1" xfId="0" applyFont="1" applyFill="1" applyBorder="1" applyAlignment="1">
      <alignment vertical="center" wrapText="1"/>
    </xf>
    <xf numFmtId="0" fontId="3" fillId="17" borderId="33" xfId="0" applyFont="1" applyFill="1" applyBorder="1" applyAlignment="1">
      <alignment horizontal="center" vertical="center" wrapText="1"/>
    </xf>
    <xf numFmtId="0" fontId="3" fillId="0" borderId="25" xfId="0" applyFont="1" applyBorder="1" applyAlignment="1">
      <alignment horizontal="center" vertical="center" wrapText="1"/>
    </xf>
  </cellXfs>
  <cellStyles count="4">
    <cellStyle name="Hyperlink" xfId="3" builtinId="8"/>
    <cellStyle name="Normal" xfId="0" builtinId="0"/>
    <cellStyle name="Normal 2" xfId="2" xr:uid="{00000000-0005-0000-0000-000001000000}"/>
    <cellStyle name="Percent" xfId="1" builtinId="5"/>
  </cellStyles>
  <dxfs count="153">
    <dxf>
      <numFmt numFmtId="165" formatCode="0.000"/>
    </dxf>
    <dxf>
      <numFmt numFmtId="165" formatCode="0.000"/>
    </dxf>
    <dxf>
      <numFmt numFmtId="165" formatCode="0.000"/>
    </dxf>
    <dxf>
      <numFmt numFmtId="165" formatCode="0.000"/>
    </dxf>
    <dxf>
      <numFmt numFmtId="166" formatCode="0.0E+00"/>
    </dxf>
    <dxf>
      <numFmt numFmtId="2" formatCode="0.00"/>
    </dxf>
    <dxf>
      <numFmt numFmtId="2" formatCode="0.00"/>
    </dxf>
    <dxf>
      <numFmt numFmtId="2" formatCode="0.00"/>
    </dxf>
    <dxf>
      <numFmt numFmtId="2" formatCode="0.00"/>
    </dxf>
    <dxf>
      <numFmt numFmtId="2" formatCode="0.00"/>
    </dxf>
    <dxf>
      <numFmt numFmtId="165" formatCode="0.000"/>
    </dxf>
    <dxf>
      <numFmt numFmtId="165" formatCode="0.000"/>
    </dxf>
    <dxf>
      <numFmt numFmtId="15" formatCode="0.00E+00"/>
    </dxf>
    <dxf>
      <numFmt numFmtId="2" formatCode="0.00"/>
    </dxf>
    <dxf>
      <numFmt numFmtId="15" formatCode="0.00E+00"/>
    </dxf>
    <dxf>
      <numFmt numFmtId="2" formatCode="0.00"/>
    </dxf>
    <dxf>
      <numFmt numFmtId="15" formatCode="0.00E+00"/>
    </dxf>
    <dxf>
      <numFmt numFmtId="2" formatCode="0.00"/>
    </dxf>
    <dxf>
      <numFmt numFmtId="15" formatCode="0.00E+00"/>
    </dxf>
    <dxf>
      <numFmt numFmtId="2" formatCode="0.00"/>
    </dxf>
    <dxf>
      <numFmt numFmtId="15" formatCode="0.00E+00"/>
    </dxf>
    <dxf>
      <numFmt numFmtId="2" formatCode="0.00"/>
    </dxf>
    <dxf>
      <numFmt numFmtId="15" formatCode="0.00E+00"/>
    </dxf>
    <dxf>
      <numFmt numFmtId="164" formatCode="0.0"/>
    </dxf>
    <dxf>
      <numFmt numFmtId="165" formatCode="0.000"/>
    </dxf>
    <dxf>
      <numFmt numFmtId="164" formatCode="0.0"/>
    </dxf>
    <dxf>
      <numFmt numFmtId="164" formatCode="0.0"/>
    </dxf>
    <dxf>
      <numFmt numFmtId="2" formatCode="0.00"/>
    </dxf>
    <dxf>
      <numFmt numFmtId="165" formatCode="0.000"/>
    </dxf>
    <dxf>
      <numFmt numFmtId="2" formatCode="0.00"/>
    </dxf>
    <dxf>
      <numFmt numFmtId="165" formatCode="0.000"/>
    </dxf>
    <dxf>
      <numFmt numFmtId="164" formatCode="0.0"/>
    </dxf>
    <dxf>
      <numFmt numFmtId="166" formatCode="0.0E+00"/>
    </dxf>
    <dxf>
      <numFmt numFmtId="1" formatCode="0"/>
    </dxf>
    <dxf>
      <numFmt numFmtId="170" formatCode="#,##0.0"/>
    </dxf>
    <dxf>
      <numFmt numFmtId="166" formatCode="0.0E+00"/>
    </dxf>
    <dxf>
      <font>
        <color theme="0"/>
      </font>
      <fill>
        <patternFill patternType="none">
          <bgColor auto="1"/>
        </patternFill>
      </fill>
    </dxf>
    <dxf>
      <numFmt numFmtId="164" formatCode="0.0"/>
    </dxf>
    <dxf>
      <fill>
        <patternFill>
          <bgColor theme="0"/>
        </patternFill>
      </fill>
    </dxf>
    <dxf>
      <fill>
        <patternFill>
          <bgColor theme="0"/>
        </patternFill>
      </fill>
    </dxf>
    <dxf>
      <fill>
        <patternFill>
          <bgColor theme="0"/>
        </patternFill>
      </fill>
    </dxf>
    <dxf>
      <numFmt numFmtId="164" formatCode="0.0"/>
    </dxf>
    <dxf>
      <font>
        <color theme="0"/>
      </font>
      <fill>
        <patternFill>
          <bgColor theme="0"/>
        </patternFill>
      </fill>
    </dxf>
    <dxf>
      <numFmt numFmtId="15" formatCode="0.00E+00"/>
    </dxf>
    <dxf>
      <font>
        <color theme="0"/>
      </font>
      <fill>
        <patternFill>
          <bgColor theme="0"/>
        </patternFill>
      </fill>
    </dxf>
    <dxf>
      <numFmt numFmtId="2" formatCode="0.00"/>
    </dxf>
    <dxf>
      <font>
        <color theme="0"/>
      </font>
      <fill>
        <patternFill patternType="solid">
          <bgColor theme="0"/>
        </patternFill>
      </fill>
    </dxf>
    <dxf>
      <fill>
        <patternFill>
          <bgColor theme="5"/>
        </patternFill>
      </fill>
    </dxf>
    <dxf>
      <fill>
        <patternFill>
          <bgColor rgb="FF00B050"/>
        </patternFill>
      </fill>
    </dxf>
    <dxf>
      <fill>
        <patternFill>
          <bgColor theme="5"/>
        </patternFill>
      </fill>
    </dxf>
    <dxf>
      <fill>
        <patternFill>
          <bgColor rgb="FF00B050"/>
        </patternFill>
      </fill>
    </dxf>
    <dxf>
      <numFmt numFmtId="15" formatCode="0.00E+00"/>
    </dxf>
    <dxf>
      <font>
        <color theme="0"/>
      </font>
      <fill>
        <patternFill>
          <bgColor theme="0"/>
        </patternFill>
      </fill>
    </dxf>
    <dxf>
      <numFmt numFmtId="2" formatCode="0.00"/>
    </dxf>
    <dxf>
      <font>
        <color theme="0"/>
      </font>
      <fill>
        <patternFill patternType="solid">
          <bgColor theme="0"/>
        </patternFill>
      </fill>
    </dxf>
    <dxf>
      <fill>
        <patternFill>
          <bgColor theme="5"/>
        </patternFill>
      </fill>
    </dxf>
    <dxf>
      <fill>
        <patternFill>
          <bgColor rgb="FF00B050"/>
        </patternFill>
      </fill>
    </dxf>
    <dxf>
      <fill>
        <patternFill>
          <bgColor theme="0"/>
        </patternFill>
      </fill>
    </dxf>
    <dxf>
      <numFmt numFmtId="15" formatCode="0.00E+00"/>
    </dxf>
    <dxf>
      <font>
        <color theme="0"/>
      </font>
      <fill>
        <patternFill>
          <bgColor theme="0"/>
        </patternFill>
      </fill>
    </dxf>
    <dxf>
      <numFmt numFmtId="2" formatCode="0.00"/>
    </dxf>
    <dxf>
      <font>
        <color theme="0"/>
      </font>
      <fill>
        <patternFill patternType="solid">
          <bgColor theme="0"/>
        </patternFill>
      </fill>
    </dxf>
    <dxf>
      <fill>
        <patternFill>
          <bgColor rgb="FF00B050"/>
        </patternFill>
      </fill>
    </dxf>
    <dxf>
      <fill>
        <patternFill>
          <bgColor theme="5"/>
        </patternFill>
      </fill>
    </dxf>
    <dxf>
      <fill>
        <patternFill>
          <bgColor theme="0"/>
        </patternFill>
      </fill>
    </dxf>
    <dxf>
      <fill>
        <patternFill>
          <bgColor theme="0"/>
        </patternFill>
      </fill>
    </dxf>
    <dxf>
      <numFmt numFmtId="2" formatCode="0.00"/>
    </dxf>
    <dxf>
      <numFmt numFmtId="166" formatCode="0.0E+00"/>
    </dxf>
    <dxf>
      <fill>
        <patternFill>
          <bgColor theme="0"/>
        </patternFill>
      </fill>
    </dxf>
    <dxf>
      <numFmt numFmtId="164" formatCode="0.0"/>
    </dxf>
    <dxf>
      <numFmt numFmtId="15" formatCode="0.00E+00"/>
    </dxf>
    <dxf>
      <fill>
        <patternFill>
          <bgColor theme="0"/>
        </patternFill>
      </fill>
    </dxf>
    <dxf>
      <numFmt numFmtId="1" formatCode="0"/>
    </dxf>
    <dxf>
      <numFmt numFmtId="15" formatCode="0.00E+00"/>
    </dxf>
    <dxf>
      <numFmt numFmtId="15" formatCode="0.00E+00"/>
    </dxf>
    <dxf>
      <font>
        <color theme="0"/>
      </font>
      <fill>
        <patternFill>
          <bgColor theme="0"/>
        </patternFill>
      </fill>
    </dxf>
    <dxf>
      <numFmt numFmtId="2" formatCode="0.00"/>
    </dxf>
    <dxf>
      <font>
        <color theme="0"/>
      </font>
      <fill>
        <patternFill patternType="solid">
          <bgColor theme="0"/>
        </patternFill>
      </fill>
    </dxf>
    <dxf>
      <numFmt numFmtId="170" formatCode="#,##0.0"/>
    </dxf>
    <dxf>
      <numFmt numFmtId="15" formatCode="0.00E+00"/>
    </dxf>
    <dxf>
      <font>
        <color theme="0"/>
      </font>
      <fill>
        <patternFill>
          <bgColor theme="0"/>
        </patternFill>
      </fill>
    </dxf>
    <dxf>
      <font>
        <color theme="0"/>
      </font>
      <fill>
        <patternFill patternType="solid">
          <bgColor theme="0"/>
        </patternFill>
      </fill>
    </dxf>
    <dxf>
      <fill>
        <patternFill>
          <bgColor theme="5"/>
        </patternFill>
      </fill>
    </dxf>
    <dxf>
      <fill>
        <patternFill>
          <bgColor rgb="FF00B050"/>
        </patternFill>
      </fill>
    </dxf>
    <dxf>
      <fill>
        <patternFill>
          <bgColor rgb="FF00B050"/>
        </patternFill>
      </fill>
    </dxf>
    <dxf>
      <fill>
        <patternFill>
          <bgColor theme="5"/>
        </patternFill>
      </fill>
    </dxf>
    <dxf>
      <fill>
        <patternFill>
          <bgColor rgb="FF00B050"/>
        </patternFill>
      </fill>
    </dxf>
    <dxf>
      <fill>
        <patternFill>
          <bgColor theme="5"/>
        </patternFill>
      </fill>
    </dxf>
    <dxf>
      <fill>
        <patternFill>
          <bgColor theme="0"/>
        </patternFill>
      </fill>
    </dxf>
    <dxf>
      <numFmt numFmtId="2" formatCode="0.00"/>
    </dxf>
    <dxf>
      <fill>
        <patternFill>
          <bgColor theme="0"/>
        </patternFill>
      </fill>
    </dxf>
    <dxf>
      <fill>
        <patternFill>
          <bgColor theme="0"/>
        </patternFill>
      </fill>
    </dxf>
    <dxf>
      <fill>
        <patternFill>
          <bgColor theme="0"/>
        </patternFill>
      </fill>
    </dxf>
    <dxf>
      <fill>
        <patternFill>
          <bgColor theme="0"/>
        </patternFill>
      </fill>
    </dxf>
    <dxf>
      <numFmt numFmtId="2" formatCode="0.00"/>
    </dxf>
    <dxf>
      <numFmt numFmtId="166" formatCode="0.0E+00"/>
    </dxf>
    <dxf>
      <numFmt numFmtId="164" formatCode="0.0"/>
    </dxf>
    <dxf>
      <numFmt numFmtId="1" formatCode="0"/>
    </dxf>
    <dxf>
      <fill>
        <patternFill patternType="solid">
          <bgColor theme="0"/>
        </patternFill>
      </fill>
    </dxf>
    <dxf>
      <fill>
        <patternFill>
          <bgColor rgb="FF00B050"/>
        </patternFill>
      </fill>
    </dxf>
    <dxf>
      <fill>
        <patternFill>
          <bgColor theme="5"/>
        </patternFill>
      </fill>
    </dxf>
    <dxf>
      <font>
        <color theme="0"/>
      </font>
      <fill>
        <patternFill>
          <bgColor theme="0"/>
        </patternFill>
      </fill>
    </dxf>
    <dxf>
      <fill>
        <patternFill>
          <bgColor theme="0"/>
        </patternFill>
      </fill>
    </dxf>
    <dxf>
      <fill>
        <patternFill>
          <bgColor theme="0"/>
        </patternFill>
      </fill>
    </dxf>
    <dxf>
      <numFmt numFmtId="2" formatCode="0.00"/>
    </dxf>
    <dxf>
      <numFmt numFmtId="166" formatCode="0.0E+00"/>
    </dxf>
    <dxf>
      <numFmt numFmtId="164" formatCode="0.0"/>
    </dxf>
    <dxf>
      <numFmt numFmtId="1" formatCode="0"/>
    </dxf>
    <dxf>
      <fill>
        <patternFill>
          <bgColor theme="0"/>
        </patternFill>
      </fill>
    </dxf>
    <dxf>
      <fill>
        <patternFill>
          <bgColor rgb="FF00B050"/>
        </patternFill>
      </fill>
    </dxf>
    <dxf>
      <fill>
        <patternFill>
          <bgColor theme="5"/>
        </patternFill>
      </fill>
    </dxf>
    <dxf>
      <fill>
        <patternFill>
          <bgColor theme="0"/>
        </patternFill>
      </fill>
    </dxf>
    <dxf>
      <fill>
        <patternFill>
          <bgColor theme="0"/>
        </patternFill>
      </fill>
    </dxf>
    <dxf>
      <numFmt numFmtId="2" formatCode="0.00"/>
    </dxf>
    <dxf>
      <numFmt numFmtId="166" formatCode="0.0E+00"/>
    </dxf>
    <dxf>
      <numFmt numFmtId="164" formatCode="0.0"/>
    </dxf>
    <dxf>
      <numFmt numFmtId="1" formatCode="0"/>
    </dxf>
    <dxf>
      <fill>
        <patternFill>
          <bgColor theme="0"/>
        </patternFill>
      </fill>
    </dxf>
    <dxf>
      <numFmt numFmtId="2" formatCode="0.00"/>
    </dxf>
    <dxf>
      <numFmt numFmtId="166" formatCode="0.0E+00"/>
    </dxf>
    <dxf>
      <numFmt numFmtId="164" formatCode="0.0"/>
    </dxf>
    <dxf>
      <numFmt numFmtId="1" formatCode="0"/>
    </dxf>
    <dxf>
      <fill>
        <patternFill>
          <bgColor theme="0"/>
        </patternFill>
      </fill>
    </dxf>
    <dxf>
      <font>
        <color theme="0"/>
      </font>
      <fill>
        <patternFill>
          <bgColor theme="0"/>
        </patternFill>
      </fill>
    </dxf>
    <dxf>
      <font>
        <color theme="0"/>
      </font>
      <fill>
        <patternFill>
          <bgColor theme="0"/>
        </patternFill>
      </fill>
    </dxf>
    <dxf>
      <fill>
        <patternFill patternType="solid">
          <bgColor theme="0"/>
        </patternFill>
      </fill>
    </dxf>
    <dxf>
      <fill>
        <patternFill>
          <bgColor rgb="FF00B050"/>
        </patternFill>
      </fill>
    </dxf>
    <dxf>
      <fill>
        <patternFill>
          <bgColor theme="5"/>
        </patternFill>
      </fill>
    </dxf>
    <dxf>
      <fill>
        <patternFill>
          <bgColor theme="5"/>
        </patternFill>
      </fill>
    </dxf>
    <dxf>
      <fill>
        <patternFill>
          <bgColor rgb="FF00B050"/>
        </patternFill>
      </fill>
    </dxf>
    <dxf>
      <fill>
        <patternFill>
          <bgColor rgb="FF00B050"/>
        </patternFill>
      </fill>
    </dxf>
    <dxf>
      <fill>
        <patternFill>
          <bgColor theme="5"/>
        </patternFill>
      </fill>
    </dxf>
    <dxf>
      <fill>
        <patternFill>
          <bgColor theme="0"/>
        </patternFill>
      </fill>
    </dxf>
    <dxf>
      <fill>
        <patternFill>
          <bgColor rgb="FF00B050"/>
        </patternFill>
      </fill>
    </dxf>
    <dxf>
      <fill>
        <patternFill>
          <bgColor theme="5"/>
        </patternFill>
      </fill>
    </dxf>
    <dxf>
      <fill>
        <patternFill>
          <bgColor rgb="FF00B050"/>
        </patternFill>
      </fill>
    </dxf>
    <dxf>
      <fill>
        <patternFill>
          <bgColor theme="5"/>
        </patternFill>
      </fill>
    </dxf>
    <dxf>
      <font>
        <color theme="0"/>
      </font>
      <fill>
        <patternFill patternType="none">
          <bgColor auto="1"/>
        </patternFill>
      </fill>
    </dxf>
    <dxf>
      <font>
        <color theme="0"/>
      </font>
      <fill>
        <patternFill>
          <bgColor theme="0"/>
        </patternFill>
      </fill>
    </dxf>
    <dxf>
      <fill>
        <patternFill>
          <bgColor theme="0"/>
        </patternFill>
      </fill>
    </dxf>
    <dxf>
      <fill>
        <patternFill>
          <bgColor theme="0"/>
        </patternFill>
      </fill>
    </dxf>
    <dxf>
      <fill>
        <patternFill>
          <bgColor theme="0"/>
        </patternFill>
      </fill>
    </dxf>
    <dxf>
      <font>
        <color theme="0"/>
      </font>
      <fill>
        <patternFill patternType="none">
          <bgColor auto="1"/>
        </patternFill>
      </fill>
    </dxf>
    <dxf>
      <fill>
        <patternFill>
          <bgColor theme="0"/>
        </patternFill>
      </fill>
    </dxf>
    <dxf>
      <fill>
        <patternFill>
          <bgColor theme="0"/>
        </patternFill>
      </fill>
    </dxf>
    <dxf>
      <fill>
        <patternFill>
          <bgColor theme="0"/>
        </patternFill>
      </fill>
    </dxf>
    <dxf>
      <font>
        <color theme="0"/>
      </font>
      <fill>
        <patternFill>
          <bgColor theme="0"/>
        </patternFill>
      </fill>
    </dxf>
    <dxf>
      <fill>
        <patternFill>
          <bgColor theme="0"/>
        </patternFill>
      </fill>
    </dxf>
    <dxf>
      <font>
        <color theme="0"/>
      </font>
      <fill>
        <patternFill>
          <bgColor theme="0"/>
        </patternFill>
      </fill>
    </dxf>
    <dxf>
      <fill>
        <patternFill>
          <bgColor theme="0"/>
        </patternFill>
      </fill>
    </dxf>
    <dxf>
      <font>
        <color theme="0"/>
      </font>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25F74D"/>
      <color rgb="FFF15A2B"/>
      <color rgb="FFF04B18"/>
      <color rgb="FFD43D0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Dashboard!$C$71</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57646326211389221"/>
          <c:h val="0.58920985270720716"/>
        </c:manualLayout>
      </c:layout>
      <c:barChart>
        <c:barDir val="bar"/>
        <c:grouping val="stacked"/>
        <c:varyColors val="0"/>
        <c:ser>
          <c:idx val="4"/>
          <c:order val="0"/>
          <c:tx>
            <c:strRef>
              <c:f>Dashboard!$E$71</c:f>
              <c:strCache>
                <c:ptCount val="1"/>
                <c:pt idx="0">
                  <c:v>Cancer Risk with APF of 5</c:v>
                </c:pt>
              </c:strCache>
            </c:strRef>
          </c:tx>
          <c:spPr>
            <a:solidFill>
              <a:schemeClr val="accent5"/>
            </a:solidFill>
            <a:ln>
              <a:noFill/>
            </a:ln>
            <a:effectLst/>
          </c:spPr>
          <c:invertIfNegative val="0"/>
          <c:cat>
            <c:strRef>
              <c:f>Dashboard!$C$72:$C$73</c:f>
              <c:strCache>
                <c:ptCount val="2"/>
                <c:pt idx="0">
                  <c:v>Worker: 50th Percentile</c:v>
                </c:pt>
                <c:pt idx="1">
                  <c:v>Worker: 95th Percentile</c:v>
                </c:pt>
              </c:strCache>
            </c:strRef>
          </c:cat>
          <c:val>
            <c:numRef>
              <c:f>Dashboard!$E$72:$E$73</c:f>
              <c:numCache>
                <c:formatCode>0.00E+00</c:formatCode>
                <c:ptCount val="2"/>
                <c:pt idx="0">
                  <c:v>8.234592147479817E-5</c:v>
                </c:pt>
                <c:pt idx="1">
                  <c:v>5.673246643255488E-4</c:v>
                </c:pt>
              </c:numCache>
            </c:numRef>
          </c:val>
          <c:extLst>
            <c:ext xmlns:c16="http://schemas.microsoft.com/office/drawing/2014/chart" uri="{C3380CC4-5D6E-409C-BE32-E72D297353CC}">
              <c16:uniqueId val="{00000008-6D0D-4AA3-910B-0012314B3634}"/>
            </c:ext>
          </c:extLst>
        </c:ser>
        <c:ser>
          <c:idx val="0"/>
          <c:order val="1"/>
          <c:tx>
            <c:strRef>
              <c:f>Dashboard!$D$71</c:f>
              <c:strCache>
                <c:ptCount val="1"/>
                <c:pt idx="0">
                  <c:v>Cancer Risk</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6A9D-47DB-A79F-FB92EECBB895}"/>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6A9D-47DB-A79F-FB92EECBB895}"/>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6A9D-47DB-A79F-FB92EECBB895}"/>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6A9D-47DB-A79F-FB92EECBB895}"/>
              </c:ext>
            </c:extLst>
          </c:dPt>
          <c:cat>
            <c:strRef>
              <c:f>Dashboard!$C$72:$C$73</c:f>
              <c:strCache>
                <c:ptCount val="2"/>
                <c:pt idx="0">
                  <c:v>Worker: 50th Percentile</c:v>
                </c:pt>
                <c:pt idx="1">
                  <c:v>Worker: 95th Percentile</c:v>
                </c:pt>
              </c:strCache>
            </c:strRef>
          </c:cat>
          <c:val>
            <c:numRef>
              <c:f>Dashboard!$D$72:$D$73</c:f>
              <c:numCache>
                <c:formatCode>0.00E+00</c:formatCode>
                <c:ptCount val="2"/>
                <c:pt idx="0">
                  <c:v>4.1172960737399089E-4</c:v>
                </c:pt>
                <c:pt idx="1">
                  <c:v>2.8366233216277439E-3</c:v>
                </c:pt>
              </c:numCache>
            </c:numRef>
          </c:val>
          <c:extLst>
            <c:ext xmlns:c16="http://schemas.microsoft.com/office/drawing/2014/chart" uri="{C3380CC4-5D6E-409C-BE32-E72D297353CC}">
              <c16:uniqueId val="{00000008-6A9D-47DB-A79F-FB92EECBB895}"/>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9-6A9D-47DB-A79F-FB92EECBB895}"/>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A-6A9D-47DB-A79F-FB92EECBB895}"/>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6A9D-47DB-A79F-FB92EECBB895}"/>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US">
                    <a:solidFill>
                      <a:sysClr val="windowText" lastClr="000000"/>
                    </a:solidFill>
                  </a:rPr>
                  <a:t>Excess Cancer Risk*</a:t>
                </a:r>
              </a:p>
            </c:rich>
          </c:tx>
          <c:layout>
            <c:manualLayout>
              <c:xMode val="edge"/>
              <c:yMode val="edge"/>
              <c:x val="0.42383960299329348"/>
              <c:y val="0.8520144375598496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ysClr val="windowText" lastClr="000000"/>
          </a:solidFill>
        </a:ln>
        <a:effectLst/>
      </c:spPr>
    </c:plotArea>
    <c:legend>
      <c:legendPos val="r"/>
      <c:legendEntry>
        <c:idx val="2"/>
        <c:delete val="1"/>
      </c:legendEntry>
      <c:legendEntry>
        <c:idx val="3"/>
        <c:delete val="1"/>
      </c:legendEntry>
      <c:legendEntry>
        <c:idx val="4"/>
        <c:delete val="1"/>
      </c:legendEntry>
      <c:layout>
        <c:manualLayout>
          <c:xMode val="edge"/>
          <c:yMode val="edge"/>
          <c:x val="0.78144800973247541"/>
          <c:y val="0.48592904914666896"/>
          <c:w val="0.20873604061175266"/>
          <c:h val="0.10101157604370117"/>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oddFooter>Page &amp;P</c:oddFooter>
    </c:headerFooter>
    <c:pageMargins b="0.75" l="0.7" r="0.7" t="0.75" header="0.3" footer="0.3"/>
    <c:pageSetup orientation="portrait"/>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Dashboard!$M$71</c:f>
          <c:strCache>
            <c:ptCount val="1"/>
            <c:pt idx="0">
              <c:v>Dermal Cancer Risk Estimates</c:v>
            </c:pt>
          </c:strCache>
        </c:strRef>
      </c:tx>
      <c:layout>
        <c:manualLayout>
          <c:xMode val="edge"/>
          <c:yMode val="edge"/>
          <c:x val="0.36062458254174651"/>
          <c:y val="3.741425313188975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1635410393507967"/>
          <c:y val="0.18578866775925215"/>
          <c:w val="0.68590683554267351"/>
          <c:h val="0.66886022119202559"/>
        </c:manualLayout>
      </c:layout>
      <c:barChart>
        <c:barDir val="bar"/>
        <c:grouping val="stacked"/>
        <c:varyColors val="0"/>
        <c:ser>
          <c:idx val="4"/>
          <c:order val="0"/>
          <c:tx>
            <c:strRef>
              <c:f>Dashboard!$O$71</c:f>
              <c:strCache>
                <c:ptCount val="1"/>
                <c:pt idx="0">
                  <c:v>Central Tendency</c:v>
                </c:pt>
              </c:strCache>
            </c:strRef>
          </c:tx>
          <c:spPr>
            <a:solidFill>
              <a:schemeClr val="accent5"/>
            </a:solidFill>
            <a:ln>
              <a:noFill/>
            </a:ln>
            <a:effectLst/>
          </c:spPr>
          <c:invertIfNegative val="0"/>
          <c:cat>
            <c:strRef>
              <c:f>Dashboard!$M$72:$M$74</c:f>
              <c:strCache>
                <c:ptCount val="3"/>
                <c:pt idx="0">
                  <c:v>No Gloves</c:v>
                </c:pt>
                <c:pt idx="1">
                  <c:v>Gloves: 5</c:v>
                </c:pt>
                <c:pt idx="2">
                  <c:v>Occluded Exposure</c:v>
                </c:pt>
              </c:strCache>
            </c:strRef>
          </c:cat>
          <c:val>
            <c:numRef>
              <c:f>Dashboard!$O$72:$O$74</c:f>
              <c:numCache>
                <c:formatCode>0.00E+00</c:formatCode>
                <c:ptCount val="3"/>
                <c:pt idx="0">
                  <c:v>8.155602388479101E-3</c:v>
                </c:pt>
                <c:pt idx="1">
                  <c:v>1.6311204776958202E-3</c:v>
                </c:pt>
                <c:pt idx="2">
                  <c:v>0</c:v>
                </c:pt>
              </c:numCache>
            </c:numRef>
          </c:val>
          <c:extLst>
            <c:ext xmlns:c16="http://schemas.microsoft.com/office/drawing/2014/chart" uri="{C3380CC4-5D6E-409C-BE32-E72D297353CC}">
              <c16:uniqueId val="{00000008-4E09-4C02-9C00-A77C3691DAF5}"/>
            </c:ext>
          </c:extLst>
        </c:ser>
        <c:ser>
          <c:idx val="0"/>
          <c:order val="1"/>
          <c:tx>
            <c:strRef>
              <c:f>Dashboard!$N$71</c:f>
              <c:strCache>
                <c:ptCount val="1"/>
                <c:pt idx="0">
                  <c:v>High End</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312B-480C-AC55-494428656A8C}"/>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312B-480C-AC55-494428656A8C}"/>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312B-480C-AC55-494428656A8C}"/>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312B-480C-AC55-494428656A8C}"/>
              </c:ext>
            </c:extLst>
          </c:dPt>
          <c:cat>
            <c:strRef>
              <c:f>Dashboard!$M$72:$M$74</c:f>
              <c:strCache>
                <c:ptCount val="3"/>
                <c:pt idx="0">
                  <c:v>No Gloves</c:v>
                </c:pt>
                <c:pt idx="1">
                  <c:v>Gloves: 5</c:v>
                </c:pt>
                <c:pt idx="2">
                  <c:v>Occluded Exposure</c:v>
                </c:pt>
              </c:strCache>
            </c:strRef>
          </c:cat>
          <c:val>
            <c:numRef>
              <c:f>Dashboard!$N$72:$N$74</c:f>
              <c:numCache>
                <c:formatCode>0.00E+00</c:formatCode>
                <c:ptCount val="3"/>
                <c:pt idx="0">
                  <c:v>3.1570073761854583E-2</c:v>
                </c:pt>
                <c:pt idx="1">
                  <c:v>6.314014752370917E-3</c:v>
                </c:pt>
                <c:pt idx="2">
                  <c:v>0</c:v>
                </c:pt>
              </c:numCache>
            </c:numRef>
          </c:val>
          <c:extLst>
            <c:ext xmlns:c16="http://schemas.microsoft.com/office/drawing/2014/chart" uri="{C3380CC4-5D6E-409C-BE32-E72D297353CC}">
              <c16:uniqueId val="{00000008-312B-480C-AC55-494428656A8C}"/>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9-312B-480C-AC55-494428656A8C}"/>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A-312B-480C-AC55-494428656A8C}"/>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312B-480C-AC55-494428656A8C}"/>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6E-1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US" sz="1000">
                    <a:solidFill>
                      <a:sysClr val="windowText" lastClr="000000"/>
                    </a:solidFill>
                  </a:rPr>
                  <a:t>Excess Cancer Risk</a:t>
                </a:r>
              </a:p>
            </c:rich>
          </c:tx>
          <c:layout>
            <c:manualLayout>
              <c:xMode val="edge"/>
              <c:yMode val="edge"/>
              <c:x val="0.43979348068393925"/>
              <c:y val="0.9004267400360064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crossAx val="580062808"/>
        <c:crosses val="autoZero"/>
        <c:crossBetween val="between"/>
      </c:valAx>
      <c:valAx>
        <c:axId val="599814248"/>
        <c:scaling>
          <c:orientation val="minMax"/>
          <c:max val="7"/>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0312"/>
        <c:crosses val="autoZero"/>
        <c:crossBetween val="midCat"/>
      </c:valAx>
      <c:valAx>
        <c:axId val="599810312"/>
        <c:scaling>
          <c:logBase val="10"/>
          <c:orientation val="minMax"/>
          <c:max val="1"/>
          <c:min val="1.0000000000000006E-11"/>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tx1"/>
          </a:solidFill>
        </a:ln>
        <a:effectLst/>
      </c:spPr>
    </c:plotArea>
    <c:legend>
      <c:legendPos val="r"/>
      <c:legendEntry>
        <c:idx val="2"/>
        <c:delete val="1"/>
      </c:legendEntry>
      <c:legendEntry>
        <c:idx val="3"/>
        <c:delete val="1"/>
      </c:legendEntry>
      <c:legendEntry>
        <c:idx val="4"/>
        <c:delete val="1"/>
      </c:legendEntry>
      <c:layout>
        <c:manualLayout>
          <c:xMode val="edge"/>
          <c:yMode val="edge"/>
          <c:x val="0.84666892501423174"/>
          <c:y val="0.46328339630668497"/>
          <c:w val="0.14389088631019784"/>
          <c:h val="0.12234015704880916"/>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RR!$H$56</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3729288181961663"/>
          <c:h val="0.60596785221581506"/>
        </c:manualLayout>
      </c:layout>
      <c:barChart>
        <c:barDir val="bar"/>
        <c:grouping val="stacked"/>
        <c:varyColors val="0"/>
        <c:ser>
          <c:idx val="4"/>
          <c:order val="0"/>
          <c:tx>
            <c:strRef>
              <c:f>RR!$J$56</c:f>
              <c:strCache>
                <c:ptCount val="1"/>
                <c:pt idx="0">
                  <c:v>Central Tendency</c:v>
                </c:pt>
              </c:strCache>
            </c:strRef>
          </c:tx>
          <c:spPr>
            <a:solidFill>
              <a:schemeClr val="accent5"/>
            </a:solidFill>
            <a:ln>
              <a:noFill/>
            </a:ln>
            <a:effectLst/>
          </c:spPr>
          <c:invertIfNegative val="0"/>
          <c:cat>
            <c:strRef>
              <c:f>RR!$H$57:$H$62</c:f>
              <c:strCache>
                <c:ptCount val="6"/>
                <c:pt idx="0">
                  <c:v>No Respirator</c:v>
                </c:pt>
                <c:pt idx="1">
                  <c:v>APF = 10</c:v>
                </c:pt>
                <c:pt idx="2">
                  <c:v>APF = 25</c:v>
                </c:pt>
                <c:pt idx="3">
                  <c:v>APF = 50</c:v>
                </c:pt>
                <c:pt idx="4">
                  <c:v>APF = 1,000</c:v>
                </c:pt>
                <c:pt idx="5">
                  <c:v>APF = 10,000</c:v>
                </c:pt>
              </c:strCache>
            </c:strRef>
          </c:cat>
          <c:val>
            <c:numRef>
              <c:f>RR!$J$57:$J$62</c:f>
              <c:numCache>
                <c:formatCode>0.00E+00</c:formatCode>
                <c:ptCount val="6"/>
                <c:pt idx="0">
                  <c:v>4.8438777338116566E-4</c:v>
                </c:pt>
                <c:pt idx="1">
                  <c:v>4.8438777338116564E-5</c:v>
                </c:pt>
                <c:pt idx="2">
                  <c:v>1.9375510935246626E-5</c:v>
                </c:pt>
                <c:pt idx="3">
                  <c:v>9.6877554676233131E-6</c:v>
                </c:pt>
                <c:pt idx="4">
                  <c:v>4.8438777338116565E-7</c:v>
                </c:pt>
                <c:pt idx="5">
                  <c:v>4.8438777338116567E-8</c:v>
                </c:pt>
              </c:numCache>
            </c:numRef>
          </c:val>
          <c:extLst>
            <c:ext xmlns:c16="http://schemas.microsoft.com/office/drawing/2014/chart" uri="{C3380CC4-5D6E-409C-BE32-E72D297353CC}">
              <c16:uniqueId val="{0000000C-0523-48BC-9D17-AA720449FCD4}"/>
            </c:ext>
          </c:extLst>
        </c:ser>
        <c:ser>
          <c:idx val="0"/>
          <c:order val="1"/>
          <c:tx>
            <c:strRef>
              <c:f>RR!$I$56</c:f>
              <c:strCache>
                <c:ptCount val="1"/>
                <c:pt idx="0">
                  <c:v>High End</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0523-48BC-9D17-AA720449FCD4}"/>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0523-48BC-9D17-AA720449FCD4}"/>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0523-48BC-9D17-AA720449FCD4}"/>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0523-48BC-9D17-AA720449FCD4}"/>
              </c:ext>
            </c:extLst>
          </c:dPt>
          <c:cat>
            <c:strRef>
              <c:f>RR!$H$57:$H$62</c:f>
              <c:strCache>
                <c:ptCount val="6"/>
                <c:pt idx="0">
                  <c:v>No Respirator</c:v>
                </c:pt>
                <c:pt idx="1">
                  <c:v>APF = 10</c:v>
                </c:pt>
                <c:pt idx="2">
                  <c:v>APF = 25</c:v>
                </c:pt>
                <c:pt idx="3">
                  <c:v>APF = 50</c:v>
                </c:pt>
                <c:pt idx="4">
                  <c:v>APF = 1,000</c:v>
                </c:pt>
                <c:pt idx="5">
                  <c:v>APF = 10,000</c:v>
                </c:pt>
              </c:strCache>
            </c:strRef>
          </c:cat>
          <c:val>
            <c:numRef>
              <c:f>RR!$I$57:$I$62</c:f>
              <c:numCache>
                <c:formatCode>0.00E+00</c:formatCode>
                <c:ptCount val="6"/>
                <c:pt idx="0">
                  <c:v>2.0503050122626389E-3</c:v>
                </c:pt>
                <c:pt idx="1">
                  <c:v>2.050305012262639E-4</c:v>
                </c:pt>
                <c:pt idx="2">
                  <c:v>8.2012200490505559E-5</c:v>
                </c:pt>
                <c:pt idx="3">
                  <c:v>4.1006100245252779E-5</c:v>
                </c:pt>
                <c:pt idx="4">
                  <c:v>2.0503050122626387E-6</c:v>
                </c:pt>
                <c:pt idx="5">
                  <c:v>2.0503050122626388E-7</c:v>
                </c:pt>
              </c:numCache>
            </c:numRef>
          </c:val>
          <c:extLst>
            <c:ext xmlns:c16="http://schemas.microsoft.com/office/drawing/2014/chart" uri="{C3380CC4-5D6E-409C-BE32-E72D297353CC}">
              <c16:uniqueId val="{00000008-0523-48BC-9D17-AA720449FCD4}"/>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9-0523-48BC-9D17-AA720449FCD4}"/>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A-0523-48BC-9D17-AA720449FCD4}"/>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0523-48BC-9D17-AA720449FCD4}"/>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US">
                    <a:solidFill>
                      <a:sysClr val="windowText" lastClr="000000"/>
                    </a:solidFill>
                  </a:rPr>
                  <a:t>Excess Cancer Risk</a:t>
                </a:r>
              </a:p>
            </c:rich>
          </c:tx>
          <c:layout>
            <c:manualLayout>
              <c:xMode val="edge"/>
              <c:yMode val="edge"/>
              <c:x val="0.43476247381566457"/>
              <c:y val="0.83395618663720517"/>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tx1"/>
          </a:solidFill>
        </a:ln>
        <a:effectLst/>
      </c:spPr>
    </c:plotArea>
    <c:legend>
      <c:legendPos val="r"/>
      <c:legendEntry>
        <c:idx val="2"/>
        <c:delete val="1"/>
      </c:legendEntry>
      <c:legendEntry>
        <c:idx val="3"/>
        <c:delete val="1"/>
      </c:legendEntry>
      <c:legendEntry>
        <c:idx val="4"/>
        <c:delete val="1"/>
      </c:legendEntry>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RR!$X$57</c:f>
          <c:strCache>
            <c:ptCount val="1"/>
            <c:pt idx="0">
              <c:v>Dermal Cancer Risk Estimates</c:v>
            </c:pt>
          </c:strCache>
        </c:strRef>
      </c:tx>
      <c:layout>
        <c:manualLayout>
          <c:xMode val="edge"/>
          <c:yMode val="edge"/>
          <c:x val="0.36062458254174651"/>
          <c:y val="3.741425313188975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1536767478778098"/>
          <c:h val="0.63093447925324686"/>
        </c:manualLayout>
      </c:layout>
      <c:barChart>
        <c:barDir val="bar"/>
        <c:grouping val="stacked"/>
        <c:varyColors val="0"/>
        <c:ser>
          <c:idx val="4"/>
          <c:order val="0"/>
          <c:tx>
            <c:strRef>
              <c:f>RR!$Z$57</c:f>
              <c:strCache>
                <c:ptCount val="1"/>
                <c:pt idx="0">
                  <c:v>Central Tendency</c:v>
                </c:pt>
              </c:strCache>
            </c:strRef>
          </c:tx>
          <c:spPr>
            <a:solidFill>
              <a:schemeClr val="accent5"/>
            </a:solidFill>
            <a:ln>
              <a:noFill/>
            </a:ln>
            <a:effectLst/>
          </c:spPr>
          <c:invertIfNegative val="0"/>
          <c:cat>
            <c:strRef>
              <c:f>RR!$X$58:$X$62</c:f>
              <c:strCache>
                <c:ptCount val="5"/>
                <c:pt idx="0">
                  <c:v>Occluded Exposure</c:v>
                </c:pt>
                <c:pt idx="1">
                  <c:v>No Gloves (PF = 1)</c:v>
                </c:pt>
                <c:pt idx="2">
                  <c:v>Protective Gloves (PF = 5)</c:v>
                </c:pt>
                <c:pt idx="3">
                  <c:v>Protective Gloves 
(Commercial uses, PF = 10)</c:v>
                </c:pt>
                <c:pt idx="4">
                  <c:v>Protective Gloves 
(Industrial uses, PF = 20)</c:v>
                </c:pt>
              </c:strCache>
            </c:strRef>
          </c:cat>
          <c:val>
            <c:numRef>
              <c:f>RR!$Z$58:$Z$62</c:f>
              <c:numCache>
                <c:formatCode>0.00E+00</c:formatCode>
                <c:ptCount val="5"/>
                <c:pt idx="0" formatCode="0.00">
                  <c:v>0</c:v>
                </c:pt>
                <c:pt idx="1">
                  <c:v>8.155602388479101E-3</c:v>
                </c:pt>
                <c:pt idx="2">
                  <c:v>1.6311204776958202E-3</c:v>
                </c:pt>
                <c:pt idx="3">
                  <c:v>8.155602388479101E-4</c:v>
                </c:pt>
                <c:pt idx="4">
                  <c:v>4.0778011942395505E-4</c:v>
                </c:pt>
              </c:numCache>
            </c:numRef>
          </c:val>
          <c:extLst>
            <c:ext xmlns:c16="http://schemas.microsoft.com/office/drawing/2014/chart" uri="{C3380CC4-5D6E-409C-BE32-E72D297353CC}">
              <c16:uniqueId val="{00000008-5ED6-4E63-824C-46789EE935D0}"/>
            </c:ext>
          </c:extLst>
        </c:ser>
        <c:ser>
          <c:idx val="0"/>
          <c:order val="1"/>
          <c:tx>
            <c:strRef>
              <c:f>RR!$Y$57</c:f>
              <c:strCache>
                <c:ptCount val="1"/>
                <c:pt idx="0">
                  <c:v>High End</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7A20-4297-8B57-81429CDB4302}"/>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7A20-4297-8B57-81429CDB4302}"/>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7A20-4297-8B57-81429CDB4302}"/>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7A20-4297-8B57-81429CDB4302}"/>
              </c:ext>
            </c:extLst>
          </c:dPt>
          <c:cat>
            <c:strRef>
              <c:f>RR!$X$58:$X$62</c:f>
              <c:strCache>
                <c:ptCount val="5"/>
                <c:pt idx="0">
                  <c:v>Occluded Exposure</c:v>
                </c:pt>
                <c:pt idx="1">
                  <c:v>No Gloves (PF = 1)</c:v>
                </c:pt>
                <c:pt idx="2">
                  <c:v>Protective Gloves (PF = 5)</c:v>
                </c:pt>
                <c:pt idx="3">
                  <c:v>Protective Gloves 
(Commercial uses, PF = 10)</c:v>
                </c:pt>
                <c:pt idx="4">
                  <c:v>Protective Gloves 
(Industrial uses, PF = 20)</c:v>
                </c:pt>
              </c:strCache>
            </c:strRef>
          </c:cat>
          <c:val>
            <c:numRef>
              <c:f>RR!$Y$58:$Y$62</c:f>
              <c:numCache>
                <c:formatCode>0.00E+00</c:formatCode>
                <c:ptCount val="5"/>
                <c:pt idx="0" formatCode="0.00">
                  <c:v>0</c:v>
                </c:pt>
                <c:pt idx="1">
                  <c:v>3.1570073761854583E-2</c:v>
                </c:pt>
                <c:pt idx="2">
                  <c:v>6.314014752370917E-3</c:v>
                </c:pt>
                <c:pt idx="3">
                  <c:v>3.1570073761854585E-3</c:v>
                </c:pt>
                <c:pt idx="4">
                  <c:v>1.5785036880927293E-3</c:v>
                </c:pt>
              </c:numCache>
            </c:numRef>
          </c:val>
          <c:extLst>
            <c:ext xmlns:c16="http://schemas.microsoft.com/office/drawing/2014/chart" uri="{C3380CC4-5D6E-409C-BE32-E72D297353CC}">
              <c16:uniqueId val="{00000008-7A20-4297-8B57-81429CDB4302}"/>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1"/>
          <c:order val="2"/>
          <c:tx>
            <c:v>1.00E-06</c:v>
          </c:tx>
          <c:spPr>
            <a:ln w="28575" cap="rnd">
              <a:solidFill>
                <a:srgbClr val="FF0000"/>
              </a:solidFill>
              <a:round/>
            </a:ln>
            <a:effectLst/>
          </c:spPr>
          <c:marker>
            <c:symbol val="none"/>
          </c:marker>
          <c:xVal>
            <c:numLit>
              <c:formatCode>General</c:formatCode>
              <c:ptCount val="6"/>
              <c:pt idx="0">
                <c:v>9.9999999999999995E-7</c:v>
              </c:pt>
              <c:pt idx="1">
                <c:v>9.9999999999999995E-7</c:v>
              </c:pt>
              <c:pt idx="2">
                <c:v>9.9999999999999995E-7</c:v>
              </c:pt>
              <c:pt idx="3">
                <c:v>9.9999999999999995E-7</c:v>
              </c:pt>
              <c:pt idx="4">
                <c:v>9.9999999999999995E-7</c:v>
              </c:pt>
              <c:pt idx="5">
                <c:v>9.9999999999999995E-7</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9-7A20-4297-8B57-81429CDB4302}"/>
            </c:ext>
          </c:extLst>
        </c:ser>
        <c:ser>
          <c:idx val="2"/>
          <c:order val="3"/>
          <c:tx>
            <c:v>1.00E-05</c:v>
          </c:tx>
          <c:spPr>
            <a:ln w="28575" cap="rnd">
              <a:solidFill>
                <a:srgbClr val="FF0000"/>
              </a:solidFill>
              <a:round/>
            </a:ln>
            <a:effectLst/>
          </c:spPr>
          <c:marker>
            <c:symbol val="none"/>
          </c:marker>
          <c:xVal>
            <c:numLit>
              <c:formatCode>General</c:formatCode>
              <c:ptCount val="6"/>
              <c:pt idx="0">
                <c:v>1.0000000000000001E-5</c:v>
              </c:pt>
              <c:pt idx="1">
                <c:v>1.0000000000000001E-5</c:v>
              </c:pt>
              <c:pt idx="2">
                <c:v>1.0000000000000001E-5</c:v>
              </c:pt>
              <c:pt idx="3">
                <c:v>1.0000000000000001E-5</c:v>
              </c:pt>
              <c:pt idx="4">
                <c:v>1.0000000000000001E-5</c:v>
              </c:pt>
              <c:pt idx="5">
                <c:v>1.0000000000000001E-5</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A-7A20-4297-8B57-81429CDB4302}"/>
            </c:ext>
          </c:extLst>
        </c:ser>
        <c:ser>
          <c:idx val="3"/>
          <c:order val="4"/>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7A20-4297-8B57-81429CDB4302}"/>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6E-1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US">
                    <a:solidFill>
                      <a:sysClr val="windowText" lastClr="000000"/>
                    </a:solidFill>
                  </a:rPr>
                  <a:t>Excess Cancer Risk</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0.E+0" sourceLinked="0"/>
        <c:majorTickMark val="none"/>
        <c:minorTickMark val="none"/>
        <c:tickLblPos val="high"/>
        <c:spPr>
          <a:noFill/>
          <a:ln w="12700">
            <a:solidFill>
              <a:schemeClr val="tx1"/>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6E-11"/>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ysClr val="windowText" lastClr="000000"/>
          </a:solidFill>
        </a:ln>
        <a:effectLst/>
      </c:spPr>
    </c:plotArea>
    <c:legend>
      <c:legendPos val="r"/>
      <c:legendEntry>
        <c:idx val="2"/>
        <c:delete val="1"/>
      </c:legendEntry>
      <c:legendEntry>
        <c:idx val="3"/>
        <c:delete val="1"/>
      </c:legendEntry>
      <c:legendEntry>
        <c:idx val="4"/>
        <c:delete val="1"/>
      </c:legendEntry>
      <c:layout>
        <c:manualLayout>
          <c:xMode val="edge"/>
          <c:yMode val="edge"/>
          <c:x val="0.83664329828752293"/>
          <c:y val="0.43264170546451891"/>
          <c:w val="0.15639498764417403"/>
          <c:h val="0.13427161450956421"/>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13</xdr:row>
      <xdr:rowOff>0</xdr:rowOff>
    </xdr:from>
    <xdr:to>
      <xdr:col>5</xdr:col>
      <xdr:colOff>418743</xdr:colOff>
      <xdr:row>19</xdr:row>
      <xdr:rowOff>161762</xdr:rowOff>
    </xdr:to>
    <xdr:pic>
      <xdr:nvPicPr>
        <xdr:cNvPr id="2" name="Picture 1">
          <a:extLst>
            <a:ext uri="{FF2B5EF4-FFF2-40B4-BE49-F238E27FC236}">
              <a16:creationId xmlns:a16="http://schemas.microsoft.com/office/drawing/2014/main" id="{38AC6F7F-A10F-435C-BD36-D603189EDD80}"/>
            </a:ext>
          </a:extLst>
        </xdr:cNvPr>
        <xdr:cNvPicPr>
          <a:picLocks noChangeAspect="1"/>
        </xdr:cNvPicPr>
      </xdr:nvPicPr>
      <xdr:blipFill>
        <a:blip xmlns:r="http://schemas.openxmlformats.org/officeDocument/2006/relationships" r:embed="rId1">
          <a:grayscl/>
        </a:blip>
        <a:stretch>
          <a:fillRect/>
        </a:stretch>
      </xdr:blipFill>
      <xdr:spPr>
        <a:xfrm>
          <a:off x="609600" y="2857500"/>
          <a:ext cx="2857143" cy="13047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228600</xdr:colOff>
      <xdr:row>10</xdr:row>
      <xdr:rowOff>66675</xdr:rowOff>
    </xdr:from>
    <xdr:to>
      <xdr:col>1</xdr:col>
      <xdr:colOff>3355522</xdr:colOff>
      <xdr:row>17</xdr:row>
      <xdr:rowOff>25854</xdr:rowOff>
    </xdr:to>
    <xdr:sp macro="" textlink="">
      <xdr:nvSpPr>
        <xdr:cNvPr id="3" name="TextBox 2">
          <a:extLst>
            <a:ext uri="{FF2B5EF4-FFF2-40B4-BE49-F238E27FC236}">
              <a16:creationId xmlns:a16="http://schemas.microsoft.com/office/drawing/2014/main" id="{7C3F04E2-5760-4E73-9C63-E5E9EFAE66D6}"/>
            </a:ext>
          </a:extLst>
        </xdr:cNvPr>
        <xdr:cNvSpPr txBox="1"/>
      </xdr:nvSpPr>
      <xdr:spPr>
        <a:xfrm>
          <a:off x="228600" y="7296150"/>
          <a:ext cx="4327072" cy="1292679"/>
        </a:xfrm>
        <a:prstGeom prst="rect">
          <a:avLst/>
        </a:prstGeom>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12700" cmpd="sng">
          <a:solidFill>
            <a:schemeClr val="tx1">
              <a:alpha val="95000"/>
            </a:schemeClr>
          </a:solidFill>
        </a:ln>
        <a:scene3d>
          <a:camera prst="orthographicFront"/>
          <a:lightRig rig="threePt" dir="t"/>
        </a:scene3d>
        <a:sp3d>
          <a:bevelT/>
          <a:bevelB/>
        </a:sp3d>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200" b="1" u="sng"/>
            <a:t>Key</a:t>
          </a:r>
          <a:endParaRPr lang="en-US" sz="1200" u="sng"/>
        </a:p>
        <a:p>
          <a:r>
            <a:rPr lang="en-US" sz="1200"/>
            <a:t>             =  </a:t>
          </a:r>
          <a:r>
            <a:rPr lang="en-US" sz="1200">
              <a:solidFill>
                <a:srgbClr val="FF0000"/>
              </a:solidFill>
            </a:rPr>
            <a:t>Risk</a:t>
          </a:r>
          <a:r>
            <a:rPr lang="en-US" sz="1200"/>
            <a:t>.  </a:t>
          </a:r>
          <a:r>
            <a:rPr lang="en-US" sz="1200" baseline="0"/>
            <a:t>       </a:t>
          </a:r>
          <a:r>
            <a:rPr lang="en-US" sz="1200" i="1"/>
            <a:t>MOE</a:t>
          </a:r>
          <a:r>
            <a:rPr lang="en-US" sz="1200" i="1" baseline="-25000"/>
            <a:t>acute or chronic</a:t>
          </a:r>
          <a:r>
            <a:rPr lang="en-US" sz="1200" i="1" baseline="0"/>
            <a:t> &lt; MOE</a:t>
          </a:r>
          <a:r>
            <a:rPr lang="en-US" sz="1200" i="1" baseline="-25000"/>
            <a:t>benchmark</a:t>
          </a:r>
          <a:endParaRPr lang="en-US" sz="1200" i="0" baseline="0"/>
        </a:p>
        <a:p>
          <a:r>
            <a:rPr lang="en-US" sz="1200" i="0" baseline="0"/>
            <a:t>                                  </a:t>
          </a:r>
          <a:r>
            <a:rPr lang="en-US" sz="1200" i="1" baseline="0"/>
            <a:t>Cancer Risk &gt; Benchmark Cancer Risk Level</a:t>
          </a:r>
        </a:p>
        <a:p>
          <a:endParaRPr lang="en-US" sz="1200" i="1" baseline="0"/>
        </a:p>
        <a:p>
          <a:pPr marL="0" marR="0" indent="0" defTabSz="914400" eaLnBrk="1" fontAlgn="auto" latinLnBrk="0" hangingPunct="1">
            <a:lnSpc>
              <a:spcPct val="100000"/>
            </a:lnSpc>
            <a:spcBef>
              <a:spcPts val="0"/>
            </a:spcBef>
            <a:spcAft>
              <a:spcPts val="0"/>
            </a:spcAft>
            <a:buClrTx/>
            <a:buSzTx/>
            <a:buFontTx/>
            <a:buNone/>
            <a:tabLst/>
            <a:defRPr/>
          </a:pPr>
          <a:r>
            <a:rPr lang="en-US" sz="1200" i="1" baseline="0">
              <a:solidFill>
                <a:schemeClr val="dk1"/>
              </a:solidFill>
              <a:latin typeface="+mn-lt"/>
              <a:ea typeface="+mn-ea"/>
              <a:cs typeface="+mn-cs"/>
            </a:rPr>
            <a:t>             </a:t>
          </a:r>
          <a:r>
            <a:rPr lang="en-US" sz="1200">
              <a:solidFill>
                <a:schemeClr val="dk1"/>
              </a:solidFill>
              <a:latin typeface="+mn-lt"/>
              <a:ea typeface="+mn-ea"/>
              <a:cs typeface="+mn-cs"/>
            </a:rPr>
            <a:t>=  </a:t>
          </a:r>
          <a:r>
            <a:rPr lang="en-US" sz="1200">
              <a:solidFill>
                <a:srgbClr val="339933"/>
              </a:solidFill>
              <a:latin typeface="+mn-lt"/>
              <a:ea typeface="+mn-ea"/>
              <a:cs typeface="+mn-cs"/>
            </a:rPr>
            <a:t>No Risk</a:t>
          </a:r>
          <a:r>
            <a:rPr lang="en-US" sz="1200">
              <a:solidFill>
                <a:schemeClr val="dk1"/>
              </a:solidFill>
              <a:latin typeface="+mn-lt"/>
              <a:ea typeface="+mn-ea"/>
              <a:cs typeface="+mn-cs"/>
            </a:rPr>
            <a:t>.   </a:t>
          </a:r>
          <a:r>
            <a:rPr lang="en-US" sz="1200" i="1">
              <a:solidFill>
                <a:schemeClr val="dk1"/>
              </a:solidFill>
              <a:latin typeface="+mn-lt"/>
              <a:ea typeface="+mn-ea"/>
              <a:cs typeface="+mn-cs"/>
            </a:rPr>
            <a:t>MOE</a:t>
          </a:r>
          <a:r>
            <a:rPr lang="en-US" sz="1200" i="1" baseline="-25000">
              <a:solidFill>
                <a:schemeClr val="dk1"/>
              </a:solidFill>
              <a:latin typeface="+mn-lt"/>
              <a:ea typeface="+mn-ea"/>
              <a:cs typeface="+mn-cs"/>
            </a:rPr>
            <a:t>acute or chronic</a:t>
          </a:r>
          <a:r>
            <a:rPr lang="en-US" sz="1200" i="1" baseline="0">
              <a:solidFill>
                <a:schemeClr val="dk1"/>
              </a:solidFill>
              <a:latin typeface="+mn-lt"/>
              <a:ea typeface="+mn-ea"/>
              <a:cs typeface="+mn-cs"/>
            </a:rPr>
            <a:t> ≥ MOE</a:t>
          </a:r>
          <a:r>
            <a:rPr lang="en-US" sz="1200" i="1" baseline="-25000">
              <a:solidFill>
                <a:schemeClr val="dk1"/>
              </a:solidFill>
              <a:latin typeface="+mn-lt"/>
              <a:ea typeface="+mn-ea"/>
              <a:cs typeface="+mn-cs"/>
            </a:rPr>
            <a:t>benchmark</a:t>
          </a:r>
          <a:endParaRPr lang="en-US" sz="1200" i="0"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200" i="0" baseline="0">
              <a:solidFill>
                <a:schemeClr val="dk1"/>
              </a:solidFill>
              <a:latin typeface="+mn-lt"/>
              <a:ea typeface="+mn-ea"/>
              <a:cs typeface="+mn-cs"/>
            </a:rPr>
            <a:t>                                  </a:t>
          </a:r>
          <a:r>
            <a:rPr lang="en-US" sz="1200" i="1" baseline="0">
              <a:solidFill>
                <a:schemeClr val="dk1"/>
              </a:solidFill>
              <a:latin typeface="+mn-lt"/>
              <a:ea typeface="+mn-ea"/>
              <a:cs typeface="+mn-cs"/>
            </a:rPr>
            <a:t>Cancer Risk ≤ Benchmark Cancer Risk Level</a:t>
          </a:r>
        </a:p>
        <a:p>
          <a:pPr marL="0" marR="0" indent="0" defTabSz="914400" eaLnBrk="1" fontAlgn="auto" latinLnBrk="0" hangingPunct="1">
            <a:lnSpc>
              <a:spcPct val="100000"/>
            </a:lnSpc>
            <a:spcBef>
              <a:spcPts val="0"/>
            </a:spcBef>
            <a:spcAft>
              <a:spcPts val="0"/>
            </a:spcAft>
            <a:buClrTx/>
            <a:buSzTx/>
            <a:buFontTx/>
            <a:buNone/>
            <a:tabLst/>
            <a:defRPr/>
          </a:pPr>
          <a:r>
            <a:rPr lang="en-US" sz="1000" i="1" baseline="0">
              <a:solidFill>
                <a:schemeClr val="dk1"/>
              </a:solidFill>
              <a:latin typeface="+mn-lt"/>
              <a:ea typeface="+mn-ea"/>
              <a:cs typeface="+mn-cs"/>
            </a:rPr>
            <a:t>	</a:t>
          </a:r>
          <a:endParaRPr lang="en-US" sz="1000" i="1">
            <a:solidFill>
              <a:schemeClr val="dk1"/>
            </a:solidFill>
            <a:latin typeface="+mn-lt"/>
            <a:ea typeface="+mn-ea"/>
            <a:cs typeface="+mn-cs"/>
          </a:endParaRPr>
        </a:p>
      </xdr:txBody>
    </xdr:sp>
    <xdr:clientData/>
  </xdr:twoCellAnchor>
  <xdr:twoCellAnchor>
    <xdr:from>
      <xdr:col>0</xdr:col>
      <xdr:colOff>400050</xdr:colOff>
      <xdr:row>11</xdr:row>
      <xdr:rowOff>114300</xdr:rowOff>
    </xdr:from>
    <xdr:to>
      <xdr:col>0</xdr:col>
      <xdr:colOff>715566</xdr:colOff>
      <xdr:row>12</xdr:row>
      <xdr:rowOff>114707</xdr:rowOff>
    </xdr:to>
    <xdr:sp macro="" textlink="">
      <xdr:nvSpPr>
        <xdr:cNvPr id="4" name="Rectangle 3">
          <a:extLst>
            <a:ext uri="{FF2B5EF4-FFF2-40B4-BE49-F238E27FC236}">
              <a16:creationId xmlns:a16="http://schemas.microsoft.com/office/drawing/2014/main" id="{5614037F-511E-4FD2-8DA8-52177AF62013}"/>
            </a:ext>
          </a:extLst>
        </xdr:cNvPr>
        <xdr:cNvSpPr/>
      </xdr:nvSpPr>
      <xdr:spPr>
        <a:xfrm>
          <a:off x="400050" y="7534275"/>
          <a:ext cx="315516" cy="190907"/>
        </a:xfrm>
        <a:prstGeom prst="rect">
          <a:avLst/>
        </a:prstGeom>
        <a:ln>
          <a:solidFill>
            <a:sysClr val="windowText" lastClr="000000"/>
          </a:solidFill>
        </a:ln>
        <a:scene3d>
          <a:camera prst="orthographicFront"/>
          <a:lightRig rig="threePt" dir="t"/>
        </a:scene3d>
        <a:sp3d>
          <a:bevelT/>
          <a:bevelB/>
        </a:sp3d>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409575</xdr:colOff>
      <xdr:row>14</xdr:row>
      <xdr:rowOff>95250</xdr:rowOff>
    </xdr:from>
    <xdr:to>
      <xdr:col>0</xdr:col>
      <xdr:colOff>725091</xdr:colOff>
      <xdr:row>15</xdr:row>
      <xdr:rowOff>95657</xdr:rowOff>
    </xdr:to>
    <xdr:sp macro="" textlink="">
      <xdr:nvSpPr>
        <xdr:cNvPr id="6" name="Rectangle 5">
          <a:extLst>
            <a:ext uri="{FF2B5EF4-FFF2-40B4-BE49-F238E27FC236}">
              <a16:creationId xmlns:a16="http://schemas.microsoft.com/office/drawing/2014/main" id="{289964F1-EB1E-4491-A8E4-FCF53B9329D0}"/>
            </a:ext>
          </a:extLst>
        </xdr:cNvPr>
        <xdr:cNvSpPr/>
      </xdr:nvSpPr>
      <xdr:spPr>
        <a:xfrm>
          <a:off x="409575" y="8086725"/>
          <a:ext cx="315516" cy="190907"/>
        </a:xfrm>
        <a:prstGeom prst="rect">
          <a:avLst/>
        </a:prstGeom>
        <a:solidFill>
          <a:srgbClr val="00B050"/>
        </a:solidFill>
        <a:ln>
          <a:solidFill>
            <a:sysClr val="windowText" lastClr="000000"/>
          </a:solidFill>
        </a:ln>
        <a:scene3d>
          <a:camera prst="orthographicFront"/>
          <a:lightRig rig="threePt" dir="t"/>
        </a:scene3d>
        <a:sp3d>
          <a:bevelT/>
          <a:bevelB/>
        </a:sp3d>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10886</xdr:colOff>
      <xdr:row>41</xdr:row>
      <xdr:rowOff>109340</xdr:rowOff>
    </xdr:from>
    <xdr:to>
      <xdr:col>7</xdr:col>
      <xdr:colOff>1515357</xdr:colOff>
      <xdr:row>68</xdr:row>
      <xdr:rowOff>50971</xdr:rowOff>
    </xdr:to>
    <xdr:graphicFrame macro="">
      <xdr:nvGraphicFramePr>
        <xdr:cNvPr id="5" name="Chart 4">
          <a:extLst>
            <a:ext uri="{FF2B5EF4-FFF2-40B4-BE49-F238E27FC236}">
              <a16:creationId xmlns:a16="http://schemas.microsoft.com/office/drawing/2014/main" id="{832C5013-7CF2-45A4-949B-A8188FC121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65315</xdr:colOff>
      <xdr:row>42</xdr:row>
      <xdr:rowOff>154935</xdr:rowOff>
    </xdr:from>
    <xdr:to>
      <xdr:col>17</xdr:col>
      <xdr:colOff>310244</xdr:colOff>
      <xdr:row>68</xdr:row>
      <xdr:rowOff>27214</xdr:rowOff>
    </xdr:to>
    <xdr:graphicFrame macro="">
      <xdr:nvGraphicFramePr>
        <xdr:cNvPr id="6" name="Chart 5">
          <a:extLst>
            <a:ext uri="{FF2B5EF4-FFF2-40B4-BE49-F238E27FC236}">
              <a16:creationId xmlns:a16="http://schemas.microsoft.com/office/drawing/2014/main" id="{5450647A-DEC4-4ED8-8D15-70F15800EA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136072</xdr:colOff>
      <xdr:row>14</xdr:row>
      <xdr:rowOff>40822</xdr:rowOff>
    </xdr:from>
    <xdr:to>
      <xdr:col>7</xdr:col>
      <xdr:colOff>1796143</xdr:colOff>
      <xdr:row>16</xdr:row>
      <xdr:rowOff>108858</xdr:rowOff>
    </xdr:to>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E5830DC9-8823-47CF-AA5E-3876305AAC8D}"/>
                </a:ext>
              </a:extLst>
            </xdr:cNvPr>
            <xdr:cNvSpPr txBox="1"/>
          </xdr:nvSpPr>
          <xdr:spPr>
            <a:xfrm>
              <a:off x="6558643" y="4449536"/>
              <a:ext cx="4231821" cy="4626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aseline="0">
                  <a:solidFill>
                    <a:schemeClr val="dk1"/>
                  </a:solidFill>
                  <a:effectLst/>
                  <a:ea typeface="+mn-ea"/>
                  <a:cs typeface="+mn-cs"/>
                </a:rPr>
                <a:t>where</a:t>
              </a:r>
              <a:r>
                <a:rPr lang="en-US" sz="1400">
                  <a:solidFill>
                    <a:schemeClr val="dk1"/>
                  </a:solidFill>
                  <a:effectLst/>
                  <a:ea typeface="+mn-ea"/>
                  <a:cs typeface="+mn-cs"/>
                </a:rPr>
                <a:t> </a:t>
              </a:r>
              <a14:m>
                <m:oMath xmlns:m="http://schemas.openxmlformats.org/officeDocument/2006/math">
                  <m:r>
                    <a:rPr lang="en-US" sz="1400" i="1">
                      <a:solidFill>
                        <a:schemeClr val="dk1"/>
                      </a:solidFill>
                      <a:effectLst/>
                      <a:latin typeface="Cambria Math" panose="02040503050406030204" pitchFamily="18" charset="0"/>
                      <a:ea typeface="+mn-ea"/>
                      <a:cs typeface="+mn-cs"/>
                    </a:rPr>
                    <m:t>𝐴𝐶</m:t>
                  </m:r>
                  <m:r>
                    <a:rPr lang="en-US" sz="1400" i="1">
                      <a:solidFill>
                        <a:schemeClr val="dk1"/>
                      </a:solidFill>
                      <a:effectLst/>
                      <a:latin typeface="Cambria Math" panose="02040503050406030204" pitchFamily="18" charset="0"/>
                      <a:ea typeface="+mn-ea"/>
                      <a:cs typeface="+mn-cs"/>
                    </a:rPr>
                    <m:t>=</m:t>
                  </m:r>
                  <m:f>
                    <m:fPr>
                      <m:ctrlPr>
                        <a:rPr lang="en-US" sz="1400" i="1">
                          <a:solidFill>
                            <a:schemeClr val="dk1"/>
                          </a:solidFill>
                          <a:effectLst/>
                          <a:latin typeface="Cambria Math" panose="02040503050406030204" pitchFamily="18" charset="0"/>
                          <a:ea typeface="+mn-ea"/>
                          <a:cs typeface="+mn-cs"/>
                        </a:rPr>
                      </m:ctrlPr>
                    </m:fPr>
                    <m:num>
                      <m:r>
                        <a:rPr lang="en-US" sz="1400" i="1">
                          <a:solidFill>
                            <a:schemeClr val="dk1"/>
                          </a:solidFill>
                          <a:effectLst/>
                          <a:latin typeface="Cambria Math" panose="02040503050406030204" pitchFamily="18" charset="0"/>
                          <a:ea typeface="+mn-ea"/>
                          <a:cs typeface="+mn-cs"/>
                        </a:rPr>
                        <m:t>𝐶𝑥𝐸𝐷</m:t>
                      </m:r>
                    </m:num>
                    <m:den>
                      <m:r>
                        <a:rPr lang="en-US" sz="1400" i="1">
                          <a:solidFill>
                            <a:schemeClr val="dk1"/>
                          </a:solidFill>
                          <a:effectLst/>
                          <a:latin typeface="Cambria Math" panose="02040503050406030204" pitchFamily="18" charset="0"/>
                          <a:ea typeface="+mn-ea"/>
                          <a:cs typeface="+mn-cs"/>
                        </a:rPr>
                        <m:t>𝐴𝑇</m:t>
                      </m:r>
                    </m:den>
                  </m:f>
                  <m:r>
                    <a:rPr lang="en-US" sz="1400" b="0" i="1">
                      <a:solidFill>
                        <a:schemeClr val="dk1"/>
                      </a:solidFill>
                      <a:effectLst/>
                      <a:latin typeface="Cambria Math" panose="02040503050406030204" pitchFamily="18" charset="0"/>
                      <a:ea typeface="+mn-ea"/>
                      <a:cs typeface="+mn-cs"/>
                    </a:rPr>
                    <m:t>; </m:t>
                  </m:r>
                  <m:r>
                    <a:rPr lang="en-US" sz="1400" i="1">
                      <a:solidFill>
                        <a:schemeClr val="dk1"/>
                      </a:solidFill>
                      <a:effectLst/>
                      <a:latin typeface="Cambria Math" panose="02040503050406030204" pitchFamily="18" charset="0"/>
                      <a:ea typeface="+mn-ea"/>
                      <a:cs typeface="+mn-cs"/>
                    </a:rPr>
                    <m:t>𝐿𝐴𝐷𝐶</m:t>
                  </m:r>
                  <m:r>
                    <a:rPr lang="en-US" sz="1400" i="1">
                      <a:solidFill>
                        <a:schemeClr val="dk1"/>
                      </a:solidFill>
                      <a:effectLst/>
                      <a:latin typeface="Cambria Math" panose="02040503050406030204" pitchFamily="18" charset="0"/>
                      <a:ea typeface="+mn-ea"/>
                      <a:cs typeface="+mn-cs"/>
                    </a:rPr>
                    <m:t>, </m:t>
                  </m:r>
                  <m:r>
                    <a:rPr lang="en-US" sz="1400" i="1">
                      <a:solidFill>
                        <a:schemeClr val="dk1"/>
                      </a:solidFill>
                      <a:effectLst/>
                      <a:latin typeface="Cambria Math" panose="02040503050406030204" pitchFamily="18" charset="0"/>
                      <a:ea typeface="+mn-ea"/>
                      <a:cs typeface="+mn-cs"/>
                    </a:rPr>
                    <m:t>𝐴𝐷𝐶</m:t>
                  </m:r>
                  <m:r>
                    <a:rPr lang="en-US" sz="1400" i="1">
                      <a:solidFill>
                        <a:schemeClr val="dk1"/>
                      </a:solidFill>
                      <a:effectLst/>
                      <a:latin typeface="Cambria Math" panose="02040503050406030204" pitchFamily="18" charset="0"/>
                      <a:ea typeface="+mn-ea"/>
                      <a:cs typeface="+mn-cs"/>
                    </a:rPr>
                    <m:t>=</m:t>
                  </m:r>
                  <m:f>
                    <m:fPr>
                      <m:ctrlPr>
                        <a:rPr lang="en-US" sz="1400" i="1">
                          <a:solidFill>
                            <a:schemeClr val="dk1"/>
                          </a:solidFill>
                          <a:effectLst/>
                          <a:latin typeface="Cambria Math" panose="02040503050406030204" pitchFamily="18" charset="0"/>
                          <a:ea typeface="+mn-ea"/>
                          <a:cs typeface="+mn-cs"/>
                        </a:rPr>
                      </m:ctrlPr>
                    </m:fPr>
                    <m:num>
                      <m:r>
                        <a:rPr lang="en-US" sz="1400" i="1">
                          <a:solidFill>
                            <a:schemeClr val="dk1"/>
                          </a:solidFill>
                          <a:effectLst/>
                          <a:latin typeface="Cambria Math" panose="02040503050406030204" pitchFamily="18" charset="0"/>
                          <a:ea typeface="+mn-ea"/>
                          <a:cs typeface="+mn-cs"/>
                        </a:rPr>
                        <m:t>𝐶𝑥𝐸𝐷𝑥𝐸𝐹𝑥𝑊𝑌</m:t>
                      </m:r>
                    </m:num>
                    <m:den>
                      <m:r>
                        <a:rPr lang="en-US" sz="1400" i="1">
                          <a:solidFill>
                            <a:schemeClr val="dk1"/>
                          </a:solidFill>
                          <a:effectLst/>
                          <a:latin typeface="Cambria Math" panose="02040503050406030204" pitchFamily="18" charset="0"/>
                          <a:ea typeface="+mn-ea"/>
                          <a:cs typeface="+mn-cs"/>
                        </a:rPr>
                        <m:t>𝐴𝑇</m:t>
                      </m:r>
                    </m:den>
                  </m:f>
                </m:oMath>
              </a14:m>
              <a:endParaRPr lang="en-US" sz="1400">
                <a:solidFill>
                  <a:schemeClr val="dk1"/>
                </a:solidFill>
                <a:effectLst/>
                <a:latin typeface="+mn-lt"/>
                <a:ea typeface="+mn-ea"/>
                <a:cs typeface="+mn-cs"/>
              </a:endParaRPr>
            </a:p>
            <a:p>
              <a:endParaRPr lang="en-US" sz="1100"/>
            </a:p>
          </xdr:txBody>
        </xdr:sp>
      </mc:Choice>
      <mc:Fallback xmlns="">
        <xdr:sp macro="" textlink="">
          <xdr:nvSpPr>
            <xdr:cNvPr id="2" name="TextBox 1">
              <a:extLst>
                <a:ext uri="{FF2B5EF4-FFF2-40B4-BE49-F238E27FC236}">
                  <a16:creationId xmlns:a16="http://schemas.microsoft.com/office/drawing/2014/main" id="{E5830DC9-8823-47CF-AA5E-3876305AAC8D}"/>
                </a:ext>
              </a:extLst>
            </xdr:cNvPr>
            <xdr:cNvSpPr txBox="1"/>
          </xdr:nvSpPr>
          <xdr:spPr>
            <a:xfrm>
              <a:off x="6558643" y="4449536"/>
              <a:ext cx="4231821" cy="4626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aseline="0">
                  <a:solidFill>
                    <a:schemeClr val="dk1"/>
                  </a:solidFill>
                  <a:effectLst/>
                  <a:ea typeface="+mn-ea"/>
                  <a:cs typeface="+mn-cs"/>
                </a:rPr>
                <a:t>where</a:t>
              </a:r>
              <a:r>
                <a:rPr lang="en-US" sz="1400">
                  <a:solidFill>
                    <a:schemeClr val="dk1"/>
                  </a:solidFill>
                  <a:effectLst/>
                  <a:ea typeface="+mn-ea"/>
                  <a:cs typeface="+mn-cs"/>
                </a:rPr>
                <a:t> </a:t>
              </a:r>
              <a:r>
                <a:rPr lang="en-US" sz="1400" i="0">
                  <a:solidFill>
                    <a:schemeClr val="dk1"/>
                  </a:solidFill>
                  <a:effectLst/>
                  <a:latin typeface="Cambria Math" panose="02040503050406030204" pitchFamily="18" charset="0"/>
                  <a:ea typeface="+mn-ea"/>
                  <a:cs typeface="+mn-cs"/>
                </a:rPr>
                <a:t>𝐴𝐶=𝐶𝑥𝐸𝐷/𝐴𝑇</a:t>
              </a:r>
              <a:r>
                <a:rPr lang="en-US" sz="1400" b="0" i="0">
                  <a:solidFill>
                    <a:schemeClr val="dk1"/>
                  </a:solidFill>
                  <a:effectLst/>
                  <a:latin typeface="Cambria Math" panose="02040503050406030204" pitchFamily="18" charset="0"/>
                  <a:ea typeface="+mn-ea"/>
                  <a:cs typeface="+mn-cs"/>
                </a:rPr>
                <a:t>; </a:t>
              </a:r>
              <a:r>
                <a:rPr lang="en-US" sz="1400" i="0">
                  <a:solidFill>
                    <a:schemeClr val="dk1"/>
                  </a:solidFill>
                  <a:effectLst/>
                  <a:latin typeface="Cambria Math" panose="02040503050406030204" pitchFamily="18" charset="0"/>
                  <a:ea typeface="+mn-ea"/>
                  <a:cs typeface="+mn-cs"/>
                </a:rPr>
                <a:t>𝐿𝐴𝐷𝐶, 𝐴𝐷𝐶=𝐶𝑥𝐸𝐷𝑥𝐸𝐹𝑥𝑊𝑌/𝐴𝑇</a:t>
              </a:r>
              <a:endParaRPr lang="en-US" sz="1400">
                <a:solidFill>
                  <a:schemeClr val="dk1"/>
                </a:solidFill>
                <a:effectLst/>
                <a:latin typeface="+mn-lt"/>
                <a:ea typeface="+mn-ea"/>
                <a:cs typeface="+mn-cs"/>
              </a:endParaRPr>
            </a:p>
            <a:p>
              <a:endParaRPr lang="en-US" sz="1100"/>
            </a:p>
          </xdr:txBody>
        </xdr:sp>
      </mc:Fallback>
    </mc:AlternateContent>
    <xdr:clientData/>
  </xdr:twoCellAnchor>
  <xdr:twoCellAnchor>
    <xdr:from>
      <xdr:col>15</xdr:col>
      <xdr:colOff>13606</xdr:colOff>
      <xdr:row>2</xdr:row>
      <xdr:rowOff>81643</xdr:rowOff>
    </xdr:from>
    <xdr:to>
      <xdr:col>17</xdr:col>
      <xdr:colOff>993321</xdr:colOff>
      <xdr:row>4</xdr:row>
      <xdr:rowOff>108858</xdr:rowOff>
    </xdr:to>
    <xdr:sp macro="" textlink="">
      <xdr:nvSpPr>
        <xdr:cNvPr id="14" name="TextBox 13">
          <a:extLst>
            <a:ext uri="{FF2B5EF4-FFF2-40B4-BE49-F238E27FC236}">
              <a16:creationId xmlns:a16="http://schemas.microsoft.com/office/drawing/2014/main" id="{162B5681-666F-4AF0-B52E-82255385301A}"/>
            </a:ext>
          </a:extLst>
        </xdr:cNvPr>
        <xdr:cNvSpPr txBox="1"/>
      </xdr:nvSpPr>
      <xdr:spPr>
        <a:xfrm>
          <a:off x="17730106" y="285750"/>
          <a:ext cx="4327072" cy="129267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200" b="1"/>
            <a:t>Key</a:t>
          </a:r>
          <a:endParaRPr lang="en-US" sz="1200"/>
        </a:p>
        <a:p>
          <a:r>
            <a:rPr lang="en-US" sz="1200"/>
            <a:t>             =  </a:t>
          </a:r>
          <a:r>
            <a:rPr lang="en-US" sz="1200">
              <a:solidFill>
                <a:srgbClr val="FF0000"/>
              </a:solidFill>
            </a:rPr>
            <a:t>Risk</a:t>
          </a:r>
          <a:r>
            <a:rPr lang="en-US" sz="1200"/>
            <a:t>.  </a:t>
          </a:r>
          <a:r>
            <a:rPr lang="en-US" sz="1200" baseline="0"/>
            <a:t>       </a:t>
          </a:r>
          <a:r>
            <a:rPr lang="en-US" sz="1200" i="1"/>
            <a:t>MOE</a:t>
          </a:r>
          <a:r>
            <a:rPr lang="en-US" sz="1200" i="1" baseline="-25000"/>
            <a:t>acute or chronic</a:t>
          </a:r>
          <a:r>
            <a:rPr lang="en-US" sz="1200" i="1" baseline="0"/>
            <a:t> &lt; MOE</a:t>
          </a:r>
          <a:r>
            <a:rPr lang="en-US" sz="1200" i="1" baseline="-25000"/>
            <a:t>benchmark</a:t>
          </a:r>
          <a:endParaRPr lang="en-US" sz="1200" i="0" baseline="0"/>
        </a:p>
        <a:p>
          <a:r>
            <a:rPr lang="en-US" sz="1200" i="0" baseline="0"/>
            <a:t>                                  </a:t>
          </a:r>
          <a:r>
            <a:rPr lang="en-US" sz="1200" i="1" baseline="0"/>
            <a:t>Cancer Risk &gt; Benchmark Cancer Risk Level</a:t>
          </a:r>
        </a:p>
        <a:p>
          <a:endParaRPr lang="en-US" sz="1200" i="1" baseline="0"/>
        </a:p>
        <a:p>
          <a:pPr marL="0" marR="0" indent="0" defTabSz="914400" eaLnBrk="1" fontAlgn="auto" latinLnBrk="0" hangingPunct="1">
            <a:lnSpc>
              <a:spcPct val="100000"/>
            </a:lnSpc>
            <a:spcBef>
              <a:spcPts val="0"/>
            </a:spcBef>
            <a:spcAft>
              <a:spcPts val="0"/>
            </a:spcAft>
            <a:buClrTx/>
            <a:buSzTx/>
            <a:buFontTx/>
            <a:buNone/>
            <a:tabLst/>
            <a:defRPr/>
          </a:pPr>
          <a:r>
            <a:rPr lang="en-US" sz="1200" i="1" baseline="0">
              <a:solidFill>
                <a:schemeClr val="dk1"/>
              </a:solidFill>
              <a:latin typeface="+mn-lt"/>
              <a:ea typeface="+mn-ea"/>
              <a:cs typeface="+mn-cs"/>
            </a:rPr>
            <a:t>             </a:t>
          </a:r>
          <a:r>
            <a:rPr lang="en-US" sz="1200">
              <a:solidFill>
                <a:schemeClr val="dk1"/>
              </a:solidFill>
              <a:latin typeface="+mn-lt"/>
              <a:ea typeface="+mn-ea"/>
              <a:cs typeface="+mn-cs"/>
            </a:rPr>
            <a:t>=  </a:t>
          </a:r>
          <a:r>
            <a:rPr lang="en-US" sz="1200">
              <a:solidFill>
                <a:srgbClr val="339933"/>
              </a:solidFill>
              <a:latin typeface="+mn-lt"/>
              <a:ea typeface="+mn-ea"/>
              <a:cs typeface="+mn-cs"/>
            </a:rPr>
            <a:t>No Risk</a:t>
          </a:r>
          <a:r>
            <a:rPr lang="en-US" sz="1200">
              <a:solidFill>
                <a:schemeClr val="dk1"/>
              </a:solidFill>
              <a:latin typeface="+mn-lt"/>
              <a:ea typeface="+mn-ea"/>
              <a:cs typeface="+mn-cs"/>
            </a:rPr>
            <a:t>.   </a:t>
          </a:r>
          <a:r>
            <a:rPr lang="en-US" sz="1200" i="1">
              <a:solidFill>
                <a:schemeClr val="dk1"/>
              </a:solidFill>
              <a:latin typeface="+mn-lt"/>
              <a:ea typeface="+mn-ea"/>
              <a:cs typeface="+mn-cs"/>
            </a:rPr>
            <a:t>MOE</a:t>
          </a:r>
          <a:r>
            <a:rPr lang="en-US" sz="1200" i="1" baseline="-25000">
              <a:solidFill>
                <a:schemeClr val="dk1"/>
              </a:solidFill>
              <a:latin typeface="+mn-lt"/>
              <a:ea typeface="+mn-ea"/>
              <a:cs typeface="+mn-cs"/>
            </a:rPr>
            <a:t>acute or chronic</a:t>
          </a:r>
          <a:r>
            <a:rPr lang="en-US" sz="1200" i="1" baseline="0">
              <a:solidFill>
                <a:schemeClr val="dk1"/>
              </a:solidFill>
              <a:latin typeface="+mn-lt"/>
              <a:ea typeface="+mn-ea"/>
              <a:cs typeface="+mn-cs"/>
            </a:rPr>
            <a:t> ≥ MOE</a:t>
          </a:r>
          <a:r>
            <a:rPr lang="en-US" sz="1200" i="1" baseline="-25000">
              <a:solidFill>
                <a:schemeClr val="dk1"/>
              </a:solidFill>
              <a:latin typeface="+mn-lt"/>
              <a:ea typeface="+mn-ea"/>
              <a:cs typeface="+mn-cs"/>
            </a:rPr>
            <a:t>benchmark</a:t>
          </a:r>
          <a:endParaRPr lang="en-US" sz="1200" i="0"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200" i="0" baseline="0">
              <a:solidFill>
                <a:schemeClr val="dk1"/>
              </a:solidFill>
              <a:latin typeface="+mn-lt"/>
              <a:ea typeface="+mn-ea"/>
              <a:cs typeface="+mn-cs"/>
            </a:rPr>
            <a:t>                                  </a:t>
          </a:r>
          <a:r>
            <a:rPr lang="en-US" sz="1200" i="1" baseline="0">
              <a:solidFill>
                <a:schemeClr val="dk1"/>
              </a:solidFill>
              <a:latin typeface="+mn-lt"/>
              <a:ea typeface="+mn-ea"/>
              <a:cs typeface="+mn-cs"/>
            </a:rPr>
            <a:t>Cancer Risk ≤ Benchmark Cancer Risk Level</a:t>
          </a:r>
        </a:p>
        <a:p>
          <a:pPr marL="0" marR="0" indent="0" defTabSz="914400" eaLnBrk="1" fontAlgn="auto" latinLnBrk="0" hangingPunct="1">
            <a:lnSpc>
              <a:spcPct val="100000"/>
            </a:lnSpc>
            <a:spcBef>
              <a:spcPts val="0"/>
            </a:spcBef>
            <a:spcAft>
              <a:spcPts val="0"/>
            </a:spcAft>
            <a:buClrTx/>
            <a:buSzTx/>
            <a:buFontTx/>
            <a:buNone/>
            <a:tabLst/>
            <a:defRPr/>
          </a:pPr>
          <a:r>
            <a:rPr lang="en-US" sz="1000" i="1" baseline="0">
              <a:solidFill>
                <a:schemeClr val="dk1"/>
              </a:solidFill>
              <a:latin typeface="+mn-lt"/>
              <a:ea typeface="+mn-ea"/>
              <a:cs typeface="+mn-cs"/>
            </a:rPr>
            <a:t>	</a:t>
          </a:r>
          <a:endParaRPr lang="en-US" sz="1000" i="1">
            <a:solidFill>
              <a:schemeClr val="dk1"/>
            </a:solidFill>
            <a:latin typeface="+mn-lt"/>
            <a:ea typeface="+mn-ea"/>
            <a:cs typeface="+mn-cs"/>
          </a:endParaRPr>
        </a:p>
      </xdr:txBody>
    </xdr:sp>
    <xdr:clientData/>
  </xdr:twoCellAnchor>
  <xdr:twoCellAnchor>
    <xdr:from>
      <xdr:col>15</xdr:col>
      <xdr:colOff>113625</xdr:colOff>
      <xdr:row>2</xdr:row>
      <xdr:rowOff>270680</xdr:rowOff>
    </xdr:from>
    <xdr:to>
      <xdr:col>15</xdr:col>
      <xdr:colOff>429141</xdr:colOff>
      <xdr:row>2</xdr:row>
      <xdr:rowOff>461587</xdr:rowOff>
    </xdr:to>
    <xdr:sp macro="" textlink="">
      <xdr:nvSpPr>
        <xdr:cNvPr id="15" name="Rectangle 14">
          <a:extLst>
            <a:ext uri="{FF2B5EF4-FFF2-40B4-BE49-F238E27FC236}">
              <a16:creationId xmlns:a16="http://schemas.microsoft.com/office/drawing/2014/main" id="{EF3E73CA-A5EC-4E2C-9330-25B8554F139A}"/>
            </a:ext>
          </a:extLst>
        </xdr:cNvPr>
        <xdr:cNvSpPr/>
      </xdr:nvSpPr>
      <xdr:spPr>
        <a:xfrm>
          <a:off x="17830125" y="474787"/>
          <a:ext cx="315516" cy="190907"/>
        </a:xfrm>
        <a:prstGeom prst="rect">
          <a:avLst/>
        </a:prstGeom>
        <a:ln>
          <a:solidFill>
            <a:sysClr val="windowText" lastClr="000000"/>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a:p>
      </xdr:txBody>
    </xdr:sp>
    <xdr:clientData/>
  </xdr:twoCellAnchor>
  <xdr:twoCellAnchor>
    <xdr:from>
      <xdr:col>15</xdr:col>
      <xdr:colOff>118321</xdr:colOff>
      <xdr:row>3</xdr:row>
      <xdr:rowOff>352005</xdr:rowOff>
    </xdr:from>
    <xdr:to>
      <xdr:col>15</xdr:col>
      <xdr:colOff>433837</xdr:colOff>
      <xdr:row>3</xdr:row>
      <xdr:rowOff>542912</xdr:rowOff>
    </xdr:to>
    <xdr:sp macro="" textlink="">
      <xdr:nvSpPr>
        <xdr:cNvPr id="16" name="Rectangle 15">
          <a:extLst>
            <a:ext uri="{FF2B5EF4-FFF2-40B4-BE49-F238E27FC236}">
              <a16:creationId xmlns:a16="http://schemas.microsoft.com/office/drawing/2014/main" id="{7701885C-53D1-48D3-A818-5D53C6244815}"/>
            </a:ext>
          </a:extLst>
        </xdr:cNvPr>
        <xdr:cNvSpPr/>
      </xdr:nvSpPr>
      <xdr:spPr>
        <a:xfrm>
          <a:off x="17834821" y="1073184"/>
          <a:ext cx="315516" cy="190907"/>
        </a:xfrm>
        <a:prstGeom prst="rect">
          <a:avLst/>
        </a:prstGeom>
        <a:solidFill>
          <a:srgbClr val="00B050"/>
        </a:solidFill>
        <a:ln>
          <a:solidFill>
            <a:sysClr val="windowText" lastClr="000000"/>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a:p>
      </xdr:txBody>
    </xdr:sp>
    <xdr:clientData/>
  </xdr:twoCellAnchor>
</xdr:wsDr>
</file>

<file path=xl/drawings/drawing4.xml><?xml version="1.0" encoding="utf-8"?>
<c:userShapes xmlns:c="http://schemas.openxmlformats.org/drawingml/2006/chart">
  <cdr:relSizeAnchor xmlns:cdr="http://schemas.openxmlformats.org/drawingml/2006/chartDrawing">
    <cdr:from>
      <cdr:x>0.25768</cdr:x>
      <cdr:y>0.82505</cdr:y>
    </cdr:from>
    <cdr:to>
      <cdr:x>0.3571</cdr:x>
      <cdr:y>1</cdr:y>
    </cdr:to>
    <cdr:sp macro="" textlink="">
      <cdr:nvSpPr>
        <cdr:cNvPr id="2" name="TextBox 1">
          <a:extLst xmlns:a="http://schemas.openxmlformats.org/drawingml/2006/main">
            <a:ext uri="{FF2B5EF4-FFF2-40B4-BE49-F238E27FC236}">
              <a16:creationId xmlns:a16="http://schemas.microsoft.com/office/drawing/2014/main" id="{3E935B40-8D46-4E6F-8FA8-66F9F6AA20D1}"/>
            </a:ext>
          </a:extLst>
        </cdr:cNvPr>
        <cdr:cNvSpPr txBox="1"/>
      </cdr:nvSpPr>
      <cdr:spPr>
        <a:xfrm xmlns:a="http://schemas.openxmlformats.org/drawingml/2006/main">
          <a:off x="2370043" y="4446332"/>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0.03381</cdr:x>
      <cdr:y>0.92304</cdr:y>
    </cdr:from>
    <cdr:to>
      <cdr:x>0.97149</cdr:x>
      <cdr:y>0.96509</cdr:y>
    </cdr:to>
    <cdr:sp macro="" textlink="">
      <cdr:nvSpPr>
        <cdr:cNvPr id="3" name="TextBox 2">
          <a:extLst xmlns:a="http://schemas.openxmlformats.org/drawingml/2006/main">
            <a:ext uri="{FF2B5EF4-FFF2-40B4-BE49-F238E27FC236}">
              <a16:creationId xmlns:a16="http://schemas.microsoft.com/office/drawing/2014/main" id="{011142BF-487C-4CE3-9EAB-F511C049FD27}"/>
            </a:ext>
          </a:extLst>
        </cdr:cNvPr>
        <cdr:cNvSpPr txBox="1"/>
      </cdr:nvSpPr>
      <cdr:spPr>
        <a:xfrm xmlns:a="http://schemas.openxmlformats.org/drawingml/2006/main">
          <a:off x="325421" y="5181116"/>
          <a:ext cx="9025407" cy="23602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00"/>
            <a:t>*In lieu of ONU-specific exposure data for Import/Repackaging, Industrial Processing Aid, and Additive, EPA assessed ONU exposures at the worker central tendency.</a:t>
          </a:r>
        </a:p>
      </cdr:txBody>
    </cdr:sp>
  </cdr:relSizeAnchor>
  <cdr:relSizeAnchor xmlns:cdr="http://schemas.openxmlformats.org/drawingml/2006/chartDrawing">
    <cdr:from>
      <cdr:x>0.17714</cdr:x>
      <cdr:y>0.91571</cdr:y>
    </cdr:from>
    <cdr:to>
      <cdr:x>0.85175</cdr:x>
      <cdr:y>0.96347</cdr:y>
    </cdr:to>
    <cdr:sp macro="" textlink="">
      <cdr:nvSpPr>
        <cdr:cNvPr id="4" name="TextBox 1">
          <a:extLst xmlns:a="http://schemas.openxmlformats.org/drawingml/2006/main">
            <a:ext uri="{FF2B5EF4-FFF2-40B4-BE49-F238E27FC236}">
              <a16:creationId xmlns:a16="http://schemas.microsoft.com/office/drawing/2014/main" id="{D2A68A17-F9D9-4C02-B3EC-4FA2E330F47B}"/>
            </a:ext>
          </a:extLst>
        </cdr:cNvPr>
        <cdr:cNvSpPr txBox="1"/>
      </cdr:nvSpPr>
      <cdr:spPr>
        <a:xfrm xmlns:a="http://schemas.openxmlformats.org/drawingml/2006/main">
          <a:off x="1629228" y="4786086"/>
          <a:ext cx="6204857" cy="249634"/>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US" sz="1000"/>
        </a:p>
      </cdr:txBody>
    </cdr:sp>
  </cdr:relSizeAnchor>
</c:userShapes>
</file>

<file path=xl/drawings/drawing5.xml><?xml version="1.0" encoding="utf-8"?>
<xdr:wsDr xmlns:xdr="http://schemas.openxmlformats.org/drawingml/2006/spreadsheetDrawing" xmlns:a="http://schemas.openxmlformats.org/drawingml/2006/main">
  <xdr:twoCellAnchor>
    <xdr:from>
      <xdr:col>7</xdr:col>
      <xdr:colOff>100853</xdr:colOff>
      <xdr:row>32</xdr:row>
      <xdr:rowOff>116301</xdr:rowOff>
    </xdr:from>
    <xdr:to>
      <xdr:col>13</xdr:col>
      <xdr:colOff>529478</xdr:colOff>
      <xdr:row>54</xdr:row>
      <xdr:rowOff>11207</xdr:rowOff>
    </xdr:to>
    <xdr:graphicFrame macro="">
      <xdr:nvGraphicFramePr>
        <xdr:cNvPr id="2" name="Chart 1">
          <a:extLst>
            <a:ext uri="{FF2B5EF4-FFF2-40B4-BE49-F238E27FC236}">
              <a16:creationId xmlns:a16="http://schemas.microsoft.com/office/drawing/2014/main" id="{8CB4247C-332E-4763-97FF-EFEB2DD09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23</xdr:col>
      <xdr:colOff>15874</xdr:colOff>
      <xdr:row>33</xdr:row>
      <xdr:rowOff>161926</xdr:rowOff>
    </xdr:from>
    <xdr:to>
      <xdr:col>29</xdr:col>
      <xdr:colOff>785811</xdr:colOff>
      <xdr:row>54</xdr:row>
      <xdr:rowOff>82211</xdr:rowOff>
    </xdr:to>
    <xdr:graphicFrame macro="">
      <xdr:nvGraphicFramePr>
        <xdr:cNvPr id="3" name="Chart 2">
          <a:extLst>
            <a:ext uri="{FF2B5EF4-FFF2-40B4-BE49-F238E27FC236}">
              <a16:creationId xmlns:a16="http://schemas.microsoft.com/office/drawing/2014/main" id="{602F6EB5-1B54-42FD-9799-5710EB37BE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64199</xdr:colOff>
      <xdr:row>3</xdr:row>
      <xdr:rowOff>14006</xdr:rowOff>
    </xdr:from>
    <xdr:to>
      <xdr:col>5</xdr:col>
      <xdr:colOff>703167</xdr:colOff>
      <xdr:row>8</xdr:row>
      <xdr:rowOff>48324</xdr:rowOff>
    </xdr:to>
    <xdr:grpSp>
      <xdr:nvGrpSpPr>
        <xdr:cNvPr id="7" name="Group 6">
          <a:extLst>
            <a:ext uri="{FF2B5EF4-FFF2-40B4-BE49-F238E27FC236}">
              <a16:creationId xmlns:a16="http://schemas.microsoft.com/office/drawing/2014/main" id="{41773A0E-1C6D-4203-B8EF-C874C2DEE4F9}"/>
            </a:ext>
          </a:extLst>
        </xdr:cNvPr>
        <xdr:cNvGrpSpPr/>
      </xdr:nvGrpSpPr>
      <xdr:grpSpPr>
        <a:xfrm>
          <a:off x="303685" y="547406"/>
          <a:ext cx="3774053" cy="1482118"/>
          <a:chOff x="302324" y="347381"/>
          <a:chExt cx="3686968" cy="1451162"/>
        </a:xfrm>
      </xdr:grpSpPr>
      <xdr:sp macro="" textlink="">
        <xdr:nvSpPr>
          <xdr:cNvPr id="4" name="TextBox 3">
            <a:extLst>
              <a:ext uri="{FF2B5EF4-FFF2-40B4-BE49-F238E27FC236}">
                <a16:creationId xmlns:a16="http://schemas.microsoft.com/office/drawing/2014/main" id="{2C23DA81-FB55-437E-9302-C2E02213CA4A}"/>
              </a:ext>
            </a:extLst>
          </xdr:cNvPr>
          <xdr:cNvSpPr txBox="1"/>
        </xdr:nvSpPr>
        <xdr:spPr>
          <a:xfrm>
            <a:off x="302324" y="347381"/>
            <a:ext cx="3686968" cy="1451162"/>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000" b="1"/>
              <a:t>Key</a:t>
            </a:r>
            <a:endParaRPr lang="en-US" sz="1000"/>
          </a:p>
          <a:p>
            <a:r>
              <a:rPr lang="en-US" sz="1000"/>
              <a:t>             =  </a:t>
            </a:r>
            <a:r>
              <a:rPr lang="en-US" sz="1000">
                <a:solidFill>
                  <a:srgbClr val="FF0000"/>
                </a:solidFill>
              </a:rPr>
              <a:t>Risk</a:t>
            </a:r>
            <a:r>
              <a:rPr lang="en-US" sz="1000"/>
              <a:t>.  </a:t>
            </a:r>
            <a:r>
              <a:rPr lang="en-US" sz="1000" baseline="0"/>
              <a:t>       </a:t>
            </a:r>
            <a:r>
              <a:rPr lang="en-US" sz="1000" i="1"/>
              <a:t>MOE</a:t>
            </a:r>
            <a:r>
              <a:rPr lang="en-US" sz="1000" i="1" baseline="-25000"/>
              <a:t>acute or chronic</a:t>
            </a:r>
            <a:r>
              <a:rPr lang="en-US" sz="1000" i="1" baseline="0"/>
              <a:t> &lt; MOE</a:t>
            </a:r>
            <a:r>
              <a:rPr lang="en-US" sz="1000" i="1" baseline="-25000"/>
              <a:t>benchmark</a:t>
            </a:r>
            <a:endParaRPr lang="en-US" sz="1000" i="0" baseline="0"/>
          </a:p>
          <a:p>
            <a:r>
              <a:rPr lang="en-US" sz="1000" i="0" baseline="0"/>
              <a:t>                                  </a:t>
            </a:r>
            <a:r>
              <a:rPr lang="en-US" sz="1000" i="1" baseline="0"/>
              <a:t>Cancer Risk &gt; Benchmark Cancer Risk Level</a:t>
            </a:r>
          </a:p>
          <a:p>
            <a:endParaRPr lang="en-US" sz="1000" i="1" baseline="0"/>
          </a:p>
          <a:p>
            <a:pPr marL="0" marR="0" indent="0" defTabSz="914400" eaLnBrk="1" fontAlgn="auto" latinLnBrk="0" hangingPunct="1">
              <a:lnSpc>
                <a:spcPct val="100000"/>
              </a:lnSpc>
              <a:spcBef>
                <a:spcPts val="0"/>
              </a:spcBef>
              <a:spcAft>
                <a:spcPts val="0"/>
              </a:spcAft>
              <a:buClrTx/>
              <a:buSzTx/>
              <a:buFontTx/>
              <a:buNone/>
              <a:tabLst/>
              <a:defRPr/>
            </a:pPr>
            <a:r>
              <a:rPr lang="en-US" sz="1000">
                <a:solidFill>
                  <a:schemeClr val="dk1"/>
                </a:solidFill>
                <a:latin typeface="+mn-lt"/>
                <a:ea typeface="+mn-ea"/>
                <a:cs typeface="+mn-cs"/>
              </a:rPr>
              <a:t>             =  </a:t>
            </a:r>
            <a:r>
              <a:rPr lang="en-US" sz="1000">
                <a:solidFill>
                  <a:srgbClr val="339933"/>
                </a:solidFill>
                <a:latin typeface="+mn-lt"/>
                <a:ea typeface="+mn-ea"/>
                <a:cs typeface="+mn-cs"/>
              </a:rPr>
              <a:t>No Risk</a:t>
            </a:r>
            <a:r>
              <a:rPr lang="en-US" sz="1000">
                <a:solidFill>
                  <a:schemeClr val="dk1"/>
                </a:solidFill>
                <a:latin typeface="+mn-lt"/>
                <a:ea typeface="+mn-ea"/>
                <a:cs typeface="+mn-cs"/>
              </a:rPr>
              <a:t>.   </a:t>
            </a:r>
            <a:r>
              <a:rPr lang="en-US" sz="1000" i="1">
                <a:solidFill>
                  <a:schemeClr val="dk1"/>
                </a:solidFill>
                <a:latin typeface="+mn-lt"/>
                <a:ea typeface="+mn-ea"/>
                <a:cs typeface="+mn-cs"/>
              </a:rPr>
              <a:t>MOE</a:t>
            </a:r>
            <a:r>
              <a:rPr lang="en-US" sz="1000" i="1" baseline="-25000">
                <a:solidFill>
                  <a:schemeClr val="dk1"/>
                </a:solidFill>
                <a:latin typeface="+mn-lt"/>
                <a:ea typeface="+mn-ea"/>
                <a:cs typeface="+mn-cs"/>
              </a:rPr>
              <a:t>acute or chronic</a:t>
            </a:r>
            <a:r>
              <a:rPr lang="en-US" sz="1000" i="1" baseline="0">
                <a:solidFill>
                  <a:schemeClr val="dk1"/>
                </a:solidFill>
                <a:latin typeface="+mn-lt"/>
                <a:ea typeface="+mn-ea"/>
                <a:cs typeface="+mn-cs"/>
              </a:rPr>
              <a:t> ≥ MOE</a:t>
            </a:r>
            <a:r>
              <a:rPr lang="en-US" sz="1000" i="1" baseline="-25000">
                <a:solidFill>
                  <a:schemeClr val="dk1"/>
                </a:solidFill>
                <a:latin typeface="+mn-lt"/>
                <a:ea typeface="+mn-ea"/>
                <a:cs typeface="+mn-cs"/>
              </a:rPr>
              <a:t>benchmark</a:t>
            </a:r>
            <a:endParaRPr lang="en-US" sz="1000" i="0"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000" i="0" baseline="0">
                <a:solidFill>
                  <a:schemeClr val="dk1"/>
                </a:solidFill>
                <a:latin typeface="+mn-lt"/>
                <a:ea typeface="+mn-ea"/>
                <a:cs typeface="+mn-cs"/>
              </a:rPr>
              <a:t>                                  </a:t>
            </a:r>
            <a:r>
              <a:rPr lang="en-US" sz="1000" i="1" baseline="0">
                <a:solidFill>
                  <a:schemeClr val="dk1"/>
                </a:solidFill>
                <a:latin typeface="+mn-lt"/>
                <a:ea typeface="+mn-ea"/>
                <a:cs typeface="+mn-cs"/>
              </a:rPr>
              <a:t>Cancer Risk ≤ Benchmark Cancer Risk Level</a:t>
            </a:r>
          </a:p>
          <a:p>
            <a:pPr marL="0" marR="0" indent="0" defTabSz="914400" eaLnBrk="1" fontAlgn="auto" latinLnBrk="0" hangingPunct="1">
              <a:lnSpc>
                <a:spcPct val="100000"/>
              </a:lnSpc>
              <a:spcBef>
                <a:spcPts val="0"/>
              </a:spcBef>
              <a:spcAft>
                <a:spcPts val="0"/>
              </a:spcAft>
              <a:buClrTx/>
              <a:buSzTx/>
              <a:buFontTx/>
              <a:buNone/>
              <a:tabLst/>
              <a:defRPr/>
            </a:pPr>
            <a:r>
              <a:rPr lang="en-US" sz="1000" i="1" baseline="0">
                <a:solidFill>
                  <a:schemeClr val="dk1"/>
                </a:solidFill>
                <a:latin typeface="+mn-lt"/>
                <a:ea typeface="+mn-ea"/>
                <a:cs typeface="+mn-cs"/>
              </a:rPr>
              <a:t>	</a:t>
            </a:r>
            <a:endParaRPr lang="en-US" sz="1000" i="1">
              <a:solidFill>
                <a:schemeClr val="dk1"/>
              </a:solidFill>
              <a:latin typeface="+mn-lt"/>
              <a:ea typeface="+mn-ea"/>
              <a:cs typeface="+mn-cs"/>
            </a:endParaRPr>
          </a:p>
        </xdr:txBody>
      </xdr:sp>
      <xdr:sp macro="" textlink="">
        <xdr:nvSpPr>
          <xdr:cNvPr id="5" name="Rectangle 4">
            <a:extLst>
              <a:ext uri="{FF2B5EF4-FFF2-40B4-BE49-F238E27FC236}">
                <a16:creationId xmlns:a16="http://schemas.microsoft.com/office/drawing/2014/main" id="{02A404E1-D77D-4DB1-B54B-8A09382A2065}"/>
              </a:ext>
            </a:extLst>
          </xdr:cNvPr>
          <xdr:cNvSpPr/>
        </xdr:nvSpPr>
        <xdr:spPr>
          <a:xfrm>
            <a:off x="392906" y="559594"/>
            <a:ext cx="285750" cy="214312"/>
          </a:xfrm>
          <a:prstGeom prst="rect">
            <a:avLst/>
          </a:prstGeom>
          <a:ln>
            <a:solidFill>
              <a:sysClr val="windowText" lastClr="000000"/>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a:p>
        </xdr:txBody>
      </xdr:sp>
      <xdr:sp macro="" textlink="">
        <xdr:nvSpPr>
          <xdr:cNvPr id="6" name="Rectangle 5">
            <a:extLst>
              <a:ext uri="{FF2B5EF4-FFF2-40B4-BE49-F238E27FC236}">
                <a16:creationId xmlns:a16="http://schemas.microsoft.com/office/drawing/2014/main" id="{2C07B297-C922-4778-B934-A6E528643F02}"/>
              </a:ext>
            </a:extLst>
          </xdr:cNvPr>
          <xdr:cNvSpPr/>
        </xdr:nvSpPr>
        <xdr:spPr>
          <a:xfrm>
            <a:off x="409481" y="1002225"/>
            <a:ext cx="285750" cy="214312"/>
          </a:xfrm>
          <a:prstGeom prst="rect">
            <a:avLst/>
          </a:prstGeom>
          <a:solidFill>
            <a:srgbClr val="00B050"/>
          </a:solidFill>
          <a:ln>
            <a:solidFill>
              <a:sysClr val="windowText" lastClr="000000"/>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US" sz="1100"/>
          </a:p>
        </xdr:txBody>
      </xdr:sp>
    </xdr:grpSp>
    <xdr:clientData/>
  </xdr:twoCellAnchor>
</xdr:wsDr>
</file>

<file path=xl/drawings/drawing6.xml><?xml version="1.0" encoding="utf-8"?>
<c:userShapes xmlns:c="http://schemas.openxmlformats.org/drawingml/2006/chart">
  <cdr:relSizeAnchor xmlns:cdr="http://schemas.openxmlformats.org/drawingml/2006/chartDrawing">
    <cdr:from>
      <cdr:x>0.06822</cdr:x>
      <cdr:y>0.91657</cdr:y>
    </cdr:from>
    <cdr:to>
      <cdr:x>0.86059</cdr:x>
      <cdr:y>1</cdr:y>
    </cdr:to>
    <cdr:sp macro="" textlink="">
      <cdr:nvSpPr>
        <cdr:cNvPr id="2" name="TextBox 1">
          <a:extLst xmlns:a="http://schemas.openxmlformats.org/drawingml/2006/main">
            <a:ext uri="{FF2B5EF4-FFF2-40B4-BE49-F238E27FC236}">
              <a16:creationId xmlns:a16="http://schemas.microsoft.com/office/drawing/2014/main" id="{CFA2FA50-EE9C-499D-9337-318465AD5479}"/>
            </a:ext>
          </a:extLst>
        </cdr:cNvPr>
        <cdr:cNvSpPr txBox="1"/>
      </cdr:nvSpPr>
      <cdr:spPr>
        <a:xfrm xmlns:a="http://schemas.openxmlformats.org/drawingml/2006/main">
          <a:off x="515471" y="3200641"/>
          <a:ext cx="5986743" cy="29135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US" sz="900">
              <a:effectLst/>
              <a:latin typeface="+mn-lt"/>
              <a:ea typeface="+mn-ea"/>
              <a:cs typeface="+mn-cs"/>
            </a:rPr>
            <a:t>*ONU exposures were considered but no data were identified to estimate exposures and corresponding cancer risks</a:t>
          </a:r>
          <a:endParaRPr lang="en-US" sz="900">
            <a:effectLst/>
          </a:endParaRPr>
        </a:p>
        <a:p xmlns:a="http://schemas.openxmlformats.org/drawingml/2006/main">
          <a:endParaRPr lang="en-US" sz="900"/>
        </a:p>
      </cdr:txBody>
    </cdr:sp>
  </cdr:relSizeAnchor>
  <cdr:relSizeAnchor xmlns:cdr="http://schemas.openxmlformats.org/drawingml/2006/chartDrawing">
    <cdr:from>
      <cdr:x>0.06822</cdr:x>
      <cdr:y>0.87039</cdr:y>
    </cdr:from>
    <cdr:to>
      <cdr:x>0.74601</cdr:x>
      <cdr:y>0.94307</cdr:y>
    </cdr:to>
    <cdr:sp macro="" textlink="">
      <cdr:nvSpPr>
        <cdr:cNvPr id="3" name="TextBox 2">
          <a:extLst xmlns:a="http://schemas.openxmlformats.org/drawingml/2006/main">
            <a:ext uri="{FF2B5EF4-FFF2-40B4-BE49-F238E27FC236}">
              <a16:creationId xmlns:a16="http://schemas.microsoft.com/office/drawing/2014/main" id="{230E94DA-3092-4464-A4A3-185240896AF9}"/>
            </a:ext>
          </a:extLst>
        </cdr:cNvPr>
        <cdr:cNvSpPr txBox="1"/>
      </cdr:nvSpPr>
      <cdr:spPr>
        <a:xfrm xmlns:a="http://schemas.openxmlformats.org/drawingml/2006/main">
          <a:off x="515471" y="2912588"/>
          <a:ext cx="5121088" cy="24323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000"/>
        </a:p>
      </cdr:txBody>
    </cdr:sp>
  </cdr:relSizeAnchor>
  <cdr:relSizeAnchor xmlns:cdr="http://schemas.openxmlformats.org/drawingml/2006/chartDrawing">
    <cdr:from>
      <cdr:x>0.0766</cdr:x>
      <cdr:y>0.8627</cdr:y>
    </cdr:from>
    <cdr:to>
      <cdr:x>0.4898</cdr:x>
      <cdr:y>0.92968</cdr:y>
    </cdr:to>
    <cdr:sp macro="" textlink="RR!$H$63">
      <cdr:nvSpPr>
        <cdr:cNvPr id="4" name="TextBox 3">
          <a:extLst xmlns:a="http://schemas.openxmlformats.org/drawingml/2006/main">
            <a:ext uri="{FF2B5EF4-FFF2-40B4-BE49-F238E27FC236}">
              <a16:creationId xmlns:a16="http://schemas.microsoft.com/office/drawing/2014/main" id="{EAFD1F28-789D-4C2F-B30F-E893B8F0FFAF}"/>
            </a:ext>
          </a:extLst>
        </cdr:cNvPr>
        <cdr:cNvSpPr txBox="1"/>
      </cdr:nvSpPr>
      <cdr:spPr>
        <a:xfrm xmlns:a="http://schemas.openxmlformats.org/drawingml/2006/main">
          <a:off x="578783" y="2886877"/>
          <a:ext cx="3121960" cy="224118"/>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BEA0B0F7-973F-43C0-B989-C09A13F68C73}" type="TxLink">
            <a:rPr lang="en-US" sz="1000" b="0" i="0" u="none" strike="noStrike">
              <a:solidFill>
                <a:srgbClr val="000000"/>
              </a:solidFill>
              <a:latin typeface="Calibri"/>
              <a:cs typeface="Calibri"/>
            </a:rPr>
            <a:pPr/>
            <a:t> </a:t>
          </a:fld>
          <a:endParaRPr lang="en-US" sz="11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209EA-77C7-404D-892F-4B7ECD6C6A2A}">
  <dimension ref="B8:B12"/>
  <sheetViews>
    <sheetView tabSelected="1" workbookViewId="0">
      <selection activeCell="H6" sqref="H6"/>
    </sheetView>
  </sheetViews>
  <sheetFormatPr defaultRowHeight="14.4" x14ac:dyDescent="0.3"/>
  <sheetData>
    <row r="8" spans="2:2" ht="22.8" x14ac:dyDescent="0.4">
      <c r="B8" s="10" t="s">
        <v>411</v>
      </c>
    </row>
    <row r="9" spans="2:2" ht="22.8" x14ac:dyDescent="0.4">
      <c r="B9" s="10" t="s">
        <v>0</v>
      </c>
    </row>
    <row r="10" spans="2:2" ht="22.8" x14ac:dyDescent="0.3">
      <c r="B10" s="7" t="s">
        <v>1</v>
      </c>
    </row>
    <row r="11" spans="2:2" ht="22.8" x14ac:dyDescent="0.3">
      <c r="B11" s="8" t="s">
        <v>2</v>
      </c>
    </row>
    <row r="12" spans="2:2" ht="22.8" x14ac:dyDescent="0.3">
      <c r="B12" s="8" t="s">
        <v>3</v>
      </c>
    </row>
  </sheetData>
  <sheetProtection algorithmName="SHA-512" hashValue="c/on5R0FY5Vbwpemg2sE0jbqRagPkKbLHdFnX9jess8dXTwjo4BbxJpOfEg4GxsYmFMTHKsohWnmx004kZ0hrA==" saltValue="kWCTkjGLKaS9LfSMLL+U1Q==" spinCount="100000" sheet="1" objects="1" scenarios="1"/>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E21B0-FEC9-4069-90AA-89169653F92E}">
  <dimension ref="A1:B13"/>
  <sheetViews>
    <sheetView workbookViewId="0">
      <selection activeCell="B11" sqref="B11"/>
    </sheetView>
  </sheetViews>
  <sheetFormatPr defaultColWidth="8.88671875" defaultRowHeight="13.8" x14ac:dyDescent="0.25"/>
  <cols>
    <col min="1" max="1" width="20.6640625" style="12" customWidth="1"/>
    <col min="2" max="2" width="157.6640625" style="12" customWidth="1"/>
    <col min="3" max="16384" width="8.88671875" style="12"/>
  </cols>
  <sheetData>
    <row r="1" spans="1:2" ht="17.399999999999999" x14ac:dyDescent="0.3">
      <c r="A1" s="612" t="s">
        <v>360</v>
      </c>
    </row>
    <row r="2" spans="1:2" x14ac:dyDescent="0.25">
      <c r="A2" s="11"/>
    </row>
    <row r="3" spans="1:2" x14ac:dyDescent="0.25">
      <c r="A3" s="613" t="s">
        <v>400</v>
      </c>
      <c r="B3" s="613" t="s">
        <v>6</v>
      </c>
    </row>
    <row r="4" spans="1:2" x14ac:dyDescent="0.25">
      <c r="A4" s="614" t="s">
        <v>394</v>
      </c>
      <c r="B4" s="12" t="s">
        <v>402</v>
      </c>
    </row>
    <row r="5" spans="1:2" x14ac:dyDescent="0.25">
      <c r="A5" s="614" t="s">
        <v>7</v>
      </c>
      <c r="B5" s="12" t="s">
        <v>401</v>
      </c>
    </row>
    <row r="6" spans="1:2" x14ac:dyDescent="0.25">
      <c r="A6" s="614" t="s">
        <v>8</v>
      </c>
      <c r="B6" s="12" t="s">
        <v>408</v>
      </c>
    </row>
    <row r="7" spans="1:2" x14ac:dyDescent="0.25">
      <c r="A7" s="614" t="s">
        <v>395</v>
      </c>
      <c r="B7" s="12" t="s">
        <v>407</v>
      </c>
    </row>
    <row r="8" spans="1:2" x14ac:dyDescent="0.25">
      <c r="A8" s="614" t="s">
        <v>396</v>
      </c>
      <c r="B8" s="12" t="s">
        <v>410</v>
      </c>
    </row>
    <row r="9" spans="1:2" x14ac:dyDescent="0.25">
      <c r="A9" s="614" t="s">
        <v>397</v>
      </c>
      <c r="B9" s="12" t="s">
        <v>404</v>
      </c>
    </row>
    <row r="10" spans="1:2" x14ac:dyDescent="0.25">
      <c r="A10" s="614" t="s">
        <v>14</v>
      </c>
      <c r="B10" s="12" t="s">
        <v>405</v>
      </c>
    </row>
    <row r="11" spans="1:2" x14ac:dyDescent="0.25">
      <c r="A11" s="614" t="s">
        <v>398</v>
      </c>
      <c r="B11" s="12" t="s">
        <v>409</v>
      </c>
    </row>
    <row r="12" spans="1:2" x14ac:dyDescent="0.25">
      <c r="A12" s="614" t="s">
        <v>235</v>
      </c>
      <c r="B12" s="12" t="s">
        <v>406</v>
      </c>
    </row>
    <row r="13" spans="1:2" x14ac:dyDescent="0.25">
      <c r="A13" s="614" t="s">
        <v>399</v>
      </c>
      <c r="B13" s="12" t="s">
        <v>403</v>
      </c>
    </row>
  </sheetData>
  <sheetProtection algorithmName="SHA-512" hashValue="oY+DZqs3XB6+Dl+3bxPfOEZ0E1QzYv488wtlrO3ZWjZGr4TKvsAYMSC+tW7WUadmTte44iP/1CEessPo25/2lQ==" saltValue="pYIna02JUL0pXoiESA2rPA==" spinCount="100000" sheet="1" objects="1" scenarios="1"/>
  <hyperlinks>
    <hyperlink ref="A4" location="'Read Me'!A1" display="Read Me" xr:uid="{9DE231D9-5601-4676-88E8-F6568126C0F7}"/>
    <hyperlink ref="A5" location="Dashboard!A1" display="Dashboard" xr:uid="{758A6BBB-220B-4C52-802D-C88E6D3F6D1D}"/>
    <hyperlink ref="A6" location="RR!A1" display="RR" xr:uid="{43FAE3F3-CADB-46D1-8A39-66AFA377DBF5}"/>
    <hyperlink ref="A7" location="'Health Data'!A1" display="Health Data" xr:uid="{1EAB0FE7-68AB-4CB2-AFB0-3562428E6F8C}"/>
    <hyperlink ref="A8" location="'Dermal Crosswalk'!A1" display="Dermal Crosswalk" xr:uid="{0A8545FA-10DA-4AF3-BE1B-E728759C21D5}"/>
    <hyperlink ref="A9" location="'Dermal Exposure'!A1" display="Dermal Exposure" xr:uid="{15E5ECCB-9421-4306-913E-AB5FE6027651}"/>
    <hyperlink ref="A10" location="'Inhalation Exposure'!A1" display="Inhalation Exposure" xr:uid="{4E9636A0-122F-48B5-B77A-4D50616D8558}"/>
    <hyperlink ref="A11" location="'List Values'!A1" display="List Values" xr:uid="{A18B26A9-1B5A-4FC3-B3E9-646901B51A0C}"/>
    <hyperlink ref="A12" location="'Exposure Factors'!A1" display="Exposure Factors" xr:uid="{D1B3410E-A828-4434-BEF4-243CFADBF597}"/>
    <hyperlink ref="A13" location="'Manufacture_raw data'!A1" display="Manufacture_raw data" xr:uid="{B9569004-2235-4940-A271-F8495A2DAE35}"/>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9BB43-B8F3-40C6-AD47-04BCB55677D6}">
  <dimension ref="A1:B21"/>
  <sheetViews>
    <sheetView workbookViewId="0"/>
  </sheetViews>
  <sheetFormatPr defaultRowHeight="14.4" x14ac:dyDescent="0.3"/>
  <cols>
    <col min="1" max="1" width="18" style="12" customWidth="1"/>
    <col min="2" max="2" width="100.44140625" style="12" customWidth="1"/>
  </cols>
  <sheetData>
    <row r="1" spans="1:2" ht="30.75" customHeight="1" x14ac:dyDescent="0.3">
      <c r="B1" s="13"/>
    </row>
    <row r="2" spans="1:2" ht="15" thickBot="1" x14ac:dyDescent="0.35">
      <c r="A2" s="14" t="s">
        <v>4</v>
      </c>
      <c r="B2" s="15"/>
    </row>
    <row r="3" spans="1:2" ht="75" customHeight="1" thickTop="1" x14ac:dyDescent="0.3">
      <c r="A3" s="621" t="s">
        <v>361</v>
      </c>
      <c r="B3" s="622"/>
    </row>
    <row r="4" spans="1:2" x14ac:dyDescent="0.3">
      <c r="A4" s="623"/>
      <c r="B4" s="624"/>
    </row>
    <row r="5" spans="1:2" x14ac:dyDescent="0.3">
      <c r="A5" s="16" t="s">
        <v>5</v>
      </c>
      <c r="B5" s="17" t="s">
        <v>6</v>
      </c>
    </row>
    <row r="6" spans="1:2" ht="219" customHeight="1" x14ac:dyDescent="0.3">
      <c r="A6" s="18" t="s">
        <v>7</v>
      </c>
      <c r="B6" s="19" t="s">
        <v>362</v>
      </c>
    </row>
    <row r="7" spans="1:2" ht="105.75" customHeight="1" x14ac:dyDescent="0.3">
      <c r="A7" s="18" t="s">
        <v>8</v>
      </c>
      <c r="B7" s="19" t="s">
        <v>9</v>
      </c>
    </row>
    <row r="8" spans="1:2" ht="166.5" customHeight="1" thickBot="1" x14ac:dyDescent="0.35">
      <c r="A8" s="20" t="s">
        <v>10</v>
      </c>
      <c r="B8" s="21" t="s">
        <v>11</v>
      </c>
    </row>
    <row r="9" spans="1:2" ht="17.25" customHeight="1" thickTop="1" x14ac:dyDescent="0.3">
      <c r="A9" s="22"/>
      <c r="B9" s="23"/>
    </row>
    <row r="10" spans="1:2" ht="19.5" customHeight="1" x14ac:dyDescent="0.3">
      <c r="A10" s="24" t="s">
        <v>12</v>
      </c>
      <c r="B10" s="23"/>
    </row>
    <row r="21" spans="2:2" x14ac:dyDescent="0.3">
      <c r="B21" s="25"/>
    </row>
  </sheetData>
  <sheetProtection algorithmName="SHA-512" hashValue="BjAKojV+RH56de5raHO1YE7fJT8+Ctvl2rGYRIwWpvo561TFsSr3df5vtwgEmbSJQziLE9NGh+GjPm1sIE5LoA==" saltValue="DydfImBv2gyjobCeOyIGoQ==" spinCount="100000" sheet="1" objects="1" scenarios="1"/>
  <mergeCells count="2">
    <mergeCell ref="A3:B3"/>
    <mergeCell ref="A4:B4"/>
  </mergeCells>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92D050"/>
  </sheetPr>
  <dimension ref="A1:T80"/>
  <sheetViews>
    <sheetView zoomScale="70" zoomScaleNormal="70" workbookViewId="0">
      <selection activeCell="C5" sqref="C5"/>
    </sheetView>
  </sheetViews>
  <sheetFormatPr defaultColWidth="8.88671875" defaultRowHeight="13.8" x14ac:dyDescent="0.3"/>
  <cols>
    <col min="1" max="1" width="6" style="26" customWidth="1"/>
    <col min="2" max="2" width="14.44140625" style="27" hidden="1" customWidth="1"/>
    <col min="3" max="3" width="39" style="26" customWidth="1"/>
    <col min="4" max="4" width="22.88671875" style="27" customWidth="1"/>
    <col min="5" max="5" width="18.109375" style="26" customWidth="1"/>
    <col min="6" max="6" width="19.33203125" style="26" customWidth="1"/>
    <col min="7" max="7" width="19.109375" style="26" customWidth="1"/>
    <col min="8" max="8" width="27.109375" style="26" customWidth="1"/>
    <col min="9" max="9" width="20.6640625" style="26" customWidth="1"/>
    <col min="10" max="10" width="18.88671875" style="26" customWidth="1"/>
    <col min="11" max="11" width="5" style="26" customWidth="1"/>
    <col min="12" max="12" width="12.109375" style="26" hidden="1" customWidth="1"/>
    <col min="13" max="13" width="34.6640625" style="26" customWidth="1"/>
    <col min="14" max="14" width="17.33203125" style="26" customWidth="1"/>
    <col min="15" max="15" width="17.44140625" style="26" customWidth="1"/>
    <col min="16" max="16" width="18.44140625" style="26" customWidth="1"/>
    <col min="17" max="17" width="31.88671875" style="26" customWidth="1"/>
    <col min="18" max="18" width="22.5546875" style="26" customWidth="1"/>
    <col min="19" max="19" width="17.88671875" style="26" customWidth="1"/>
    <col min="20" max="16384" width="8.88671875" style="26"/>
  </cols>
  <sheetData>
    <row r="1" spans="1:18" x14ac:dyDescent="0.3">
      <c r="A1" s="670"/>
      <c r="B1" s="670"/>
      <c r="C1" s="670"/>
      <c r="D1" s="670"/>
      <c r="E1" s="670"/>
      <c r="F1" s="670"/>
      <c r="G1" s="670"/>
      <c r="H1" s="670"/>
      <c r="I1" s="670"/>
      <c r="J1" s="670"/>
      <c r="K1" s="670"/>
      <c r="L1" s="670"/>
      <c r="M1" s="670"/>
      <c r="N1" s="670"/>
    </row>
    <row r="2" spans="1:18" ht="14.4" thickBot="1" x14ac:dyDescent="0.35"/>
    <row r="3" spans="1:18" s="28" customFormat="1" ht="40.5" customHeight="1" thickBot="1" x14ac:dyDescent="0.35">
      <c r="B3" s="29"/>
      <c r="C3" s="30" t="s">
        <v>13</v>
      </c>
      <c r="D3" s="675" t="s">
        <v>14</v>
      </c>
      <c r="E3" s="676"/>
      <c r="I3" s="684" t="s">
        <v>15</v>
      </c>
      <c r="J3" s="685"/>
      <c r="M3" s="684" t="s">
        <v>16</v>
      </c>
      <c r="N3" s="685"/>
    </row>
    <row r="4" spans="1:18" s="28" customFormat="1" ht="59.25" customHeight="1" x14ac:dyDescent="0.3">
      <c r="B4" s="29"/>
      <c r="C4" s="31" t="s">
        <v>17</v>
      </c>
      <c r="D4" s="678" t="s">
        <v>18</v>
      </c>
      <c r="E4" s="679"/>
      <c r="F4" s="678" t="s">
        <v>19</v>
      </c>
      <c r="G4" s="682"/>
      <c r="I4" s="32" t="s">
        <v>20</v>
      </c>
      <c r="J4" s="33" t="s">
        <v>21</v>
      </c>
      <c r="M4" s="686" t="s">
        <v>22</v>
      </c>
      <c r="N4" s="682"/>
    </row>
    <row r="5" spans="1:18" s="28" customFormat="1" ht="18.600000000000001" thickBot="1" x14ac:dyDescent="0.35">
      <c r="B5" s="29"/>
      <c r="C5" s="34" t="s">
        <v>86</v>
      </c>
      <c r="D5" s="680" t="str">
        <f>VLOOKUP($C$5,'Inhalation Exposure'!$C$5:$R$26,16,FALSE)</f>
        <v>Monitoring Data</v>
      </c>
      <c r="E5" s="681"/>
      <c r="F5" s="680" t="str">
        <f>VLOOKUP($C$5,'Inhalation Exposure'!$C$5:$R$26,2,FALSE)</f>
        <v>8-hr</v>
      </c>
      <c r="G5" s="683"/>
      <c r="I5" s="34">
        <v>5</v>
      </c>
      <c r="J5" s="35">
        <v>5</v>
      </c>
      <c r="M5" s="687" t="s">
        <v>24</v>
      </c>
      <c r="N5" s="688"/>
    </row>
    <row r="6" spans="1:18" s="28" customFormat="1" ht="20.399999999999999" x14ac:dyDescent="0.3">
      <c r="A6" s="36"/>
      <c r="B6" s="29"/>
      <c r="E6" s="37"/>
      <c r="F6" s="37"/>
      <c r="G6" s="677"/>
      <c r="H6" s="677"/>
      <c r="I6" s="38"/>
      <c r="J6" s="38"/>
      <c r="P6" s="39"/>
      <c r="Q6" s="40"/>
      <c r="R6" s="41"/>
    </row>
    <row r="7" spans="1:18" s="28" customFormat="1" ht="20.399999999999999" x14ac:dyDescent="0.3">
      <c r="B7" s="29"/>
      <c r="C7" s="41" t="s">
        <v>25</v>
      </c>
      <c r="D7" s="41" t="s">
        <v>26</v>
      </c>
      <c r="E7" s="37"/>
      <c r="F7" s="37"/>
      <c r="G7" s="37"/>
      <c r="H7" s="37"/>
      <c r="I7" s="37"/>
      <c r="J7" s="37"/>
      <c r="M7" s="41" t="s">
        <v>16</v>
      </c>
      <c r="N7" s="26"/>
      <c r="O7" s="26"/>
      <c r="P7" s="39"/>
      <c r="Q7" s="40"/>
      <c r="R7" s="26"/>
    </row>
    <row r="8" spans="1:18" ht="21" thickBot="1" x14ac:dyDescent="0.35">
      <c r="C8" s="42" t="s">
        <v>27</v>
      </c>
      <c r="G8" s="43"/>
      <c r="H8" s="44"/>
      <c r="I8" s="44"/>
      <c r="J8" s="45"/>
      <c r="M8" s="42" t="s">
        <v>27</v>
      </c>
      <c r="P8" s="39"/>
      <c r="Q8" s="40"/>
    </row>
    <row r="9" spans="1:18" ht="26.4" x14ac:dyDescent="0.3">
      <c r="C9" s="641" t="s">
        <v>28</v>
      </c>
      <c r="D9" s="636" t="s">
        <v>29</v>
      </c>
      <c r="E9" s="615" t="s">
        <v>30</v>
      </c>
      <c r="F9" s="46" t="s">
        <v>31</v>
      </c>
      <c r="G9" s="46" t="s">
        <v>32</v>
      </c>
      <c r="H9" s="47" t="s">
        <v>33</v>
      </c>
      <c r="I9" s="48"/>
      <c r="J9" s="49"/>
      <c r="M9" s="641" t="s">
        <v>28</v>
      </c>
      <c r="N9" s="689" t="s">
        <v>29</v>
      </c>
      <c r="O9" s="615" t="s">
        <v>34</v>
      </c>
      <c r="P9" s="46" t="s">
        <v>35</v>
      </c>
      <c r="Q9" s="46" t="s">
        <v>36</v>
      </c>
      <c r="R9" s="47" t="s">
        <v>37</v>
      </c>
    </row>
    <row r="10" spans="1:18" ht="40.5" customHeight="1" thickBot="1" x14ac:dyDescent="0.35">
      <c r="C10" s="671"/>
      <c r="D10" s="637"/>
      <c r="E10" s="616" t="s">
        <v>363</v>
      </c>
      <c r="F10" s="50" t="s">
        <v>364</v>
      </c>
      <c r="G10" s="50" t="s">
        <v>365</v>
      </c>
      <c r="H10" s="51" t="s">
        <v>366</v>
      </c>
      <c r="I10" s="49"/>
      <c r="J10" s="49"/>
      <c r="M10" s="642"/>
      <c r="N10" s="690"/>
      <c r="O10" s="617" t="s">
        <v>367</v>
      </c>
      <c r="P10" s="52" t="s">
        <v>368</v>
      </c>
      <c r="Q10" s="52" t="s">
        <v>369</v>
      </c>
      <c r="R10" s="53" t="s">
        <v>369</v>
      </c>
    </row>
    <row r="11" spans="1:18" x14ac:dyDescent="0.3">
      <c r="C11" s="54" t="s">
        <v>38</v>
      </c>
      <c r="D11" s="672" t="s">
        <v>39</v>
      </c>
      <c r="E11" s="55">
        <f>IF(SUMIFS('Inhalation Exposure'!$H:$H,'Inhalation Exposure'!$C:$C,$C$5,'Inhalation Exposure'!$E:$E,$C11,'Inhalation Exposure'!$R:$R,$D$5)&gt;0, SUMIFS('Inhalation Exposure'!$H:$H,'Inhalation Exposure'!$C:$C,$C$5,'Inhalation Exposure'!$E:$E,$C11,'Inhalation Exposure'!$R:$R,$D$5), "No Data")</f>
        <v>4.0379332983370935</v>
      </c>
      <c r="F11" s="55">
        <f>IF(SUMIFS('Inhalation Exposure'!$J:$J,'Inhalation Exposure'!$C:$C,$C$5,'Inhalation Exposure'!$E:$E,$C11,'Inhalation Exposure'!$R:$R,$D$5)&gt;0, SUMIFS('Inhalation Exposure'!$J:$J,'Inhalation Exposure'!$C:$C,$C$5,'Inhalation Exposure'!$E:$E,$C11,'Inhalation Exposure'!$R:$R,$D$5), "No Data")</f>
        <v>4.0379332983370935</v>
      </c>
      <c r="G11" s="55">
        <f>IF(SUMIFS('Inhalation Exposure'!$L:$L,'Inhalation Exposure'!$C:$C,$C$5,'Inhalation Exposure'!$E:$E,$C11,'Inhalation Exposure'!$R:$R,$D$5)&gt;0, SUMIFS('Inhalation Exposure'!$L:$L,'Inhalation Exposure'!$C:$C,$C$5,'Inhalation Exposure'!$E:$E,$C11,'Inhalation Exposure'!$R:$R,$D$5), "No Data")</f>
        <v>4.0379332983370935</v>
      </c>
      <c r="H11" s="56">
        <f>IF(SUMIFS('Inhalation Exposure'!$N:$N,'Inhalation Exposure'!$C:$C,$C$5,'Inhalation Exposure'!$E:$E,$C11,'Inhalation Exposure'!$R:$R,$D$5)&gt;0, SUMIFS('Inhalation Exposure'!$N:$N,'Inhalation Exposure'!$C:$C,$C$5,'Inhalation Exposure'!$E:$E,$C11,'Inhalation Exposure'!$R:$R,$D$5), "No Data")</f>
        <v>0.472770553604624</v>
      </c>
      <c r="I11" s="57"/>
      <c r="J11" s="57"/>
      <c r="M11" s="639" t="s">
        <v>40</v>
      </c>
      <c r="N11" s="58" t="s">
        <v>39</v>
      </c>
      <c r="O11" s="59">
        <f>'Dermal Exposure'!N6</f>
        <v>89.88</v>
      </c>
      <c r="P11" s="59">
        <f>'Dermal Exposure'!O6</f>
        <v>1.1234999999999999</v>
      </c>
      <c r="Q11" s="59">
        <f>'Dermal Exposure'!P6</f>
        <v>1.1234999999999999</v>
      </c>
      <c r="R11" s="60">
        <f>'Dermal Exposure'!Q6</f>
        <v>0.39462592202318231</v>
      </c>
    </row>
    <row r="12" spans="1:18" ht="14.4" thickBot="1" x14ac:dyDescent="0.35">
      <c r="C12" s="61" t="s">
        <v>41</v>
      </c>
      <c r="D12" s="673"/>
      <c r="E12" s="62">
        <f>IF(SUMIFS('Inhalation Exposure'!$H:$H,'Inhalation Exposure'!$C:$C,$C$5,'Inhalation Exposure'!$E:$E,$C12,'Inhalation Exposure'!$R:$R,$D$5)&gt;0, SUMIFS('Inhalation Exposure'!$H:$H,'Inhalation Exposure'!$C:$C,$C$5,'Inhalation Exposure'!$E:$E,$C12, 'Inhalation Exposure'!$R:$R,$D$5), "No Data")</f>
        <v>1.0065930470347648</v>
      </c>
      <c r="F12" s="62">
        <f>IF(SUMIFS('Inhalation Exposure'!$J:$J,'Inhalation Exposure'!$C:$C,$C$5,'Inhalation Exposure'!$E:$E,$C12,'Inhalation Exposure'!$R:$R,$D$5)&gt;0, SUMIFS('Inhalation Exposure'!$J:$J,'Inhalation Exposure'!$C:$C,$C$5,'Inhalation Exposure'!$E:$E,$C12,'Inhalation Exposure'!$R:$R,$D$5), "No Data")</f>
        <v>1.0065930470347648</v>
      </c>
      <c r="G12" s="62">
        <f>IF(SUMIFS('Inhalation Exposure'!$L:$L,'Inhalation Exposure'!$C:$C,$C$5,'Inhalation Exposure'!$E:$E,$C12,'Inhalation Exposure'!$R:$R,$D$5)&gt;0, SUMIFS('Inhalation Exposure'!$L:$L,'Inhalation Exposure'!$C:$C,$C$5,'Inhalation Exposure'!$E:$E,$C12,'Inhalation Exposure'!$R:$R,$D$5), "No Data")</f>
        <v>1.0065930470347648</v>
      </c>
      <c r="H12" s="63">
        <f>IF(SUMIFS('Inhalation Exposure'!$N:$N,'Inhalation Exposure'!$C:$C,$C$5,'Inhalation Exposure'!$E:$E,$C12,'Inhalation Exposure'!$R:$R,$D$5)&gt;0, SUMIFS('Inhalation Exposure'!$N:$N,'Inhalation Exposure'!$C:$C,$C$5,'Inhalation Exposure'!$E:$E,$C12,'Inhalation Exposure'!$R:$R,$D$5), "No Data")</f>
        <v>0.11785423803240426</v>
      </c>
      <c r="I12" s="64"/>
      <c r="J12" s="57"/>
      <c r="M12" s="640"/>
      <c r="N12" s="65" t="s">
        <v>42</v>
      </c>
      <c r="O12" s="66">
        <f>'Dermal Exposure'!N7</f>
        <v>29.96</v>
      </c>
      <c r="P12" s="66">
        <f>'Dermal Exposure'!O7</f>
        <v>0.3745</v>
      </c>
      <c r="Q12" s="66">
        <f>'Dermal Exposure'!P7</f>
        <v>0.3745</v>
      </c>
      <c r="R12" s="67">
        <f>'Dermal Exposure'!Q7</f>
        <v>0.10194502985598876</v>
      </c>
    </row>
    <row r="13" spans="1:18" ht="15" customHeight="1" x14ac:dyDescent="0.3">
      <c r="C13" s="618" t="s">
        <v>38</v>
      </c>
      <c r="D13" s="674" t="s">
        <v>42</v>
      </c>
      <c r="E13" s="68">
        <f>IF(SUMIFS('Inhalation Exposure'!$I:$I,'Inhalation Exposure'!$C:$C,$C$5,'Inhalation Exposure'!$E:$E,$C13,'Inhalation Exposure'!$R:$R,$D$5)&gt;0, SUMIFS('Inhalation Exposure'!$I:$I,'Inhalation Exposure'!$C:$C,$C$5,'Inhalation Exposure'!$E:$E,$C13,'Inhalation Exposure'!$R:$R,$D$5), "No Data")</f>
        <v>0.75625431754435612</v>
      </c>
      <c r="F13" s="68">
        <f>IF(SUMIFS('Inhalation Exposure'!$K:$K,'Inhalation Exposure'!$C:$C,$C$5,'Inhalation Exposure'!$E:$E,$C13,'Inhalation Exposure'!$R:$R,$D$5)&gt;0, SUMIFS('Inhalation Exposure'!$K:$K,'Inhalation Exposure'!$C:$C,$C$5,'Inhalation Exposure'!$E:$E,$C13,'Inhalation Exposure'!$R:$R,$D$5), "No Data")</f>
        <v>0.75625431754435612</v>
      </c>
      <c r="G13" s="68">
        <f>IF(SUMIFS('Inhalation Exposure'!$M:$M,'Inhalation Exposure'!$C:$C,$C$5,'Inhalation Exposure'!$E:$E,$C13,'Inhalation Exposure'!$R:$R,$D$5)&gt;0, SUMIFS('Inhalation Exposure'!$M:$M,'Inhalation Exposure'!$C:$C,$C$5,'Inhalation Exposure'!$E:$E,$C13,'Inhalation Exposure'!$R:$R,$D$5), "No Data")</f>
        <v>0.75625431754435612</v>
      </c>
      <c r="H13" s="69">
        <f>IF(SUMIFS('Inhalation Exposure'!$O:$O,'Inhalation Exposure'!$C:$C,$C$5,'Inhalation Exposure'!$E:$E,$C13,'Inhalation Exposure'!$R:$R,$D$5)&gt;0, SUMIFS('Inhalation Exposure'!$O:$O,'Inhalation Exposure'!$C:$C,$C$5,'Inhalation Exposure'!$E:$E,$C13,'Inhalation Exposure'!$R:$R,$D$5), "No Data")</f>
        <v>6.8621601228998477E-2</v>
      </c>
      <c r="I13" s="57"/>
      <c r="J13" s="57"/>
      <c r="M13" s="638" t="str">
        <f>_xlfn.CONCAT("Worker with Gloves; 
PF = ",J5)</f>
        <v>Worker with Gloves; 
PF = 5</v>
      </c>
      <c r="N13" s="65" t="s">
        <v>39</v>
      </c>
      <c r="O13" s="66">
        <f t="shared" ref="O13:R14" si="0">O11/$J$5</f>
        <v>17.975999999999999</v>
      </c>
      <c r="P13" s="66">
        <f t="shared" si="0"/>
        <v>0.22469999999999998</v>
      </c>
      <c r="Q13" s="66">
        <f t="shared" si="0"/>
        <v>0.22469999999999998</v>
      </c>
      <c r="R13" s="67">
        <f t="shared" si="0"/>
        <v>7.8925184404636459E-2</v>
      </c>
    </row>
    <row r="14" spans="1:18" ht="14.4" thickBot="1" x14ac:dyDescent="0.35">
      <c r="C14" s="619" t="s">
        <v>41</v>
      </c>
      <c r="D14" s="673"/>
      <c r="E14" s="70">
        <f>IF(SUMIFS('Inhalation Exposure'!$I:$I,'Inhalation Exposure'!$C:$C,$C$5,'Inhalation Exposure'!$E:$E,$C14,'Inhalation Exposure'!$R:$R,$D$5)&gt;0, SUMIFS('Inhalation Exposure'!$I:$I,'Inhalation Exposure'!$C:$C,$C$5,'Inhalation Exposure'!$E:$E,$C14,'Inhalation Exposure'!$R:$R,$D$5), "No Data")</f>
        <v>0.50329652351738241</v>
      </c>
      <c r="F14" s="62">
        <f>IF(SUMIFS('Inhalation Exposure'!$K:$K,'Inhalation Exposure'!$C:$C,$C$5,'Inhalation Exposure'!$E:$E,$C14,'Inhalation Exposure'!$R:$R,$D$5)&gt;0, SUMIFS('Inhalation Exposure'!$K:$K,'Inhalation Exposure'!$C:$C,$C$5,'Inhalation Exposure'!$E:$E,$C14,'Inhalation Exposure'!$R:$R,$D$5), "No Data")</f>
        <v>0.50329652351738241</v>
      </c>
      <c r="G14" s="62">
        <f>IF(SUMIFS('Inhalation Exposure'!$M:$M,'Inhalation Exposure'!$C:$C,$C$5,'Inhalation Exposure'!$E:$E,$C14,'Inhalation Exposure'!$R:$R,$D$5)&gt;0, SUMIFS('Inhalation Exposure'!$M:$M,'Inhalation Exposure'!$C:$C,$C$5,'Inhalation Exposure'!$E:$E,$C14,'Inhalation Exposure'!$R:$R,$D$5), "No Data")</f>
        <v>0.50329652351738241</v>
      </c>
      <c r="H14" s="71">
        <f>IF(SUMIFS('Inhalation Exposure'!$O:$O,'Inhalation Exposure'!$C:$C,$C$5,'Inhalation Exposure'!$E:$E,$C14,'Inhalation Exposure'!$R:$R,$D$5)&gt;0, SUMIFS('Inhalation Exposure'!$O:$O,'Inhalation Exposure'!$C:$C,$C$5,'Inhalation Exposure'!$E:$E,$C14,'Inhalation Exposure'!$R:$R,$D$5), "No Data")</f>
        <v>4.5668517237556647E-2</v>
      </c>
      <c r="I14" s="57"/>
      <c r="J14" s="57"/>
      <c r="M14" s="638"/>
      <c r="N14" s="65" t="s">
        <v>42</v>
      </c>
      <c r="O14" s="66">
        <f t="shared" si="0"/>
        <v>5.992</v>
      </c>
      <c r="P14" s="66">
        <f t="shared" si="0"/>
        <v>7.4899999999999994E-2</v>
      </c>
      <c r="Q14" s="66">
        <f t="shared" si="0"/>
        <v>7.4899999999999994E-2</v>
      </c>
      <c r="R14" s="67">
        <f t="shared" si="0"/>
        <v>2.0389005971197752E-2</v>
      </c>
    </row>
    <row r="15" spans="1:18" x14ac:dyDescent="0.3">
      <c r="M15" s="640" t="s">
        <v>43</v>
      </c>
      <c r="N15" s="65" t="s">
        <v>39</v>
      </c>
      <c r="O15" s="66" t="str">
        <f>'Dermal Exposure'!N8</f>
        <v>Not Assessed</v>
      </c>
      <c r="P15" s="66" t="str">
        <f>'Dermal Exposure'!O8</f>
        <v>Not Assessed</v>
      </c>
      <c r="Q15" s="66" t="str">
        <f>'Dermal Exposure'!P8</f>
        <v>Not Assessed</v>
      </c>
      <c r="R15" s="67" t="str">
        <f>'Dermal Exposure'!Q8</f>
        <v>Not Assessed</v>
      </c>
    </row>
    <row r="16" spans="1:18" ht="14.4" thickBot="1" x14ac:dyDescent="0.35">
      <c r="D16" s="26"/>
      <c r="M16" s="651"/>
      <c r="N16" s="72" t="s">
        <v>42</v>
      </c>
      <c r="O16" s="73" t="str">
        <f>'Dermal Exposure'!N9</f>
        <v>Not Assessed</v>
      </c>
      <c r="P16" s="73" t="str">
        <f>'Dermal Exposure'!O9</f>
        <v>Not Assessed</v>
      </c>
      <c r="Q16" s="73" t="str">
        <f>'Dermal Exposure'!P9</f>
        <v>Not Assessed</v>
      </c>
      <c r="R16" s="74" t="str">
        <f>'Dermal Exposure'!Q9</f>
        <v>Not Assessed</v>
      </c>
    </row>
    <row r="17" spans="2:20" x14ac:dyDescent="0.3">
      <c r="D17" s="26"/>
      <c r="M17" s="75"/>
      <c r="N17" s="76"/>
      <c r="O17" s="77"/>
      <c r="P17" s="77"/>
      <c r="Q17" s="77"/>
      <c r="R17" s="77"/>
    </row>
    <row r="18" spans="2:20" ht="21" thickBot="1" x14ac:dyDescent="0.35">
      <c r="C18" s="78" t="s">
        <v>44</v>
      </c>
      <c r="D18" s="78"/>
      <c r="E18" s="79"/>
      <c r="F18" s="80"/>
      <c r="G18" s="80"/>
      <c r="H18" s="80"/>
      <c r="I18" s="80"/>
      <c r="J18" s="80"/>
      <c r="M18" s="78" t="s">
        <v>45</v>
      </c>
      <c r="N18" s="78"/>
      <c r="O18" s="81"/>
      <c r="P18" s="80"/>
      <c r="Q18" s="82"/>
      <c r="R18" s="82"/>
      <c r="S18" s="83"/>
    </row>
    <row r="19" spans="2:20" ht="14.25" customHeight="1" x14ac:dyDescent="0.3">
      <c r="C19" s="634" t="s">
        <v>46</v>
      </c>
      <c r="D19" s="636" t="s">
        <v>370</v>
      </c>
      <c r="E19" s="643" t="s">
        <v>29</v>
      </c>
      <c r="F19" s="625" t="s">
        <v>47</v>
      </c>
      <c r="G19" s="636" t="s">
        <v>48</v>
      </c>
      <c r="H19" s="636"/>
      <c r="I19" s="628" t="str">
        <f>_xlfn.CONCAT("Respirator Scenario: APF of ",$I$5)</f>
        <v>Respirator Scenario: APF of 5</v>
      </c>
      <c r="J19" s="629"/>
      <c r="M19" s="634" t="s">
        <v>46</v>
      </c>
      <c r="N19" s="636" t="s">
        <v>49</v>
      </c>
      <c r="O19" s="643" t="s">
        <v>29</v>
      </c>
      <c r="P19" s="625" t="s">
        <v>47</v>
      </c>
      <c r="Q19" s="46" t="s">
        <v>48</v>
      </c>
      <c r="R19" s="628" t="s">
        <v>50</v>
      </c>
      <c r="S19" s="629"/>
    </row>
    <row r="20" spans="2:20" ht="38.25" customHeight="1" thickBot="1" x14ac:dyDescent="0.35">
      <c r="C20" s="635"/>
      <c r="D20" s="649"/>
      <c r="E20" s="644"/>
      <c r="F20" s="650"/>
      <c r="G20" s="52" t="s">
        <v>51</v>
      </c>
      <c r="H20" s="52" t="s">
        <v>52</v>
      </c>
      <c r="I20" s="52" t="s">
        <v>51</v>
      </c>
      <c r="J20" s="53" t="s">
        <v>52</v>
      </c>
      <c r="M20" s="635"/>
      <c r="N20" s="637"/>
      <c r="O20" s="644"/>
      <c r="P20" s="626"/>
      <c r="Q20" s="50" t="s">
        <v>53</v>
      </c>
      <c r="R20" s="84" t="str">
        <f>_xlfn.CONCAT("Worker MOE with Gloves: ",$J$5)</f>
        <v>Worker MOE with Gloves: 5</v>
      </c>
      <c r="S20" s="51" t="s">
        <v>54</v>
      </c>
    </row>
    <row r="21" spans="2:20" ht="44.25" customHeight="1" x14ac:dyDescent="0.3">
      <c r="B21" s="627" t="s">
        <v>55</v>
      </c>
      <c r="C21" s="645" t="s">
        <v>56</v>
      </c>
      <c r="D21" s="647">
        <f>IF($F$5='List Values'!$D$23,VLOOKUP($B21,'Health Data'!$F$6:$I$8,2),VLOOKUP($B21,'Health Data'!$F$6:$I$8,3))</f>
        <v>360</v>
      </c>
      <c r="E21" s="58" t="s">
        <v>39</v>
      </c>
      <c r="F21" s="85">
        <f>VLOOKUP($B$21,'Health Data'!$F$6:$K$9,4,FALSE)</f>
        <v>10</v>
      </c>
      <c r="G21" s="86">
        <f>IFERROR($D21/$F$11, "")</f>
        <v>89.154518760440055</v>
      </c>
      <c r="H21" s="87">
        <f>IFERROR(D21/$F$12, "No Data")</f>
        <v>357.64204914835523</v>
      </c>
      <c r="I21" s="86">
        <f>IFERROR(D21/($F$11/$I$5),"")</f>
        <v>445.77259380220028</v>
      </c>
      <c r="J21" s="88">
        <f>IFERROR(D21/($F$12/$I$5), "No Data")</f>
        <v>1788.2102457417761</v>
      </c>
      <c r="L21" s="627" t="s">
        <v>57</v>
      </c>
      <c r="M21" s="630" t="s">
        <v>58</v>
      </c>
      <c r="N21" s="632">
        <f>VLOOKUP($L21,'Health Data'!$F$14:$J$17,2,FALSE)</f>
        <v>250</v>
      </c>
      <c r="O21" s="58" t="s">
        <v>39</v>
      </c>
      <c r="P21" s="89">
        <f>VLOOKUP($L$21,'Health Data'!$F$14:$J$17,3,FALSE)</f>
        <v>30</v>
      </c>
      <c r="Q21" s="87">
        <f>IFERROR(N21/$P$11, "No Data")</f>
        <v>222.51891410769917</v>
      </c>
      <c r="R21" s="87">
        <f>IFERROR(N21/$P$13, "No Data")</f>
        <v>1112.5945705384959</v>
      </c>
      <c r="S21" s="90" t="str">
        <f>IFERROR(N21/$P$15, "Not Assessed")</f>
        <v>Not Assessed</v>
      </c>
    </row>
    <row r="22" spans="2:20" ht="38.25" customHeight="1" thickBot="1" x14ac:dyDescent="0.35">
      <c r="B22" s="627"/>
      <c r="C22" s="646"/>
      <c r="D22" s="648"/>
      <c r="E22" s="72" t="s">
        <v>59</v>
      </c>
      <c r="F22" s="91">
        <f>VLOOKUP($B$21,'Health Data'!$F$6:$K$9,4,FALSE)</f>
        <v>10</v>
      </c>
      <c r="G22" s="92">
        <f>IFERROR($D21/$F$13, "")</f>
        <v>476.03034012283194</v>
      </c>
      <c r="H22" s="93">
        <f>IFERROR(D21/$F$14, "No Data")</f>
        <v>715.28409829671045</v>
      </c>
      <c r="I22" s="93">
        <f>IFERROR(D21/($F$13/$I$5),"")</f>
        <v>2380.1517006141594</v>
      </c>
      <c r="J22" s="94">
        <f>IFERROR(D21/($F$14/$I$5), "No Data")</f>
        <v>3576.4204914835523</v>
      </c>
      <c r="L22" s="627"/>
      <c r="M22" s="631"/>
      <c r="N22" s="633"/>
      <c r="O22" s="72" t="s">
        <v>59</v>
      </c>
      <c r="P22" s="95">
        <f>VLOOKUP($L$21,'Health Data'!$F$14:$J$17,3,FALSE)</f>
        <v>30</v>
      </c>
      <c r="Q22" s="93">
        <f>IFERROR(N21/$P$12,"No Data")</f>
        <v>667.55674232309741</v>
      </c>
      <c r="R22" s="93">
        <f>IFERROR(N21/$P$14,"No Data")</f>
        <v>3337.7837116154874</v>
      </c>
      <c r="S22" s="96" t="str">
        <f>IFERROR(N21/$P$16,"Not Assessed")</f>
        <v>Not Assessed</v>
      </c>
    </row>
    <row r="23" spans="2:20" x14ac:dyDescent="0.3">
      <c r="M23" s="75"/>
      <c r="N23" s="76"/>
      <c r="O23" s="77"/>
      <c r="P23" s="77"/>
      <c r="Q23" s="77"/>
      <c r="R23" s="77"/>
    </row>
    <row r="24" spans="2:20" s="28" customFormat="1" ht="24" customHeight="1" thickBot="1" x14ac:dyDescent="0.35">
      <c r="B24" s="97"/>
      <c r="C24" s="78" t="s">
        <v>60</v>
      </c>
      <c r="D24" s="78"/>
      <c r="E24" s="79"/>
      <c r="F24" s="80"/>
      <c r="G24" s="80"/>
      <c r="H24" s="80"/>
      <c r="I24" s="80"/>
      <c r="J24" s="80"/>
      <c r="M24" s="78" t="s">
        <v>61</v>
      </c>
      <c r="N24" s="78"/>
      <c r="O24" s="81"/>
      <c r="P24" s="80"/>
      <c r="Q24" s="82"/>
      <c r="R24" s="82"/>
      <c r="S24" s="83"/>
    </row>
    <row r="25" spans="2:20" s="28" customFormat="1" ht="15" customHeight="1" x14ac:dyDescent="0.3">
      <c r="B25" s="652"/>
      <c r="C25" s="634" t="s">
        <v>46</v>
      </c>
      <c r="D25" s="636" t="s">
        <v>370</v>
      </c>
      <c r="E25" s="643" t="s">
        <v>29</v>
      </c>
      <c r="F25" s="625" t="s">
        <v>47</v>
      </c>
      <c r="G25" s="636" t="s">
        <v>48</v>
      </c>
      <c r="H25" s="636"/>
      <c r="I25" s="628" t="str">
        <f>_xlfn.CONCAT("Respirator Scenario: APF of ",$I$5)</f>
        <v>Respirator Scenario: APF of 5</v>
      </c>
      <c r="J25" s="629"/>
      <c r="K25" s="98"/>
      <c r="L25" s="98"/>
      <c r="M25" s="634" t="s">
        <v>46</v>
      </c>
      <c r="N25" s="636" t="s">
        <v>49</v>
      </c>
      <c r="O25" s="643" t="s">
        <v>29</v>
      </c>
      <c r="P25" s="625" t="s">
        <v>47</v>
      </c>
      <c r="Q25" s="46" t="s">
        <v>48</v>
      </c>
      <c r="R25" s="628" t="s">
        <v>50</v>
      </c>
      <c r="S25" s="629"/>
      <c r="T25" s="83"/>
    </row>
    <row r="26" spans="2:20" s="28" customFormat="1" ht="39.75" customHeight="1" thickBot="1" x14ac:dyDescent="0.35">
      <c r="B26" s="652"/>
      <c r="C26" s="635"/>
      <c r="D26" s="649"/>
      <c r="E26" s="644"/>
      <c r="F26" s="650"/>
      <c r="G26" s="52" t="s">
        <v>51</v>
      </c>
      <c r="H26" s="52" t="s">
        <v>52</v>
      </c>
      <c r="I26" s="52" t="s">
        <v>51</v>
      </c>
      <c r="J26" s="53" t="s">
        <v>52</v>
      </c>
      <c r="M26" s="663"/>
      <c r="N26" s="637"/>
      <c r="O26" s="644"/>
      <c r="P26" s="626"/>
      <c r="Q26" s="50" t="s">
        <v>53</v>
      </c>
      <c r="R26" s="84" t="str">
        <f>_xlfn.CONCAT("Worker MOE with Gloves: ",$J$5)</f>
        <v>Worker MOE with Gloves: 5</v>
      </c>
      <c r="S26" s="51" t="s">
        <v>54</v>
      </c>
    </row>
    <row r="27" spans="2:20" s="28" customFormat="1" ht="37.5" customHeight="1" x14ac:dyDescent="0.3">
      <c r="B27" s="652" t="s">
        <v>62</v>
      </c>
      <c r="C27" s="654" t="s">
        <v>63</v>
      </c>
      <c r="D27" s="655">
        <f>IF($F$5='List Values'!$D$23,VLOOKUP($B27,'Health Data'!$F$6:$I$8,2),VLOOKUP($B27,'Health Data'!$F$6:$I$8,3))</f>
        <v>31.1</v>
      </c>
      <c r="E27" s="58" t="s">
        <v>39</v>
      </c>
      <c r="F27" s="85">
        <f>VLOOKUP($B$27,'Health Data'!$F$6:$K$9,4,FALSE)</f>
        <v>30</v>
      </c>
      <c r="G27" s="86">
        <f>IFERROR($D27/$G$11, "")</f>
        <v>7.7019598151380162</v>
      </c>
      <c r="H27" s="99">
        <f>IFERROR(D27/$G$12, "No Data")</f>
        <v>30.896299245871798</v>
      </c>
      <c r="I27" s="86">
        <f>IFERROR(D27/($G$11/$I$5),"")</f>
        <v>38.509799075690083</v>
      </c>
      <c r="J27" s="88">
        <f>IFERROR(D27/($G$12/$I$5), "No Data")</f>
        <v>154.48149622935901</v>
      </c>
      <c r="L27" s="627" t="s">
        <v>64</v>
      </c>
      <c r="M27" s="654" t="s">
        <v>63</v>
      </c>
      <c r="N27" s="632">
        <f>VLOOKUP($L27,'Health Data'!$F$14:$J$17,2,FALSE)</f>
        <v>2.5</v>
      </c>
      <c r="O27" s="58" t="s">
        <v>39</v>
      </c>
      <c r="P27" s="89">
        <f>VLOOKUP($L$27,'Health Data'!$F$14:$J$17,3,FALSE)</f>
        <v>30</v>
      </c>
      <c r="Q27" s="87">
        <f>IFERROR(N27/$Q$11, "No Data")</f>
        <v>2.2251891410769917</v>
      </c>
      <c r="R27" s="87">
        <f>IFERROR(N27/$Q$13, "No Data")</f>
        <v>11.125945705384959</v>
      </c>
      <c r="S27" s="90" t="str">
        <f>IFERROR(N27/$Q$15, "Not Assessed")</f>
        <v>Not Assessed</v>
      </c>
    </row>
    <row r="28" spans="2:20" s="28" customFormat="1" ht="37.5" customHeight="1" thickBot="1" x14ac:dyDescent="0.35">
      <c r="B28" s="652"/>
      <c r="C28" s="631"/>
      <c r="D28" s="656"/>
      <c r="E28" s="72" t="s">
        <v>59</v>
      </c>
      <c r="F28" s="91">
        <f>VLOOKUP($B$27,'Health Data'!$F$6:$K$9,4,FALSE)</f>
        <v>30</v>
      </c>
      <c r="G28" s="92">
        <f>IFERROR($D27/$G$13, "")</f>
        <v>41.123732160611318</v>
      </c>
      <c r="H28" s="100">
        <f>IFERROR(D27/$G$14, "No Data")</f>
        <v>61.792598491743597</v>
      </c>
      <c r="I28" s="93">
        <f>IFERROR(D27/($G$13/$I$5),"")</f>
        <v>205.61866080305657</v>
      </c>
      <c r="J28" s="94">
        <f>IFERROR(D27/($G$14/$I$5), "No Data")</f>
        <v>308.96299245871802</v>
      </c>
      <c r="K28" s="37"/>
      <c r="L28" s="627"/>
      <c r="M28" s="631"/>
      <c r="N28" s="633"/>
      <c r="O28" s="72" t="s">
        <v>59</v>
      </c>
      <c r="P28" s="95">
        <f>VLOOKUP($L$27,'Health Data'!$F$14:$J$17,3,FALSE)</f>
        <v>30</v>
      </c>
      <c r="Q28" s="93">
        <f>IFERROR(N27/$Q$12,"No Data")</f>
        <v>6.6755674232309747</v>
      </c>
      <c r="R28" s="93">
        <f>IFERROR(N27/$Q$14,"No Data")</f>
        <v>33.377837116154879</v>
      </c>
      <c r="S28" s="96" t="str">
        <f>IFERROR(N27/$Q$16,"Not Assessed")</f>
        <v>Not Assessed</v>
      </c>
    </row>
    <row r="29" spans="2:20" s="103" customFormat="1" x14ac:dyDescent="0.3">
      <c r="B29" s="97"/>
      <c r="C29" s="101"/>
      <c r="D29" s="26"/>
      <c r="E29" s="102"/>
      <c r="F29" s="98"/>
      <c r="M29" s="101"/>
      <c r="N29" s="101"/>
      <c r="O29" s="101"/>
      <c r="P29" s="102"/>
      <c r="Q29" s="26"/>
      <c r="R29" s="26"/>
      <c r="S29" s="83"/>
      <c r="T29" s="98"/>
    </row>
    <row r="30" spans="2:20" s="103" customFormat="1" ht="21" thickBot="1" x14ac:dyDescent="0.35">
      <c r="B30" s="97"/>
      <c r="C30" s="104" t="s">
        <v>65</v>
      </c>
      <c r="D30" s="26"/>
      <c r="E30" s="102"/>
      <c r="F30" s="98"/>
      <c r="M30" s="104" t="s">
        <v>65</v>
      </c>
      <c r="N30" s="101"/>
      <c r="O30" s="101"/>
      <c r="P30" s="102"/>
      <c r="Q30" s="26"/>
      <c r="R30" s="26"/>
      <c r="S30" s="83"/>
      <c r="T30" s="98"/>
    </row>
    <row r="31" spans="2:20" s="103" customFormat="1" ht="19.95" customHeight="1" x14ac:dyDescent="0.3">
      <c r="B31" s="97"/>
      <c r="C31" s="659" t="s">
        <v>46</v>
      </c>
      <c r="D31" s="636" t="s">
        <v>370</v>
      </c>
      <c r="E31" s="668" t="s">
        <v>29</v>
      </c>
      <c r="F31" s="625" t="s">
        <v>47</v>
      </c>
      <c r="G31" s="636" t="s">
        <v>66</v>
      </c>
      <c r="H31" s="636"/>
      <c r="I31" s="628" t="str">
        <f>_xlfn.CONCAT("Respirator Scenario: APF of ",$I$5)</f>
        <v>Respirator Scenario: APF of 5</v>
      </c>
      <c r="J31" s="629"/>
      <c r="M31" s="659" t="s">
        <v>46</v>
      </c>
      <c r="N31" s="636" t="s">
        <v>49</v>
      </c>
      <c r="O31" s="668" t="s">
        <v>29</v>
      </c>
      <c r="P31" s="625" t="s">
        <v>47</v>
      </c>
      <c r="Q31" s="46" t="s">
        <v>66</v>
      </c>
      <c r="R31" s="628" t="s">
        <v>50</v>
      </c>
      <c r="S31" s="629"/>
      <c r="T31" s="98"/>
    </row>
    <row r="32" spans="2:20" s="103" customFormat="1" ht="15.6" customHeight="1" thickBot="1" x14ac:dyDescent="0.35">
      <c r="B32" s="97"/>
      <c r="C32" s="660"/>
      <c r="D32" s="649"/>
      <c r="E32" s="669"/>
      <c r="F32" s="650"/>
      <c r="G32" s="52" t="s">
        <v>67</v>
      </c>
      <c r="H32" s="52" t="s">
        <v>68</v>
      </c>
      <c r="I32" s="52" t="s">
        <v>67</v>
      </c>
      <c r="J32" s="53" t="s">
        <v>68</v>
      </c>
      <c r="M32" s="660"/>
      <c r="N32" s="637"/>
      <c r="O32" s="669"/>
      <c r="P32" s="650"/>
      <c r="Q32" s="52" t="s">
        <v>69</v>
      </c>
      <c r="R32" s="105" t="str">
        <f>_xlfn.CONCAT("Gloves: ",$J$5)</f>
        <v>Gloves: 5</v>
      </c>
      <c r="S32" s="106" t="s">
        <v>70</v>
      </c>
      <c r="T32" s="98"/>
    </row>
    <row r="33" spans="1:20" s="103" customFormat="1" ht="36.6" customHeight="1" x14ac:dyDescent="0.3">
      <c r="B33" s="652" t="s">
        <v>71</v>
      </c>
      <c r="C33" s="657" t="s">
        <v>371</v>
      </c>
      <c r="D33" s="691">
        <f>VLOOKUP($B$33,'Health Data'!$F$6:$K$9,2,FALSE)</f>
        <v>6</v>
      </c>
      <c r="E33" s="107" t="s">
        <v>39</v>
      </c>
      <c r="F33" s="108">
        <f>VLOOKUP($B$33,'Health Data'!$F$6:$K$9,4,FALSE)</f>
        <v>300</v>
      </c>
      <c r="G33" s="109">
        <f>IFERROR($D33/$H$11,"")</f>
        <v>12.691145745548642</v>
      </c>
      <c r="H33" s="109">
        <f>IFERROR(D33/$H$12, "No Data")</f>
        <v>50.910345696268365</v>
      </c>
      <c r="I33" s="109">
        <f>IFERROR(D33/($H$11/$I$5),"")</f>
        <v>63.455728727743207</v>
      </c>
      <c r="J33" s="110">
        <f>IFERROR(D33/($H$12/$I$5),"No Data")</f>
        <v>254.55172848134185</v>
      </c>
      <c r="L33" s="667" t="s">
        <v>72</v>
      </c>
      <c r="M33" s="657" t="s">
        <v>372</v>
      </c>
      <c r="N33" s="661">
        <f>VLOOKUP($L$33,'Health Data'!$F$14:$J$17,2,FALSE)</f>
        <v>1.4</v>
      </c>
      <c r="O33" s="58" t="s">
        <v>39</v>
      </c>
      <c r="P33" s="108">
        <f>VLOOKUP($L$33,'Health Data'!$F$14:$J$17,3,FALSE)</f>
        <v>300</v>
      </c>
      <c r="Q33" s="111">
        <f>IFERROR(N33/$R$11, "No Data")</f>
        <v>3.5476635514018691</v>
      </c>
      <c r="R33" s="111">
        <f>IFERROR(N33/$R$13, "No Data")</f>
        <v>17.738317757009344</v>
      </c>
      <c r="S33" s="112" t="str">
        <f>IFERROR($R$15/N33, "Not Assessed")</f>
        <v>Not Assessed</v>
      </c>
      <c r="T33" s="98"/>
    </row>
    <row r="34" spans="1:20" s="103" customFormat="1" ht="27.6" customHeight="1" thickBot="1" x14ac:dyDescent="0.35">
      <c r="B34" s="652"/>
      <c r="C34" s="658"/>
      <c r="D34" s="692"/>
      <c r="E34" s="113" t="s">
        <v>42</v>
      </c>
      <c r="F34" s="114">
        <f>VLOOKUP($B$33,'Health Data'!$F$6:$K$9,4,FALSE)</f>
        <v>300</v>
      </c>
      <c r="G34" s="115">
        <f>IFERROR($D33/$H$13,"")</f>
        <v>87.436024408367913</v>
      </c>
      <c r="H34" s="116">
        <f>IFERROR(D33/$H$14, "No Data")</f>
        <v>131.38153728069258</v>
      </c>
      <c r="I34" s="116">
        <f>IFERROR(D33/($H$13/$I$5),"")</f>
        <v>437.18012204183958</v>
      </c>
      <c r="J34" s="117">
        <f>IFERROR(D33/($H$14/$I$5), "No Data")</f>
        <v>656.90768640346278</v>
      </c>
      <c r="L34" s="667"/>
      <c r="M34" s="658"/>
      <c r="N34" s="662"/>
      <c r="O34" s="72" t="s">
        <v>42</v>
      </c>
      <c r="P34" s="114">
        <f>VLOOKUP($L$33,'Health Data'!$F$14:$J$17,3,FALSE)</f>
        <v>300</v>
      </c>
      <c r="Q34" s="118">
        <f>IFERROR(N33/$R$12, "No Data")</f>
        <v>13.732891166716913</v>
      </c>
      <c r="R34" s="118">
        <f>IFERROR(N33/$R$14, "No Data")</f>
        <v>68.664455833584555</v>
      </c>
      <c r="S34" s="119" t="str">
        <f>IFERROR($R$16/N33, "Not Assessed")</f>
        <v>Not Assessed</v>
      </c>
      <c r="T34" s="98"/>
    </row>
    <row r="35" spans="1:20" s="103" customFormat="1" x14ac:dyDescent="0.3">
      <c r="B35" s="97"/>
      <c r="C35" s="101"/>
      <c r="D35" s="26"/>
      <c r="E35" s="102"/>
      <c r="F35" s="98"/>
      <c r="M35" s="101"/>
      <c r="N35" s="101"/>
      <c r="O35" s="101"/>
      <c r="P35" s="102"/>
      <c r="Q35" s="26"/>
      <c r="R35" s="26"/>
      <c r="S35" s="83"/>
      <c r="T35" s="98"/>
    </row>
    <row r="36" spans="1:20" s="103" customFormat="1" ht="21" thickBot="1" x14ac:dyDescent="0.35">
      <c r="B36" s="97"/>
      <c r="C36" s="104" t="s">
        <v>73</v>
      </c>
      <c r="D36" s="26"/>
      <c r="E36" s="102"/>
      <c r="F36" s="98"/>
      <c r="M36" s="104" t="s">
        <v>73</v>
      </c>
      <c r="N36" s="101"/>
      <c r="O36" s="101"/>
      <c r="P36" s="102"/>
      <c r="Q36" s="26"/>
      <c r="R36" s="26"/>
      <c r="S36" s="83"/>
      <c r="T36" s="98"/>
    </row>
    <row r="37" spans="1:20" s="103" customFormat="1" ht="21.75" customHeight="1" thickBot="1" x14ac:dyDescent="0.35">
      <c r="B37" s="27"/>
      <c r="C37" s="659" t="s">
        <v>74</v>
      </c>
      <c r="D37" s="668" t="s">
        <v>373</v>
      </c>
      <c r="E37" s="668" t="s">
        <v>29</v>
      </c>
      <c r="F37" s="668" t="s">
        <v>75</v>
      </c>
      <c r="G37" s="693" t="s">
        <v>66</v>
      </c>
      <c r="H37" s="694"/>
      <c r="I37" s="695" t="str">
        <f>_xlfn.CONCAT("Respirator Scenario: APF of ",$I$5)</f>
        <v>Respirator Scenario: APF of 5</v>
      </c>
      <c r="J37" s="696"/>
      <c r="M37" s="659" t="s">
        <v>74</v>
      </c>
      <c r="N37" s="668" t="s">
        <v>76</v>
      </c>
      <c r="O37" s="643" t="s">
        <v>29</v>
      </c>
      <c r="P37" s="668" t="s">
        <v>75</v>
      </c>
      <c r="Q37" s="120" t="s">
        <v>66</v>
      </c>
      <c r="R37" s="628" t="s">
        <v>50</v>
      </c>
      <c r="S37" s="629"/>
      <c r="T37" s="98"/>
    </row>
    <row r="38" spans="1:20" s="103" customFormat="1" ht="21" customHeight="1" thickBot="1" x14ac:dyDescent="0.35">
      <c r="B38" s="27"/>
      <c r="C38" s="660"/>
      <c r="D38" s="669"/>
      <c r="E38" s="669"/>
      <c r="F38" s="669"/>
      <c r="G38" s="121" t="s">
        <v>67</v>
      </c>
      <c r="H38" s="122" t="s">
        <v>68</v>
      </c>
      <c r="I38" s="122" t="s">
        <v>67</v>
      </c>
      <c r="J38" s="123" t="s">
        <v>68</v>
      </c>
      <c r="M38" s="660"/>
      <c r="N38" s="669"/>
      <c r="O38" s="644"/>
      <c r="P38" s="669"/>
      <c r="Q38" s="124" t="s">
        <v>69</v>
      </c>
      <c r="R38" s="105" t="str">
        <f>_xlfn.CONCAT("Gloves: ",$J$5)</f>
        <v>Gloves: 5</v>
      </c>
      <c r="S38" s="106" t="s">
        <v>70</v>
      </c>
      <c r="T38" s="98"/>
    </row>
    <row r="39" spans="1:20" s="103" customFormat="1" ht="26.4" customHeight="1" x14ac:dyDescent="0.3">
      <c r="B39" s="653" t="s">
        <v>77</v>
      </c>
      <c r="C39" s="657" t="s">
        <v>374</v>
      </c>
      <c r="D39" s="691">
        <f>VLOOKUP($B39,'Health Data'!$F$6:$K$9,6,FALSE)</f>
        <v>6.0000000000000001E-3</v>
      </c>
      <c r="E39" s="107" t="s">
        <v>39</v>
      </c>
      <c r="F39" s="664">
        <f>VLOOKUP(B39,'Health Data'!$F$6:$K$9,5,FALSE)</f>
        <v>1E-4</v>
      </c>
      <c r="G39" s="125">
        <f>IF(H11="No Data", "No Data", H11*$D$39)</f>
        <v>2.8366233216277439E-3</v>
      </c>
      <c r="H39" s="125">
        <f>IF(H12="No Data", "No Data", H12*$D$39)</f>
        <v>7.0712542819442563E-4</v>
      </c>
      <c r="I39" s="125">
        <f>IF(H11="No Data", "No Data", (H11/$I$5)*$D$39)</f>
        <v>5.673246643255488E-4</v>
      </c>
      <c r="J39" s="126">
        <f>IF(H12="No Data", "No Data", (H12/$I$5)*$D$39)</f>
        <v>1.414250856388851E-4</v>
      </c>
      <c r="L39" s="666" t="s">
        <v>78</v>
      </c>
      <c r="M39" s="657" t="s">
        <v>375</v>
      </c>
      <c r="N39" s="661">
        <f>VLOOKUP($L39,'Health Data'!$F$14:$J$17,5,FALSE)</f>
        <v>0.08</v>
      </c>
      <c r="O39" s="58" t="s">
        <v>39</v>
      </c>
      <c r="P39" s="664">
        <f>VLOOKUP(L39,'Health Data'!$F$14:$J$17,4,FALSE)</f>
        <v>1E-4</v>
      </c>
      <c r="Q39" s="111">
        <f>IFERROR($R$11*N39, "No Data")</f>
        <v>3.1570073761854583E-2</v>
      </c>
      <c r="R39" s="111">
        <f>IFERROR($R$13*N39, "No Data")</f>
        <v>6.314014752370917E-3</v>
      </c>
      <c r="S39" s="112" t="str">
        <f>IFERROR($R$15*N39, "Not Assessed")</f>
        <v>Not Assessed</v>
      </c>
      <c r="T39" s="98"/>
    </row>
    <row r="40" spans="1:20" s="103" customFormat="1" ht="31.2" customHeight="1" thickBot="1" x14ac:dyDescent="0.35">
      <c r="B40" s="653"/>
      <c r="C40" s="658"/>
      <c r="D40" s="692"/>
      <c r="E40" s="113" t="s">
        <v>42</v>
      </c>
      <c r="F40" s="665"/>
      <c r="G40" s="127">
        <f>IF(H13="No Data", "No Data", H13*$D$39)</f>
        <v>4.1172960737399089E-4</v>
      </c>
      <c r="H40" s="127">
        <f>IF(H14="No Data", "No Data", H14*$D$39)</f>
        <v>2.7401110342533991E-4</v>
      </c>
      <c r="I40" s="127">
        <f>IF(H13="No Data", "No Data", (H13/$I$5)*$D$39)</f>
        <v>8.234592147479817E-5</v>
      </c>
      <c r="J40" s="128">
        <f>IF(H14="No Data", "No Data", (H14/$I$5)*$D$39)</f>
        <v>5.4802220685067979E-5</v>
      </c>
      <c r="L40" s="666"/>
      <c r="M40" s="658"/>
      <c r="N40" s="662"/>
      <c r="O40" s="72" t="s">
        <v>42</v>
      </c>
      <c r="P40" s="665"/>
      <c r="Q40" s="118">
        <f>IFERROR($R$12*N39, "No Data")</f>
        <v>8.155602388479101E-3</v>
      </c>
      <c r="R40" s="118">
        <f>IFERROR($R$14*N39, "No Data")</f>
        <v>1.6311204776958202E-3</v>
      </c>
      <c r="S40" s="119" t="str">
        <f>IFERROR($R$16*N39, "Not Assessed")</f>
        <v>Not Assessed</v>
      </c>
      <c r="T40" s="98"/>
    </row>
    <row r="41" spans="1:20" s="103" customFormat="1" x14ac:dyDescent="0.3">
      <c r="B41" s="28"/>
      <c r="C41" s="26"/>
      <c r="D41" s="27"/>
      <c r="E41" s="26"/>
      <c r="F41" s="26"/>
      <c r="G41" s="26"/>
      <c r="H41" s="26"/>
      <c r="I41" s="26"/>
      <c r="J41" s="26"/>
      <c r="M41" s="26"/>
      <c r="N41" s="26"/>
      <c r="O41" s="26"/>
      <c r="P41" s="26"/>
      <c r="Q41" s="26"/>
      <c r="R41" s="28"/>
      <c r="T41" s="98"/>
    </row>
    <row r="42" spans="1:20" s="103" customFormat="1" x14ac:dyDescent="0.3">
      <c r="B42" s="28"/>
      <c r="C42" s="26"/>
      <c r="D42" s="27"/>
      <c r="E42" s="26"/>
      <c r="F42" s="129"/>
      <c r="G42" s="26"/>
      <c r="H42" s="26"/>
      <c r="I42" s="26"/>
      <c r="J42" s="26"/>
      <c r="M42" s="130"/>
      <c r="N42" s="26"/>
      <c r="O42" s="26"/>
      <c r="P42" s="26"/>
      <c r="Q42" s="26"/>
      <c r="R42" s="28"/>
      <c r="T42" s="98"/>
    </row>
    <row r="43" spans="1:20" s="103" customFormat="1" ht="26.25" customHeight="1" x14ac:dyDescent="0.3">
      <c r="B43" s="131"/>
      <c r="C43" s="26"/>
      <c r="D43" s="27"/>
      <c r="E43" s="26"/>
      <c r="F43" s="26"/>
      <c r="G43" s="26"/>
      <c r="H43" s="26"/>
      <c r="I43" s="26"/>
      <c r="J43" s="26"/>
      <c r="M43" s="26"/>
      <c r="N43" s="26"/>
      <c r="O43" s="26"/>
      <c r="P43" s="26"/>
      <c r="Q43" s="26"/>
      <c r="R43" s="28"/>
      <c r="T43" s="98"/>
    </row>
    <row r="44" spans="1:20" s="103" customFormat="1" x14ac:dyDescent="0.3">
      <c r="B44" s="29"/>
      <c r="C44" s="26"/>
      <c r="D44" s="27"/>
      <c r="E44" s="26"/>
      <c r="F44" s="26"/>
      <c r="G44" s="26"/>
      <c r="H44" s="26"/>
      <c r="I44" s="26"/>
      <c r="J44" s="26"/>
      <c r="K44" s="26"/>
      <c r="L44" s="26"/>
      <c r="M44" s="26"/>
      <c r="N44" s="26"/>
      <c r="O44" s="26"/>
      <c r="P44" s="26"/>
      <c r="Q44" s="26"/>
      <c r="R44" s="28"/>
      <c r="T44" s="83"/>
    </row>
    <row r="45" spans="1:20" s="103" customFormat="1" ht="33" customHeight="1" x14ac:dyDescent="0.3">
      <c r="B45" s="29"/>
      <c r="C45" s="26"/>
      <c r="D45" s="27"/>
      <c r="E45" s="26"/>
      <c r="F45" s="26"/>
      <c r="G45" s="26"/>
      <c r="H45" s="26"/>
      <c r="I45" s="26"/>
      <c r="J45" s="26"/>
      <c r="M45" s="26"/>
      <c r="N45" s="26"/>
      <c r="O45" s="26"/>
      <c r="P45" s="26"/>
      <c r="Q45" s="26"/>
      <c r="R45" s="28"/>
      <c r="T45" s="132"/>
    </row>
    <row r="46" spans="1:20" s="103" customFormat="1" ht="31.5" customHeight="1" x14ac:dyDescent="0.3">
      <c r="A46" s="28"/>
      <c r="B46" s="29"/>
      <c r="C46" s="26"/>
      <c r="D46" s="27"/>
      <c r="E46" s="26"/>
      <c r="F46" s="26"/>
      <c r="G46" s="26"/>
      <c r="H46" s="26"/>
      <c r="I46" s="26"/>
      <c r="J46" s="26"/>
      <c r="M46" s="26"/>
      <c r="N46" s="26"/>
      <c r="O46" s="26"/>
      <c r="P46" s="26"/>
      <c r="Q46" s="26"/>
      <c r="R46" s="28"/>
    </row>
    <row r="47" spans="1:20" s="28" customFormat="1" ht="21.75" customHeight="1" x14ac:dyDescent="0.3">
      <c r="B47" s="29"/>
      <c r="C47" s="26"/>
      <c r="D47" s="27"/>
      <c r="E47" s="26"/>
      <c r="F47" s="26"/>
      <c r="G47" s="26"/>
      <c r="H47" s="26"/>
      <c r="I47" s="26"/>
      <c r="J47" s="26"/>
      <c r="K47" s="103"/>
      <c r="L47" s="103"/>
      <c r="M47" s="26"/>
      <c r="N47" s="26"/>
      <c r="O47" s="26"/>
      <c r="P47" s="26"/>
      <c r="Q47" s="26"/>
      <c r="S47" s="103"/>
    </row>
    <row r="48" spans="1:20" s="28" customFormat="1" x14ac:dyDescent="0.3">
      <c r="B48" s="29"/>
      <c r="C48" s="26"/>
      <c r="D48" s="27"/>
      <c r="E48" s="26"/>
      <c r="F48" s="26"/>
      <c r="G48" s="26"/>
      <c r="H48" s="26"/>
      <c r="I48" s="26" t="s">
        <v>79</v>
      </c>
      <c r="J48" s="26"/>
      <c r="K48" s="103"/>
      <c r="L48" s="103"/>
      <c r="M48" s="26"/>
      <c r="N48" s="26"/>
      <c r="O48" s="26"/>
      <c r="P48" s="26"/>
      <c r="Q48" s="26"/>
      <c r="S48" s="103"/>
    </row>
    <row r="49" spans="1:20" s="28" customFormat="1" x14ac:dyDescent="0.3">
      <c r="B49" s="29"/>
      <c r="C49" s="26"/>
      <c r="D49" s="27"/>
      <c r="E49" s="26"/>
      <c r="F49" s="26"/>
      <c r="G49" s="26"/>
      <c r="H49" s="26"/>
      <c r="I49" s="26"/>
      <c r="J49" s="26"/>
      <c r="K49" s="103"/>
      <c r="L49" s="103"/>
      <c r="M49" s="26"/>
      <c r="N49" s="26"/>
      <c r="O49" s="26"/>
      <c r="P49" s="26"/>
      <c r="Q49" s="26"/>
      <c r="S49" s="103"/>
    </row>
    <row r="50" spans="1:20" s="28" customFormat="1" x14ac:dyDescent="0.3">
      <c r="B50" s="27"/>
      <c r="C50" s="26"/>
      <c r="D50" s="27"/>
      <c r="E50" s="26"/>
      <c r="F50" s="26"/>
      <c r="G50" s="26"/>
      <c r="H50" s="26"/>
      <c r="I50" s="26"/>
      <c r="J50" s="26"/>
      <c r="K50" s="103"/>
      <c r="L50" s="103"/>
      <c r="M50" s="26"/>
      <c r="N50" s="26"/>
      <c r="O50" s="26"/>
      <c r="P50" s="26"/>
      <c r="R50" s="103"/>
      <c r="S50" s="103"/>
    </row>
    <row r="51" spans="1:20" s="28" customFormat="1" x14ac:dyDescent="0.3">
      <c r="B51" s="27"/>
      <c r="C51" s="26"/>
      <c r="D51" s="27"/>
      <c r="E51" s="26"/>
      <c r="F51" s="26"/>
      <c r="G51" s="26"/>
      <c r="H51" s="26"/>
      <c r="I51" s="26"/>
      <c r="J51" s="26"/>
      <c r="K51" s="103"/>
      <c r="L51" s="103"/>
      <c r="M51" s="26"/>
      <c r="N51" s="26"/>
      <c r="O51" s="26"/>
      <c r="P51" s="26"/>
      <c r="Q51" s="26"/>
    </row>
    <row r="52" spans="1:20" s="28" customFormat="1" x14ac:dyDescent="0.3">
      <c r="B52" s="27"/>
      <c r="C52" s="26"/>
      <c r="D52" s="27"/>
      <c r="E52" s="26"/>
      <c r="F52" s="26"/>
      <c r="G52" s="26"/>
      <c r="H52" s="26"/>
      <c r="I52" s="26"/>
      <c r="J52" s="26"/>
      <c r="K52" s="103"/>
      <c r="L52" s="103"/>
      <c r="M52" s="26"/>
      <c r="N52" s="26"/>
      <c r="O52" s="26"/>
      <c r="P52" s="26"/>
      <c r="Q52" s="26"/>
    </row>
    <row r="53" spans="1:20" s="28" customFormat="1" x14ac:dyDescent="0.3">
      <c r="B53" s="27"/>
      <c r="C53" s="26"/>
      <c r="D53" s="27"/>
      <c r="E53" s="26"/>
      <c r="F53" s="26"/>
      <c r="G53" s="26"/>
      <c r="H53" s="26"/>
      <c r="I53" s="26"/>
      <c r="J53" s="26"/>
      <c r="K53" s="103"/>
      <c r="L53" s="103"/>
      <c r="M53" s="26"/>
      <c r="N53" s="26"/>
      <c r="O53" s="26"/>
      <c r="P53" s="26"/>
      <c r="Q53" s="26"/>
      <c r="R53" s="26"/>
      <c r="S53" s="26"/>
    </row>
    <row r="54" spans="1:20" s="28" customFormat="1" x14ac:dyDescent="0.3">
      <c r="B54" s="27"/>
      <c r="C54" s="26"/>
      <c r="D54" s="27"/>
      <c r="E54" s="26"/>
      <c r="F54" s="26"/>
      <c r="G54" s="26"/>
      <c r="K54" s="103"/>
      <c r="L54" s="103"/>
      <c r="M54" s="26"/>
      <c r="N54" s="26"/>
      <c r="O54" s="26"/>
      <c r="P54" s="26"/>
      <c r="Q54" s="26"/>
      <c r="R54" s="26"/>
      <c r="S54" s="26"/>
    </row>
    <row r="55" spans="1:20" s="28" customFormat="1" x14ac:dyDescent="0.3">
      <c r="B55" s="27"/>
      <c r="C55" s="26"/>
      <c r="D55" s="27"/>
      <c r="E55" s="26"/>
      <c r="F55" s="26"/>
      <c r="G55" s="26"/>
      <c r="H55" s="26"/>
      <c r="I55" s="26"/>
      <c r="J55" s="26"/>
      <c r="K55" s="103"/>
      <c r="L55" s="103"/>
      <c r="M55" s="26"/>
      <c r="N55" s="26"/>
      <c r="O55" s="26"/>
      <c r="P55" s="26"/>
      <c r="Q55" s="26"/>
      <c r="R55" s="26"/>
      <c r="S55" s="26"/>
    </row>
    <row r="56" spans="1:20" s="28" customFormat="1" x14ac:dyDescent="0.3">
      <c r="A56" s="103"/>
      <c r="B56" s="27"/>
      <c r="C56" s="26"/>
      <c r="D56" s="27"/>
      <c r="E56" s="26"/>
      <c r="F56" s="26"/>
      <c r="G56" s="26"/>
      <c r="H56" s="26"/>
      <c r="I56" s="26"/>
      <c r="J56" s="26"/>
      <c r="K56" s="103"/>
      <c r="L56" s="103"/>
      <c r="M56" s="26"/>
      <c r="N56" s="26"/>
      <c r="O56" s="26"/>
      <c r="P56" s="26"/>
      <c r="Q56" s="26"/>
      <c r="R56" s="26"/>
      <c r="S56" s="26"/>
      <c r="T56" s="26"/>
    </row>
    <row r="57" spans="1:20" s="103" customFormat="1" x14ac:dyDescent="0.3">
      <c r="B57" s="27"/>
      <c r="C57" s="26"/>
      <c r="D57" s="27"/>
      <c r="E57" s="26"/>
      <c r="F57" s="26"/>
      <c r="G57" s="26"/>
      <c r="H57" s="26"/>
      <c r="I57" s="26"/>
      <c r="J57" s="26"/>
      <c r="M57" s="26"/>
      <c r="N57" s="26"/>
      <c r="O57" s="26"/>
      <c r="P57" s="26"/>
      <c r="Q57" s="26"/>
      <c r="R57" s="26"/>
      <c r="S57" s="26"/>
    </row>
    <row r="58" spans="1:20" s="103" customFormat="1" x14ac:dyDescent="0.3">
      <c r="A58" s="28"/>
      <c r="B58" s="27"/>
      <c r="C58" s="26"/>
      <c r="D58" s="27"/>
      <c r="E58" s="26"/>
      <c r="F58" s="26"/>
      <c r="G58" s="26"/>
      <c r="H58" s="26"/>
      <c r="I58" s="26"/>
      <c r="J58" s="26"/>
      <c r="K58" s="28"/>
      <c r="L58" s="28"/>
      <c r="M58" s="26"/>
      <c r="N58" s="26"/>
      <c r="O58" s="26"/>
      <c r="P58" s="26"/>
      <c r="Q58" s="26"/>
      <c r="R58" s="26"/>
      <c r="S58" s="26"/>
    </row>
    <row r="59" spans="1:20" s="28" customFormat="1" x14ac:dyDescent="0.3">
      <c r="B59" s="27"/>
      <c r="C59" s="26"/>
      <c r="D59" s="27"/>
      <c r="E59" s="26"/>
      <c r="F59" s="26"/>
      <c r="G59" s="26"/>
      <c r="H59" s="26"/>
      <c r="I59" s="26"/>
      <c r="J59" s="26"/>
      <c r="M59" s="26"/>
      <c r="N59" s="26"/>
      <c r="O59" s="26"/>
      <c r="P59" s="26"/>
      <c r="Q59" s="26"/>
      <c r="R59" s="26"/>
      <c r="S59" s="26"/>
    </row>
    <row r="60" spans="1:20" s="28" customFormat="1" x14ac:dyDescent="0.3">
      <c r="A60" s="26"/>
      <c r="B60" s="27"/>
      <c r="C60" s="26"/>
      <c r="D60" s="27"/>
      <c r="E60" s="26"/>
      <c r="F60" s="26"/>
      <c r="H60" s="26"/>
      <c r="I60" s="26"/>
      <c r="J60" s="26"/>
      <c r="K60" s="26"/>
      <c r="L60" s="26"/>
      <c r="M60" s="26"/>
      <c r="N60" s="26"/>
      <c r="O60" s="26"/>
      <c r="P60" s="26"/>
      <c r="Q60" s="26"/>
      <c r="R60" s="26"/>
      <c r="S60" s="26"/>
    </row>
    <row r="62" spans="1:20" x14ac:dyDescent="0.3">
      <c r="C62" s="28"/>
      <c r="D62" s="29"/>
      <c r="E62" s="28"/>
      <c r="F62" s="28"/>
    </row>
    <row r="64" spans="1:20" x14ac:dyDescent="0.3">
      <c r="H64" s="133"/>
      <c r="I64" s="133"/>
      <c r="J64" s="133"/>
      <c r="M64" s="28"/>
      <c r="N64" s="28"/>
      <c r="O64" s="28"/>
      <c r="P64" s="28"/>
    </row>
    <row r="65" spans="1:19" x14ac:dyDescent="0.3">
      <c r="H65" s="133"/>
      <c r="I65" s="133"/>
      <c r="J65" s="133"/>
    </row>
    <row r="66" spans="1:19" x14ac:dyDescent="0.3">
      <c r="H66" s="134"/>
      <c r="I66" s="134"/>
      <c r="J66" s="134"/>
    </row>
    <row r="67" spans="1:19" x14ac:dyDescent="0.3">
      <c r="B67" s="29"/>
      <c r="H67" s="134"/>
      <c r="I67" s="134"/>
      <c r="J67" s="134"/>
    </row>
    <row r="68" spans="1:19" x14ac:dyDescent="0.3">
      <c r="B68" s="135"/>
      <c r="Q68" s="28"/>
    </row>
    <row r="69" spans="1:19" x14ac:dyDescent="0.3">
      <c r="B69" s="135"/>
    </row>
    <row r="70" spans="1:19" x14ac:dyDescent="0.3">
      <c r="B70" s="135"/>
      <c r="G70" s="133"/>
      <c r="R70" s="28"/>
      <c r="S70" s="28"/>
    </row>
    <row r="71" spans="1:19" ht="27.6" x14ac:dyDescent="0.3">
      <c r="B71" s="135"/>
      <c r="C71" s="136" t="s">
        <v>80</v>
      </c>
      <c r="D71" s="136" t="s">
        <v>81</v>
      </c>
      <c r="E71" s="137" t="str">
        <f>_xlfn.CONCAT("Cancer Risk with APF of ",$I$5)</f>
        <v>Cancer Risk with APF of 5</v>
      </c>
      <c r="M71" s="136" t="s">
        <v>82</v>
      </c>
      <c r="N71" s="136" t="s">
        <v>39</v>
      </c>
      <c r="O71" s="136" t="s">
        <v>42</v>
      </c>
    </row>
    <row r="72" spans="1:19" x14ac:dyDescent="0.3">
      <c r="B72" s="135"/>
      <c r="C72" s="138" t="s">
        <v>83</v>
      </c>
      <c r="D72" s="139">
        <f>G40</f>
        <v>4.1172960737399089E-4</v>
      </c>
      <c r="E72" s="139">
        <f>I40</f>
        <v>8.234592147479817E-5</v>
      </c>
      <c r="M72" s="138" t="str">
        <f>Q38</f>
        <v>No Gloves</v>
      </c>
      <c r="N72" s="139">
        <f>Q39</f>
        <v>3.1570073761854583E-2</v>
      </c>
      <c r="O72" s="139">
        <f>Q40</f>
        <v>8.155602388479101E-3</v>
      </c>
      <c r="P72" s="134"/>
    </row>
    <row r="73" spans="1:19" x14ac:dyDescent="0.3">
      <c r="B73" s="135"/>
      <c r="C73" s="138" t="s">
        <v>84</v>
      </c>
      <c r="D73" s="140">
        <f>G39</f>
        <v>2.8366233216277439E-3</v>
      </c>
      <c r="E73" s="140">
        <f>I39</f>
        <v>5.673246643255488E-4</v>
      </c>
      <c r="M73" s="141" t="str">
        <f>R38</f>
        <v>Gloves: 5</v>
      </c>
      <c r="N73" s="139">
        <f>R39</f>
        <v>6.314014752370917E-3</v>
      </c>
      <c r="O73" s="139">
        <f>R40</f>
        <v>1.6311204776958202E-3</v>
      </c>
      <c r="P73" s="134"/>
    </row>
    <row r="74" spans="1:19" x14ac:dyDescent="0.3">
      <c r="C74" s="142"/>
      <c r="M74" s="138" t="str">
        <f>S38</f>
        <v>Occluded Exposure</v>
      </c>
      <c r="N74" s="139" t="str">
        <f>S39</f>
        <v>Not Assessed</v>
      </c>
      <c r="O74" s="139" t="str">
        <f>S40</f>
        <v>Not Assessed</v>
      </c>
    </row>
    <row r="75" spans="1:19" x14ac:dyDescent="0.3">
      <c r="A75" s="28"/>
      <c r="K75" s="28"/>
      <c r="L75" s="28"/>
    </row>
    <row r="76" spans="1:19" s="28" customFormat="1" x14ac:dyDescent="0.3">
      <c r="A76" s="26"/>
      <c r="B76" s="27"/>
      <c r="C76" s="26"/>
      <c r="D76" s="27"/>
      <c r="E76" s="26"/>
      <c r="F76" s="26"/>
      <c r="G76" s="26"/>
      <c r="H76" s="26"/>
      <c r="I76" s="26"/>
      <c r="J76" s="26"/>
      <c r="K76" s="26"/>
      <c r="L76" s="26"/>
      <c r="M76" s="26"/>
      <c r="N76" s="26"/>
      <c r="O76" s="26"/>
      <c r="P76" s="26"/>
      <c r="Q76" s="26"/>
      <c r="R76" s="26"/>
      <c r="S76" s="26"/>
    </row>
    <row r="80" spans="1:19" ht="35.25" customHeight="1" x14ac:dyDescent="0.3"/>
  </sheetData>
  <sheetProtection algorithmName="SHA-512" hashValue="TQjwCDrAG88vEAG6am3WfzzKj1ivJCB0hbIMdp+oiM3I0Inici9H1/YOP7oP6LghN9kYmIWoR1uk70/uui+eBw==" saltValue="I8qWMO5HD3YVvi0268UPGQ==" spinCount="100000" sheet="1" objects="1" scenarios="1"/>
  <dataConsolidate link="1"/>
  <mergeCells count="91">
    <mergeCell ref="G37:H37"/>
    <mergeCell ref="I37:J37"/>
    <mergeCell ref="F39:F40"/>
    <mergeCell ref="C37:C38"/>
    <mergeCell ref="D37:D38"/>
    <mergeCell ref="E37:E38"/>
    <mergeCell ref="F37:F38"/>
    <mergeCell ref="D39:D40"/>
    <mergeCell ref="E31:E32"/>
    <mergeCell ref="F31:F32"/>
    <mergeCell ref="G31:H31"/>
    <mergeCell ref="I31:J31"/>
    <mergeCell ref="C33:C34"/>
    <mergeCell ref="D33:D34"/>
    <mergeCell ref="A1:N1"/>
    <mergeCell ref="C9:C10"/>
    <mergeCell ref="D9:D10"/>
    <mergeCell ref="D11:D12"/>
    <mergeCell ref="D13:D14"/>
    <mergeCell ref="D3:E3"/>
    <mergeCell ref="G6:H6"/>
    <mergeCell ref="D4:E4"/>
    <mergeCell ref="D5:E5"/>
    <mergeCell ref="F4:G4"/>
    <mergeCell ref="F5:G5"/>
    <mergeCell ref="M3:N3"/>
    <mergeCell ref="I3:J3"/>
    <mergeCell ref="M4:N4"/>
    <mergeCell ref="M5:N5"/>
    <mergeCell ref="N9:N10"/>
    <mergeCell ref="R25:S25"/>
    <mergeCell ref="R37:S37"/>
    <mergeCell ref="N27:N28"/>
    <mergeCell ref="O25:O26"/>
    <mergeCell ref="M27:M28"/>
    <mergeCell ref="N37:N38"/>
    <mergeCell ref="O37:O38"/>
    <mergeCell ref="P37:P38"/>
    <mergeCell ref="R31:S31"/>
    <mergeCell ref="M33:M34"/>
    <mergeCell ref="N33:N34"/>
    <mergeCell ref="M31:M32"/>
    <mergeCell ref="N31:N32"/>
    <mergeCell ref="O31:O32"/>
    <mergeCell ref="P31:P32"/>
    <mergeCell ref="M37:M38"/>
    <mergeCell ref="M39:M40"/>
    <mergeCell ref="N39:N40"/>
    <mergeCell ref="P25:P26"/>
    <mergeCell ref="L27:L28"/>
    <mergeCell ref="M25:M26"/>
    <mergeCell ref="N25:N26"/>
    <mergeCell ref="P39:P40"/>
    <mergeCell ref="L39:L40"/>
    <mergeCell ref="L33:L34"/>
    <mergeCell ref="B25:B26"/>
    <mergeCell ref="C25:C26"/>
    <mergeCell ref="D25:D26"/>
    <mergeCell ref="B39:B40"/>
    <mergeCell ref="B27:B28"/>
    <mergeCell ref="C27:C28"/>
    <mergeCell ref="D27:D28"/>
    <mergeCell ref="C39:C40"/>
    <mergeCell ref="B33:B34"/>
    <mergeCell ref="C31:C32"/>
    <mergeCell ref="D31:D32"/>
    <mergeCell ref="F25:F26"/>
    <mergeCell ref="E25:E26"/>
    <mergeCell ref="G25:H25"/>
    <mergeCell ref="I25:J25"/>
    <mergeCell ref="M15:M16"/>
    <mergeCell ref="I19:J19"/>
    <mergeCell ref="M13:M14"/>
    <mergeCell ref="M11:M12"/>
    <mergeCell ref="M9:M10"/>
    <mergeCell ref="B21:B22"/>
    <mergeCell ref="O19:O20"/>
    <mergeCell ref="C21:C22"/>
    <mergeCell ref="D21:D22"/>
    <mergeCell ref="C19:C20"/>
    <mergeCell ref="D19:D20"/>
    <mergeCell ref="E19:E20"/>
    <mergeCell ref="F19:F20"/>
    <mergeCell ref="G19:H19"/>
    <mergeCell ref="P19:P20"/>
    <mergeCell ref="L21:L22"/>
    <mergeCell ref="R19:S19"/>
    <mergeCell ref="M21:M22"/>
    <mergeCell ref="N21:N22"/>
    <mergeCell ref="M19:M20"/>
    <mergeCell ref="N19:N20"/>
  </mergeCells>
  <phoneticPr fontId="5" type="noConversion"/>
  <conditionalFormatting sqref="F24:F26 N24:P24 F18:F20">
    <cfRule type="containsBlanks" dxfId="152" priority="183" stopIfTrue="1">
      <formula>LEN(TRIM(F18))=0</formula>
    </cfRule>
  </conditionalFormatting>
  <conditionalFormatting sqref="P25:P26">
    <cfRule type="containsBlanks" dxfId="151" priority="182" stopIfTrue="1">
      <formula>LEN(TRIM(P25))=0</formula>
    </cfRule>
  </conditionalFormatting>
  <conditionalFormatting sqref="G27:G28 I27:I28">
    <cfRule type="containsBlanks" dxfId="150" priority="140">
      <formula>LEN(TRIM(G27))=0</formula>
    </cfRule>
  </conditionalFormatting>
  <conditionalFormatting sqref="Q27:S28">
    <cfRule type="containsBlanks" dxfId="149" priority="59" stopIfTrue="1">
      <formula>LEN(TRIM(Q27))=0</formula>
    </cfRule>
  </conditionalFormatting>
  <conditionalFormatting sqref="O11:R17 O23:R23 H11:H14 E11:E14">
    <cfRule type="cellIs" dxfId="148" priority="142" stopIfTrue="1" operator="equal">
      <formula>0</formula>
    </cfRule>
  </conditionalFormatting>
  <conditionalFormatting sqref="G39:J40">
    <cfRule type="cellIs" dxfId="147" priority="45" operator="equal">
      <formula>"Assessed using nonlinear POD"</formula>
    </cfRule>
    <cfRule type="cellIs" dxfId="146" priority="141" stopIfTrue="1" operator="equal">
      <formula>0</formula>
    </cfRule>
  </conditionalFormatting>
  <conditionalFormatting sqref="N18:P18">
    <cfRule type="containsBlanks" dxfId="145" priority="130" stopIfTrue="1">
      <formula>LEN(TRIM(N18))=0</formula>
    </cfRule>
  </conditionalFormatting>
  <conditionalFormatting sqref="P19:P20 N19:N22">
    <cfRule type="containsBlanks" dxfId="144" priority="129" stopIfTrue="1">
      <formula>LEN(TRIM(N19))=0</formula>
    </cfRule>
  </conditionalFormatting>
  <conditionalFormatting sqref="Q21:S22">
    <cfRule type="containsBlanks" dxfId="143" priority="60" stopIfTrue="1">
      <formula>LEN(TRIM(Q21))=0</formula>
    </cfRule>
  </conditionalFormatting>
  <conditionalFormatting sqref="Q21:S22">
    <cfRule type="cellIs" dxfId="142" priority="58" stopIfTrue="1" operator="equal">
      <formula>0</formula>
    </cfRule>
  </conditionalFormatting>
  <conditionalFormatting sqref="N27:N28">
    <cfRule type="containsBlanks" dxfId="141" priority="88" stopIfTrue="1">
      <formula>LEN(TRIM(N27))=0</formula>
    </cfRule>
  </conditionalFormatting>
  <conditionalFormatting sqref="N39:N40">
    <cfRule type="containsBlanks" dxfId="140" priority="85" stopIfTrue="1">
      <formula>LEN(TRIM(N39))=0</formula>
    </cfRule>
  </conditionalFormatting>
  <conditionalFormatting sqref="S39:S40">
    <cfRule type="containsBlanks" dxfId="139" priority="82">
      <formula>LEN(TRIM(S39))=0</formula>
    </cfRule>
  </conditionalFormatting>
  <conditionalFormatting sqref="G21:J22">
    <cfRule type="containsBlanks" dxfId="138" priority="133">
      <formula>LEN(TRIM(G21))=0</formula>
    </cfRule>
    <cfRule type="cellIs" dxfId="137" priority="134" stopIfTrue="1" operator="equal">
      <formula>0</formula>
    </cfRule>
    <cfRule type="cellIs" dxfId="136" priority="135" operator="lessThan">
      <formula>$F21</formula>
    </cfRule>
    <cfRule type="cellIs" dxfId="135" priority="136" operator="greaterThanOrEqual">
      <formula>$F21</formula>
    </cfRule>
  </conditionalFormatting>
  <conditionalFormatting sqref="Q39:S40 G39:J40">
    <cfRule type="cellIs" dxfId="134" priority="148" operator="greaterThan">
      <formula>0.0001</formula>
    </cfRule>
    <cfRule type="cellIs" dxfId="133" priority="167" operator="lessThanOrEqual">
      <formula>0.0001</formula>
    </cfRule>
  </conditionalFormatting>
  <conditionalFormatting sqref="Q21:S22 G21:J22 G27:J28 Q39:S40 Q27:S28 G39:J40">
    <cfRule type="cellIs" dxfId="132" priority="57" stopIfTrue="1" operator="equal">
      <formula>"No Data"</formula>
    </cfRule>
  </conditionalFormatting>
  <conditionalFormatting sqref="G27:J28">
    <cfRule type="cellIs" dxfId="131" priority="175" operator="lessThan">
      <formula>$F27</formula>
    </cfRule>
    <cfRule type="cellIs" dxfId="130" priority="176" operator="greaterThanOrEqual">
      <formula>$F27</formula>
    </cfRule>
  </conditionalFormatting>
  <conditionalFormatting sqref="Q27:S28">
    <cfRule type="cellIs" dxfId="129" priority="63" operator="greaterThanOrEqual">
      <formula>$P$27</formula>
    </cfRule>
    <cfRule type="cellIs" dxfId="128" priority="157" operator="lessThan">
      <formula>$P$27</formula>
    </cfRule>
  </conditionalFormatting>
  <conditionalFormatting sqref="Q21:S22">
    <cfRule type="cellIs" dxfId="127" priority="125" operator="lessThan">
      <formula>$P21</formula>
    </cfRule>
    <cfRule type="cellIs" dxfId="126" priority="126" operator="greaterThanOrEqual">
      <formula>$P21</formula>
    </cfRule>
  </conditionalFormatting>
  <conditionalFormatting sqref="Q21:S22 Q27:S28">
    <cfRule type="cellIs" dxfId="125" priority="61" stopIfTrue="1" operator="equal">
      <formula>"Not Assessed"</formula>
    </cfRule>
  </conditionalFormatting>
  <conditionalFormatting sqref="F11:F14">
    <cfRule type="cellIs" dxfId="124" priority="52" stopIfTrue="1" operator="equal">
      <formula>0</formula>
    </cfRule>
  </conditionalFormatting>
  <conditionalFormatting sqref="G11:G14">
    <cfRule type="cellIs" dxfId="123" priority="47" stopIfTrue="1" operator="equal">
      <formula>0</formula>
    </cfRule>
  </conditionalFormatting>
  <conditionalFormatting sqref="Q39:S40">
    <cfRule type="cellIs" dxfId="122" priority="44" operator="equal">
      <formula>"Not Assessed"</formula>
    </cfRule>
  </conditionalFormatting>
  <conditionalFormatting sqref="O11:R16 F21:J22 F27:J28 D21:D22 N21:N22 D27:D28 N27:N28 D39:D40 G39:J40 N39:N40 Q39:S40 E11:H14 P21:S22 P27:S28">
    <cfRule type="cellIs" dxfId="121" priority="41" operator="between">
      <formula>10</formula>
      <formula>100</formula>
    </cfRule>
    <cfRule type="cellIs" dxfId="120" priority="42" operator="between">
      <formula>1</formula>
      <formula>10</formula>
    </cfRule>
  </conditionalFormatting>
  <conditionalFormatting sqref="O11:R16 D21:D22 F21:J22 N21:N22 D27:D28 F27:J28 N27:N28 D39:D40 G39:J40 N39:N40 Q39:S40 E11:H14 P21:S22 P27:S28">
    <cfRule type="cellIs" dxfId="119" priority="38" operator="lessThan">
      <formula>0.1</formula>
    </cfRule>
  </conditionalFormatting>
  <conditionalFormatting sqref="O11:R16 D21:D22 F21:J22 N21:N22 D27:D28 F27:J28 N27:N28 D39:D40 G39:J40 N39:N40 P39:S40 E11:H14 P21:S22 P27:S28">
    <cfRule type="cellIs" dxfId="118" priority="37" operator="between">
      <formula>0.1</formula>
      <formula>1</formula>
    </cfRule>
  </conditionalFormatting>
  <conditionalFormatting sqref="Q33:S34">
    <cfRule type="cellIs" dxfId="117" priority="22" stopIfTrue="1" operator="equal">
      <formula>"No Data"</formula>
    </cfRule>
  </conditionalFormatting>
  <conditionalFormatting sqref="D33:D34">
    <cfRule type="cellIs" dxfId="116" priority="29" operator="between">
      <formula>10</formula>
      <formula>100</formula>
    </cfRule>
    <cfRule type="cellIs" dxfId="115" priority="30" operator="between">
      <formula>1</formula>
      <formula>10</formula>
    </cfRule>
  </conditionalFormatting>
  <conditionalFormatting sqref="D33:D34">
    <cfRule type="cellIs" dxfId="114" priority="28" operator="lessThan">
      <formula>0.1</formula>
    </cfRule>
  </conditionalFormatting>
  <conditionalFormatting sqref="D33:D34">
    <cfRule type="cellIs" dxfId="113" priority="27" operator="between">
      <formula>0.1</formula>
      <formula>1</formula>
    </cfRule>
  </conditionalFormatting>
  <conditionalFormatting sqref="N33:N34">
    <cfRule type="containsBlanks" dxfId="112" priority="24" stopIfTrue="1">
      <formula>LEN(TRIM(N33))=0</formula>
    </cfRule>
  </conditionalFormatting>
  <conditionalFormatting sqref="S33:S34">
    <cfRule type="containsBlanks" dxfId="111" priority="23">
      <formula>LEN(TRIM(S33))=0</formula>
    </cfRule>
  </conditionalFormatting>
  <conditionalFormatting sqref="Q33:S34">
    <cfRule type="cellIs" dxfId="110" priority="25" operator="greaterThan">
      <formula>0.0001</formula>
    </cfRule>
    <cfRule type="cellIs" dxfId="109" priority="26" operator="lessThanOrEqual">
      <formula>0.0001</formula>
    </cfRule>
  </conditionalFormatting>
  <conditionalFormatting sqref="Q33:S34">
    <cfRule type="cellIs" dxfId="108" priority="21" operator="equal">
      <formula>"Not Assessed"</formula>
    </cfRule>
  </conditionalFormatting>
  <conditionalFormatting sqref="N33:N34 Q33:S34">
    <cfRule type="cellIs" dxfId="107" priority="19" operator="between">
      <formula>10</formula>
      <formula>100</formula>
    </cfRule>
    <cfRule type="cellIs" dxfId="106" priority="20" operator="between">
      <formula>1</formula>
      <formula>10</formula>
    </cfRule>
  </conditionalFormatting>
  <conditionalFormatting sqref="N33:N34 Q33:S34">
    <cfRule type="cellIs" dxfId="105" priority="18" operator="lessThan">
      <formula>0.1</formula>
    </cfRule>
  </conditionalFormatting>
  <conditionalFormatting sqref="N33:N34 P33:S34">
    <cfRule type="cellIs" dxfId="104" priority="17" operator="between">
      <formula>0.1</formula>
      <formula>1</formula>
    </cfRule>
  </conditionalFormatting>
  <conditionalFormatting sqref="G33:J34">
    <cfRule type="cellIs" dxfId="103" priority="11" operator="equal">
      <formula>"Assessed using linear slope factor"</formula>
    </cfRule>
    <cfRule type="cellIs" dxfId="102" priority="13" stopIfTrue="1" operator="equal">
      <formula>"No Data"</formula>
    </cfRule>
  </conditionalFormatting>
  <conditionalFormatting sqref="G33:G34 I33:I34">
    <cfRule type="containsBlanks" dxfId="101" priority="14">
      <formula>LEN(TRIM(G33))=0</formula>
    </cfRule>
  </conditionalFormatting>
  <conditionalFormatting sqref="G33:J34">
    <cfRule type="cellIs" dxfId="100" priority="15" operator="lessThan">
      <formula>$F33</formula>
    </cfRule>
    <cfRule type="cellIs" dxfId="99" priority="16" operator="greaterThanOrEqual">
      <formula>$F33</formula>
    </cfRule>
  </conditionalFormatting>
  <conditionalFormatting sqref="G33:J34">
    <cfRule type="cellIs" dxfId="98" priority="12" stopIfTrue="1" operator="equal">
      <formula>"Not Assessed"</formula>
    </cfRule>
  </conditionalFormatting>
  <conditionalFormatting sqref="G33:J34">
    <cfRule type="cellIs" dxfId="97" priority="9" operator="between">
      <formula>10</formula>
      <formula>500</formula>
    </cfRule>
    <cfRule type="cellIs" dxfId="96" priority="10" operator="between">
      <formula>1</formula>
      <formula>10</formula>
    </cfRule>
  </conditionalFormatting>
  <conditionalFormatting sqref="G33:J34">
    <cfRule type="cellIs" dxfId="95" priority="8" operator="lessThan">
      <formula>0.1</formula>
    </cfRule>
  </conditionalFormatting>
  <conditionalFormatting sqref="G33:J34">
    <cfRule type="cellIs" dxfId="94" priority="7" operator="between">
      <formula>0.1</formula>
      <formula>1</formula>
    </cfRule>
  </conditionalFormatting>
  <conditionalFormatting sqref="F31:F32">
    <cfRule type="containsBlanks" dxfId="93" priority="6" stopIfTrue="1">
      <formula>LEN(TRIM(F31))=0</formula>
    </cfRule>
  </conditionalFormatting>
  <conditionalFormatting sqref="P31:P32">
    <cfRule type="containsBlanks" dxfId="92" priority="5" stopIfTrue="1">
      <formula>LEN(TRIM(P31))=0</formula>
    </cfRule>
  </conditionalFormatting>
  <conditionalFormatting sqref="N31:N32">
    <cfRule type="containsBlanks" dxfId="91" priority="4" stopIfTrue="1">
      <formula>LEN(TRIM(N31))=0</formula>
    </cfRule>
  </conditionalFormatting>
  <conditionalFormatting sqref="N25:N26">
    <cfRule type="containsBlanks" dxfId="90" priority="3" stopIfTrue="1">
      <formula>LEN(TRIM(N25))=0</formula>
    </cfRule>
  </conditionalFormatting>
  <conditionalFormatting sqref="F39:F40">
    <cfRule type="cellIs" dxfId="89" priority="1" operator="between">
      <formula>0.1</formula>
      <formula>1</formula>
    </cfRule>
  </conditionalFormatting>
  <dataValidations count="1">
    <dataValidation allowBlank="1" showErrorMessage="1" sqref="E9:E10 O9:O10 C9 C13:C14 M9" xr:uid="{00000000-0002-0000-0000-000000000000}"/>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1000000}">
          <x14:formula1>
            <xm:f>'List Values'!$D$7:$D$8</xm:f>
          </x14:formula1>
          <xm:sqref>M5</xm:sqref>
        </x14:dataValidation>
        <x14:dataValidation type="list" allowBlank="1" showInputMessage="1" showErrorMessage="1" xr:uid="{00000000-0002-0000-0000-000002000000}">
          <x14:formula1>
            <xm:f>'List Values'!$D$15:$D$20</xm:f>
          </x14:formula1>
          <xm:sqref>I5</xm:sqref>
        </x14:dataValidation>
        <x14:dataValidation type="list" allowBlank="1" showInputMessage="1" showErrorMessage="1" xr:uid="{00000000-0002-0000-0000-000004000000}">
          <x14:formula1>
            <xm:f>'List Values'!$F$3:$F$5</xm:f>
          </x14:formula1>
          <xm:sqref>J5</xm:sqref>
        </x14:dataValidation>
        <x14:dataValidation type="list" allowBlank="1" showInputMessage="1" showErrorMessage="1" xr:uid="{00000000-0002-0000-0000-000003000000}">
          <x14:formula1>
            <xm:f>'List Values'!$B$3:$B$11</xm:f>
          </x14:formula1>
          <xm:sqref>C5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H63"/>
  <sheetViews>
    <sheetView zoomScale="70" zoomScaleNormal="70" workbookViewId="0">
      <selection activeCell="H5" sqref="H5"/>
    </sheetView>
  </sheetViews>
  <sheetFormatPr defaultColWidth="8.88671875" defaultRowHeight="13.2" x14ac:dyDescent="0.3"/>
  <cols>
    <col min="1" max="1" width="3.5546875" style="143" customWidth="1"/>
    <col min="2" max="2" width="10" style="144" hidden="1" customWidth="1"/>
    <col min="3" max="3" width="11.6640625" style="39" customWidth="1"/>
    <col min="4" max="4" width="11.109375" style="145" customWidth="1"/>
    <col min="5" max="5" width="22.88671875" style="39" customWidth="1"/>
    <col min="6" max="6" width="18.5546875" style="39" customWidth="1"/>
    <col min="7" max="7" width="2.6640625" style="143" customWidth="1"/>
    <col min="8" max="8" width="21.6640625" style="143" customWidth="1"/>
    <col min="9" max="9" width="15.88671875" style="143" customWidth="1"/>
    <col min="10" max="10" width="20" style="143" customWidth="1"/>
    <col min="11" max="11" width="16.109375" style="143" customWidth="1"/>
    <col min="12" max="12" width="17.109375" style="143" customWidth="1"/>
    <col min="13" max="13" width="16.109375" style="143" customWidth="1"/>
    <col min="14" max="14" width="17.44140625" style="143" customWidth="1"/>
    <col min="15" max="15" width="17.6640625" style="143" customWidth="1"/>
    <col min="16" max="16" width="17.33203125" style="143" customWidth="1"/>
    <col min="17" max="17" width="5.33203125" style="143" customWidth="1"/>
    <col min="18" max="18" width="12.6640625" style="143" hidden="1" customWidth="1"/>
    <col min="19" max="19" width="11.5546875" style="143" customWidth="1"/>
    <col min="20" max="20" width="13.44140625" style="143" customWidth="1"/>
    <col min="21" max="21" width="22.88671875" style="143" customWidth="1"/>
    <col min="22" max="22" width="18.6640625" style="143" customWidth="1"/>
    <col min="23" max="23" width="2.6640625" style="143" customWidth="1"/>
    <col min="24" max="24" width="22.5546875" style="143" customWidth="1"/>
    <col min="25" max="25" width="15.88671875" style="143" customWidth="1"/>
    <col min="26" max="26" width="19.6640625" style="143" customWidth="1"/>
    <col min="27" max="27" width="14.44140625" style="143" customWidth="1"/>
    <col min="28" max="28" width="14.5546875" style="143" customWidth="1"/>
    <col min="29" max="29" width="16" style="143" customWidth="1"/>
    <col min="30" max="31" width="13" style="143" customWidth="1"/>
    <col min="32" max="16384" width="8.88671875" style="143"/>
  </cols>
  <sheetData>
    <row r="1" spans="1:29" ht="13.8" x14ac:dyDescent="0.3">
      <c r="A1" s="670"/>
      <c r="B1" s="670"/>
      <c r="C1" s="670"/>
      <c r="D1" s="670"/>
      <c r="E1" s="670"/>
      <c r="F1" s="670"/>
      <c r="G1" s="670"/>
      <c r="H1" s="670"/>
      <c r="I1" s="670"/>
      <c r="J1" s="670"/>
      <c r="K1" s="670"/>
      <c r="L1" s="670"/>
      <c r="M1" s="670"/>
      <c r="N1" s="670"/>
    </row>
    <row r="2" spans="1:29" ht="13.8" thickBot="1" x14ac:dyDescent="0.35"/>
    <row r="3" spans="1:29" s="103" customFormat="1" ht="14.4" thickBot="1" x14ac:dyDescent="0.35">
      <c r="B3" s="146"/>
      <c r="C3" s="40"/>
      <c r="D3" s="40"/>
      <c r="E3" s="40"/>
      <c r="F3" s="40"/>
      <c r="H3" s="147" t="s">
        <v>13</v>
      </c>
      <c r="I3" s="733" t="s">
        <v>14</v>
      </c>
      <c r="J3" s="734"/>
      <c r="K3" s="735"/>
      <c r="L3" s="148"/>
      <c r="N3" s="148"/>
      <c r="X3" s="736" t="s">
        <v>16</v>
      </c>
      <c r="Y3" s="735"/>
    </row>
    <row r="4" spans="1:29" s="103" customFormat="1" ht="26.4" x14ac:dyDescent="0.3">
      <c r="B4" s="146"/>
      <c r="C4" s="40"/>
      <c r="D4" s="40"/>
      <c r="E4" s="40"/>
      <c r="F4" s="40"/>
      <c r="H4" s="149" t="s">
        <v>17</v>
      </c>
      <c r="I4" s="150" t="s">
        <v>18</v>
      </c>
      <c r="J4" s="737" t="s">
        <v>85</v>
      </c>
      <c r="K4" s="738"/>
      <c r="L4" s="743" t="s">
        <v>19</v>
      </c>
      <c r="M4" s="738"/>
      <c r="X4" s="743" t="s">
        <v>22</v>
      </c>
      <c r="Y4" s="738"/>
    </row>
    <row r="5" spans="1:29" s="103" customFormat="1" ht="46.5" customHeight="1" thickBot="1" x14ac:dyDescent="0.35">
      <c r="B5" s="146"/>
      <c r="C5" s="40"/>
      <c r="D5" s="40"/>
      <c r="E5" s="40"/>
      <c r="F5" s="40"/>
      <c r="H5" s="620" t="s">
        <v>150</v>
      </c>
      <c r="I5" s="151" t="str">
        <f>VLOOKUP($H$5,'Inhalation Exposure'!$C$5:$R$26,16,FALSE)</f>
        <v>Monitoring Data</v>
      </c>
      <c r="J5" s="739" t="s">
        <v>38</v>
      </c>
      <c r="K5" s="740"/>
      <c r="L5" s="745" t="str">
        <f>VLOOKUP($H$5,'Inhalation Exposure'!$C$5:$R$26,2,FALSE)</f>
        <v>8-hr</v>
      </c>
      <c r="M5" s="746"/>
      <c r="X5" s="744" t="s">
        <v>24</v>
      </c>
      <c r="Y5" s="740"/>
    </row>
    <row r="6" spans="1:29" s="103" customFormat="1" ht="13.8" x14ac:dyDescent="0.3">
      <c r="A6" s="152"/>
      <c r="B6" s="146"/>
      <c r="C6" s="40"/>
      <c r="D6" s="40"/>
      <c r="E6" s="40"/>
      <c r="F6" s="40"/>
      <c r="J6" s="40"/>
      <c r="K6" s="40"/>
      <c r="L6" s="40"/>
      <c r="M6" s="153"/>
      <c r="N6" s="153"/>
      <c r="X6" s="39"/>
      <c r="Y6" s="40"/>
      <c r="Z6" s="154"/>
    </row>
    <row r="7" spans="1:29" s="103" customFormat="1" ht="13.8" x14ac:dyDescent="0.3">
      <c r="B7" s="146"/>
      <c r="C7" s="40"/>
      <c r="D7" s="40"/>
      <c r="E7" s="40"/>
      <c r="F7" s="40"/>
      <c r="H7" s="154" t="s">
        <v>26</v>
      </c>
      <c r="I7" s="146"/>
      <c r="J7" s="40"/>
      <c r="L7" s="40"/>
      <c r="M7" s="40"/>
      <c r="N7" s="40"/>
      <c r="X7" s="154" t="s">
        <v>16</v>
      </c>
      <c r="Y7" s="143"/>
      <c r="Z7" s="143"/>
      <c r="AA7" s="39"/>
      <c r="AB7" s="40"/>
    </row>
    <row r="8" spans="1:29" ht="13.8" thickBot="1" x14ac:dyDescent="0.35">
      <c r="H8" s="155" t="s">
        <v>27</v>
      </c>
      <c r="I8" s="144"/>
      <c r="N8" s="40"/>
      <c r="X8" s="155" t="s">
        <v>27</v>
      </c>
      <c r="AA8" s="39"/>
      <c r="AB8" s="40"/>
    </row>
    <row r="9" spans="1:29" ht="55.5" customHeight="1" x14ac:dyDescent="0.3">
      <c r="C9" s="144"/>
      <c r="D9" s="144"/>
      <c r="E9" s="144"/>
      <c r="H9" s="641" t="s">
        <v>28</v>
      </c>
      <c r="I9" s="689" t="s">
        <v>29</v>
      </c>
      <c r="J9" s="615" t="s">
        <v>88</v>
      </c>
      <c r="K9" s="46" t="s">
        <v>31</v>
      </c>
      <c r="L9" s="46" t="s">
        <v>32</v>
      </c>
      <c r="M9" s="47" t="s">
        <v>33</v>
      </c>
      <c r="X9" s="641" t="s">
        <v>28</v>
      </c>
      <c r="Y9" s="689" t="s">
        <v>29</v>
      </c>
      <c r="Z9" s="615" t="s">
        <v>34</v>
      </c>
      <c r="AA9" s="46" t="s">
        <v>35</v>
      </c>
      <c r="AB9" s="46" t="s">
        <v>36</v>
      </c>
      <c r="AC9" s="47" t="s">
        <v>37</v>
      </c>
    </row>
    <row r="10" spans="1:29" ht="31.2" thickBot="1" x14ac:dyDescent="0.35">
      <c r="C10" s="144"/>
      <c r="D10" s="144"/>
      <c r="E10" s="144"/>
      <c r="H10" s="671"/>
      <c r="I10" s="722"/>
      <c r="J10" s="616" t="s">
        <v>363</v>
      </c>
      <c r="K10" s="50" t="s">
        <v>364</v>
      </c>
      <c r="L10" s="50" t="s">
        <v>365</v>
      </c>
      <c r="M10" s="51" t="s">
        <v>366</v>
      </c>
      <c r="X10" s="642"/>
      <c r="Y10" s="690"/>
      <c r="Z10" s="617" t="s">
        <v>367</v>
      </c>
      <c r="AA10" s="52" t="s">
        <v>368</v>
      </c>
      <c r="AB10" s="52" t="s">
        <v>376</v>
      </c>
      <c r="AC10" s="53" t="s">
        <v>376</v>
      </c>
    </row>
    <row r="11" spans="1:29" x14ac:dyDescent="0.3">
      <c r="C11" s="144"/>
      <c r="D11" s="144"/>
      <c r="E11" s="144"/>
      <c r="H11" s="156" t="s">
        <v>38</v>
      </c>
      <c r="I11" s="741" t="s">
        <v>39</v>
      </c>
      <c r="J11" s="157">
        <f>IF(SUMIFS('Inhalation Exposure'!$H:$H,'Inhalation Exposure'!$C:$C,$H$5,'Inhalation Exposure'!$E:$E,$H11,'Inhalation Exposure'!$R:$R,$I$5)&gt;0, SUMIFS('Inhalation Exposure'!$H:$H,'Inhalation Exposure'!$C:$C,$H$5,'Inhalation Exposure'!$E:$E,$H11,'Inhalation Exposure'!$R:$R,$I$5), "No Data")</f>
        <v>2.9186091849558666</v>
      </c>
      <c r="K11" s="157">
        <f>IF(SUMIFS('Inhalation Exposure'!$J:$J,'Inhalation Exposure'!$C:$C,$H$5,'Inhalation Exposure'!$E:$E,$H11,'Inhalation Exposure'!$R:$R,$I$5)&gt;0, SUMIFS('Inhalation Exposure'!$J:$J,'Inhalation Exposure'!$C:$C,$H$5,'Inhalation Exposure'!$E:$E,$H11,'Inhalation Exposure'!$R:$R,$I$5), "No Data")</f>
        <v>2.9186091849558666</v>
      </c>
      <c r="L11" s="157">
        <f>IF(SUMIFS('Inhalation Exposure'!$L:$L,'Inhalation Exposure'!$C:$C,$H$5,'Inhalation Exposure'!$E:$E,$H11,'Inhalation Exposure'!$R:$R,$I$5)&gt;0, SUMIFS('Inhalation Exposure'!$L:$L,'Inhalation Exposure'!$C:$C,$H$5,'Inhalation Exposure'!$E:$E,$H11,'Inhalation Exposure'!$R:$R,$I$5), "No Data")</f>
        <v>2.9186091849558666</v>
      </c>
      <c r="M11" s="158">
        <f>IF(SUMIFS('Inhalation Exposure'!$N:$N,'Inhalation Exposure'!$C:$C,$H$5,'Inhalation Exposure'!$E:$E,$H11,'Inhalation Exposure'!$R:$R,$I$5)&gt;0, SUMIFS('Inhalation Exposure'!$N:$N,'Inhalation Exposure'!$C:$C,$H$5,'Inhalation Exposure'!$E:$E,$H11,'Inhalation Exposure'!$R:$R,$I$5), "No Data")</f>
        <v>0.34171750204377316</v>
      </c>
      <c r="X11" s="639" t="s">
        <v>40</v>
      </c>
      <c r="Y11" s="58" t="s">
        <v>39</v>
      </c>
      <c r="Z11" s="159">
        <f>'Dermal Exposure'!N11</f>
        <v>89.88</v>
      </c>
      <c r="AA11" s="59">
        <f>'Dermal Exposure'!O11</f>
        <v>1.1234999999999999</v>
      </c>
      <c r="AB11" s="59">
        <f>'Dermal Exposure'!P11</f>
        <v>1.1234999999999999</v>
      </c>
      <c r="AC11" s="60">
        <f>'Dermal Exposure'!Q11</f>
        <v>0.39462592202318231</v>
      </c>
    </row>
    <row r="12" spans="1:29" ht="13.8" thickBot="1" x14ac:dyDescent="0.35">
      <c r="C12" s="144"/>
      <c r="D12" s="144"/>
      <c r="E12" s="144"/>
      <c r="H12" s="61" t="s">
        <v>41</v>
      </c>
      <c r="I12" s="742"/>
      <c r="J12" s="160" t="str">
        <f>IF(SUMIFS('Inhalation Exposure'!$H:$H,'Inhalation Exposure'!$C:$C,$H$5,'Inhalation Exposure'!$E:$E,$H12,'Inhalation Exposure'!$R:$R,$I$5)&gt;0, SUMIFS('Inhalation Exposure'!$H:$H,'Inhalation Exposure'!$C:$C,$H$5,'Inhalation Exposure'!$E:$E,$H12,'Inhalation Exposure'!$R:$R,$I$5), "No Data")</f>
        <v>No Data</v>
      </c>
      <c r="K12" s="160" t="str">
        <f>IF(SUMIFS('Inhalation Exposure'!$J:$J,'Inhalation Exposure'!$C:$C,$H$5,'Inhalation Exposure'!$E:$E,$H12,'Inhalation Exposure'!$R:$R,$I$5)&gt;0, SUMIFS('Inhalation Exposure'!$J:$J,'Inhalation Exposure'!$C:$C,$H$5,'Inhalation Exposure'!$E:$E,$H12,'Inhalation Exposure'!$R:$R,$I$5), "No Data")</f>
        <v>No Data</v>
      </c>
      <c r="L12" s="160" t="str">
        <f>IF(SUMIFS('Inhalation Exposure'!$L:$L,'Inhalation Exposure'!$C:$C,$H$5,'Inhalation Exposure'!$E:$E,$H12,'Inhalation Exposure'!$R:$R,$I$5)&gt;0, SUMIFS('Inhalation Exposure'!$L:$L,'Inhalation Exposure'!$C:$C,$H$5,'Inhalation Exposure'!$E:$E,$H12,'Inhalation Exposure'!$R:$R,$I$5), "No Data")</f>
        <v>No Data</v>
      </c>
      <c r="M12" s="161" t="str">
        <f>IF(SUMIFS('Inhalation Exposure'!$N:$N,'Inhalation Exposure'!$C:$C,$H$5,'Inhalation Exposure'!$E:$E,$H12,'Inhalation Exposure'!$R:$R,$I$5)&gt;0, SUMIFS('Inhalation Exposure'!$N:$N,'Inhalation Exposure'!$C:$C,$H$5,'Inhalation Exposure'!$E:$E,$H12,'Inhalation Exposure'!$R:$R,$I$5), "No Data")</f>
        <v>No Data</v>
      </c>
      <c r="X12" s="640"/>
      <c r="Y12" s="65" t="s">
        <v>42</v>
      </c>
      <c r="Z12" s="66">
        <f>'Dermal Exposure'!N12</f>
        <v>29.96</v>
      </c>
      <c r="AA12" s="66">
        <f>'Dermal Exposure'!O12</f>
        <v>0.3745</v>
      </c>
      <c r="AB12" s="66">
        <f>'Dermal Exposure'!P12</f>
        <v>0.3745</v>
      </c>
      <c r="AC12" s="67">
        <f>'Dermal Exposure'!Q12</f>
        <v>0.10194502985598876</v>
      </c>
    </row>
    <row r="13" spans="1:29" x14ac:dyDescent="0.3">
      <c r="H13" s="618" t="s">
        <v>38</v>
      </c>
      <c r="I13" s="674" t="s">
        <v>42</v>
      </c>
      <c r="J13" s="162">
        <f>IF(SUMIFS('Inhalation Exposure'!$I:$I,'Inhalation Exposure'!$C:$C,$H$5,'Inhalation Exposure'!$E:$E,$H13,'Inhalation Exposure'!$R:$R,$I$5)&gt;0, SUMIFS('Inhalation Exposure'!$I:$I,'Inhalation Exposure'!$C:$C,$H$5,'Inhalation Exposure'!$E:$E,$H13,'Inhalation Exposure'!$R:$R,$I$5), "No Data")</f>
        <v>0.88971096181688947</v>
      </c>
      <c r="K13" s="162">
        <f>IF(SUMIFS('Inhalation Exposure'!$K:$K,'Inhalation Exposure'!$C:$C,$H$5,'Inhalation Exposure'!$E:$E,$H13,'Inhalation Exposure'!$R:$R,$I$5)&gt;0, SUMIFS('Inhalation Exposure'!$K:$K,'Inhalation Exposure'!$C:$C,$H$5,'Inhalation Exposure'!$E:$E,$H13,'Inhalation Exposure'!$R:$R,$I$5), "No Data")</f>
        <v>0.88971096181688947</v>
      </c>
      <c r="L13" s="162">
        <f>IF(SUMIFS('Inhalation Exposure'!$M:$M,'Inhalation Exposure'!$C:$C,$H$5,'Inhalation Exposure'!$E:$E,$H13,'Inhalation Exposure'!$R:$R,$I$5)&gt;0, SUMIFS('Inhalation Exposure'!$M:$M,'Inhalation Exposure'!$C:$C,$H$5,'Inhalation Exposure'!$E:$E,$H13,'Inhalation Exposure'!$R:$R,$I$5), "No Data")</f>
        <v>0.88971096181688947</v>
      </c>
      <c r="M13" s="163">
        <f>IF(SUMIFS('Inhalation Exposure'!$O:$O,'Inhalation Exposure'!$C:$C,$H$5,'Inhalation Exposure'!$E:$E,$H13,'Inhalation Exposure'!$R:$R,$I$5)&gt;0, SUMIFS('Inhalation Exposure'!$O:$O,'Inhalation Exposure'!$C:$C,$H$5,'Inhalation Exposure'!$E:$E,$H13,'Inhalation Exposure'!$R:$R,$I$5), "No Data")</f>
        <v>8.0731295563527608E-2</v>
      </c>
      <c r="X13" s="638" t="str">
        <f>_xlfn.CONCAT("Worker with Gloves; PF = 
",'List Values'!F3)</f>
        <v>Worker with Gloves; PF = 
5</v>
      </c>
      <c r="Y13" s="65" t="s">
        <v>39</v>
      </c>
      <c r="Z13" s="66">
        <f>Z11/'List Values'!$F$3</f>
        <v>17.975999999999999</v>
      </c>
      <c r="AA13" s="66">
        <f>AA11/'List Values'!$F$3</f>
        <v>0.22469999999999998</v>
      </c>
      <c r="AB13" s="66">
        <f>AB11/'List Values'!$F$3</f>
        <v>0.22469999999999998</v>
      </c>
      <c r="AC13" s="67">
        <f>AC11/'List Values'!$F$3</f>
        <v>7.8925184404636459E-2</v>
      </c>
    </row>
    <row r="14" spans="1:29" ht="13.8" thickBot="1" x14ac:dyDescent="0.35">
      <c r="H14" s="619" t="s">
        <v>41</v>
      </c>
      <c r="I14" s="673"/>
      <c r="J14" s="160">
        <f>IF(SUMIFS('Inhalation Exposure'!$I:$I,'Inhalation Exposure'!$C:$C,$H$5,'Inhalation Exposure'!$E:$E,$H14,'Inhalation Exposure'!$R:$R,$I$5)&gt;0, SUMIFS('Inhalation Exposure'!$I:$I,'Inhalation Exposure'!$C:$C,$H$5,'Inhalation Exposure'!$E:$E,$H14,'Inhalation Exposure'!$R:$R,$I$5), "No Data")</f>
        <v>0.88971096181688947</v>
      </c>
      <c r="K14" s="160">
        <f>IF(SUMIFS('Inhalation Exposure'!$K:$K,'Inhalation Exposure'!$C:$C,$H$5,'Inhalation Exposure'!$E:$E,$H14,'Inhalation Exposure'!$R:$R,$I$5)&gt;0, SUMIFS('Inhalation Exposure'!$K:$K,'Inhalation Exposure'!$C:$C,$H$5,'Inhalation Exposure'!$E:$E,$H14,'Inhalation Exposure'!$R:$R,$I$5), "No Data")</f>
        <v>0.88971096181688947</v>
      </c>
      <c r="L14" s="160">
        <f>IF(SUMIFS('Inhalation Exposure'!$M:$M,'Inhalation Exposure'!$C:$C,$H$5,'Inhalation Exposure'!$E:$E,$H14,'Inhalation Exposure'!$R:$R,$I$5)&gt;0, SUMIFS('Inhalation Exposure'!$M:$M,'Inhalation Exposure'!$C:$C,$H$5,'Inhalation Exposure'!$E:$E,$H14,'Inhalation Exposure'!$R:$R,$I$5), "No Data")</f>
        <v>0.88971096181688947</v>
      </c>
      <c r="M14" s="161">
        <f>IF(SUMIFS('Inhalation Exposure'!$O:$O,'Inhalation Exposure'!$C:$C,$H$5,'Inhalation Exposure'!$E:$E,$H14,'Inhalation Exposure'!$R:$R,$I$5)&gt;0, SUMIFS('Inhalation Exposure'!$O:$O,'Inhalation Exposure'!$C:$C,$H$5,'Inhalation Exposure'!$E:$E,$H14,'Inhalation Exposure'!$R:$R,$I$5), "No Data")</f>
        <v>8.0731295563527608E-2</v>
      </c>
      <c r="X14" s="717"/>
      <c r="Y14" s="65" t="s">
        <v>42</v>
      </c>
      <c r="Z14" s="66">
        <f>Z12/'List Values'!$F$3</f>
        <v>5.992</v>
      </c>
      <c r="AA14" s="66">
        <f>AA12/'List Values'!$F$3</f>
        <v>7.4899999999999994E-2</v>
      </c>
      <c r="AB14" s="66">
        <f>AB12/'List Values'!$F$3</f>
        <v>7.4899999999999994E-2</v>
      </c>
      <c r="AC14" s="67">
        <f>AC12/'List Values'!$F$3</f>
        <v>2.0389005971197752E-2</v>
      </c>
    </row>
    <row r="15" spans="1:29" x14ac:dyDescent="0.3">
      <c r="X15" s="638" t="str">
        <f>_xlfn.CONCAT("Worker with Gloves; PF = 
",'List Values'!F4)</f>
        <v>Worker with Gloves; PF = 
10</v>
      </c>
      <c r="Y15" s="65" t="s">
        <v>39</v>
      </c>
      <c r="Z15" s="66">
        <f>Z11/'List Values'!$F$4</f>
        <v>8.9879999999999995</v>
      </c>
      <c r="AA15" s="66">
        <f>AA11/'List Values'!$F$4</f>
        <v>0.11234999999999999</v>
      </c>
      <c r="AB15" s="66">
        <f>AB11/'List Values'!$F$4</f>
        <v>0.11234999999999999</v>
      </c>
      <c r="AC15" s="67">
        <f>AC11/'List Values'!$F$4</f>
        <v>3.9462592202318229E-2</v>
      </c>
    </row>
    <row r="16" spans="1:29" x14ac:dyDescent="0.3">
      <c r="D16" s="39"/>
      <c r="H16" s="144"/>
      <c r="X16" s="717"/>
      <c r="Y16" s="65" t="s">
        <v>42</v>
      </c>
      <c r="Z16" s="66">
        <f>Z12/'List Values'!$F$4</f>
        <v>2.996</v>
      </c>
      <c r="AA16" s="66">
        <f>AA12/'List Values'!$F$4</f>
        <v>3.7449999999999997E-2</v>
      </c>
      <c r="AB16" s="66">
        <f>AB12/'List Values'!$F$4</f>
        <v>3.7449999999999997E-2</v>
      </c>
      <c r="AC16" s="67">
        <f>AC12/'List Values'!$F$4</f>
        <v>1.0194502985598876E-2</v>
      </c>
    </row>
    <row r="17" spans="1:33" x14ac:dyDescent="0.3">
      <c r="D17" s="39"/>
      <c r="H17" s="144"/>
      <c r="X17" s="638" t="str">
        <f>_xlfn.CONCAT("Worker with Gloves; PF = 
",'List Values'!F5)</f>
        <v>Worker with Gloves; PF = 
20</v>
      </c>
      <c r="Y17" s="65" t="s">
        <v>39</v>
      </c>
      <c r="Z17" s="66">
        <f>Z11/'List Values'!$F$5</f>
        <v>4.4939999999999998</v>
      </c>
      <c r="AA17" s="66">
        <f>AA11/'List Values'!$F$5</f>
        <v>5.6174999999999996E-2</v>
      </c>
      <c r="AB17" s="66">
        <f>AB11/'List Values'!$F$5</f>
        <v>5.6174999999999996E-2</v>
      </c>
      <c r="AC17" s="67">
        <f>AC11/'List Values'!$F$5</f>
        <v>1.9731296101159115E-2</v>
      </c>
    </row>
    <row r="18" spans="1:33" x14ac:dyDescent="0.3">
      <c r="D18" s="39"/>
      <c r="H18" s="144"/>
      <c r="X18" s="717"/>
      <c r="Y18" s="65" t="s">
        <v>42</v>
      </c>
      <c r="Z18" s="66">
        <f>Z12/'List Values'!$F$5</f>
        <v>1.498</v>
      </c>
      <c r="AA18" s="66">
        <f>AA12/'List Values'!$F$5</f>
        <v>1.8724999999999999E-2</v>
      </c>
      <c r="AB18" s="66">
        <f>AB12/'List Values'!$F$5</f>
        <v>1.8724999999999999E-2</v>
      </c>
      <c r="AC18" s="67">
        <f>AC12/'List Values'!$F$5</f>
        <v>5.0972514927994381E-3</v>
      </c>
    </row>
    <row r="19" spans="1:33" ht="18.75" customHeight="1" x14ac:dyDescent="0.3">
      <c r="D19" s="39"/>
      <c r="H19" s="144"/>
      <c r="X19" s="718" t="s">
        <v>43</v>
      </c>
      <c r="Y19" s="65" t="s">
        <v>39</v>
      </c>
      <c r="Z19" s="66" t="str">
        <f>'Dermal Exposure'!N13</f>
        <v>Not Assessed</v>
      </c>
      <c r="AA19" s="66" t="str">
        <f>'Dermal Exposure'!O13</f>
        <v>Not Assessed</v>
      </c>
      <c r="AB19" s="66" t="str">
        <f>'Dermal Exposure'!P13</f>
        <v>Not Assessed</v>
      </c>
      <c r="AC19" s="67" t="str">
        <f>'Dermal Exposure'!Q13</f>
        <v>Not Assessed</v>
      </c>
    </row>
    <row r="20" spans="1:33" ht="13.8" thickBot="1" x14ac:dyDescent="0.35">
      <c r="D20" s="39"/>
      <c r="H20" s="144"/>
      <c r="X20" s="719"/>
      <c r="Y20" s="72" t="s">
        <v>42</v>
      </c>
      <c r="Z20" s="73" t="str">
        <f>'Dermal Exposure'!N14</f>
        <v>Not Assessed</v>
      </c>
      <c r="AA20" s="73" t="str">
        <f>'Dermal Exposure'!O14</f>
        <v>Not Assessed</v>
      </c>
      <c r="AB20" s="73" t="str">
        <f>'Dermal Exposure'!P14</f>
        <v>Not Assessed</v>
      </c>
      <c r="AC20" s="74" t="str">
        <f>'Dermal Exposure'!Q14</f>
        <v>Not Assessed</v>
      </c>
    </row>
    <row r="21" spans="1:33" s="103" customFormat="1" x14ac:dyDescent="0.3">
      <c r="B21" s="146"/>
      <c r="C21" s="49"/>
      <c r="D21" s="49"/>
      <c r="E21" s="49"/>
      <c r="F21" s="49"/>
      <c r="G21" s="49"/>
      <c r="H21" s="101"/>
      <c r="I21" s="40"/>
      <c r="K21" s="101"/>
      <c r="L21" s="101"/>
      <c r="M21" s="101"/>
      <c r="N21" s="101"/>
      <c r="O21" s="101"/>
      <c r="P21" s="101"/>
      <c r="X21" s="49"/>
      <c r="Y21" s="101"/>
      <c r="Z21" s="40"/>
      <c r="AB21" s="101"/>
    </row>
    <row r="22" spans="1:33" s="103" customFormat="1" ht="13.8" thickBot="1" x14ac:dyDescent="0.35">
      <c r="B22" s="146"/>
      <c r="C22" s="40"/>
      <c r="D22" s="164"/>
      <c r="E22" s="164"/>
      <c r="F22" s="164"/>
      <c r="G22" s="165"/>
      <c r="H22" s="165" t="s">
        <v>89</v>
      </c>
      <c r="I22" s="40"/>
      <c r="K22" s="101"/>
      <c r="L22" s="706"/>
      <c r="M22" s="706"/>
      <c r="N22" s="166"/>
      <c r="O22" s="166"/>
      <c r="X22" s="81" t="s">
        <v>90</v>
      </c>
      <c r="Y22" s="81"/>
      <c r="Z22" s="81"/>
    </row>
    <row r="23" spans="1:33" s="103" customFormat="1" ht="12.75" customHeight="1" x14ac:dyDescent="0.3">
      <c r="B23" s="146"/>
      <c r="C23" s="715" t="s">
        <v>91</v>
      </c>
      <c r="D23" s="715" t="s">
        <v>92</v>
      </c>
      <c r="E23" s="715"/>
      <c r="F23" s="715" t="s">
        <v>93</v>
      </c>
      <c r="G23" s="167"/>
      <c r="H23" s="634" t="s">
        <v>370</v>
      </c>
      <c r="I23" s="643" t="s">
        <v>29</v>
      </c>
      <c r="J23" s="625" t="s">
        <v>94</v>
      </c>
      <c r="K23" s="625" t="str">
        <f>CONCATENATE("Exposure Estimates: ",$J$5," MOE")</f>
        <v>Exposure Estimates: Worker MOE</v>
      </c>
      <c r="L23" s="713"/>
      <c r="M23" s="713"/>
      <c r="N23" s="713"/>
      <c r="O23" s="713"/>
      <c r="P23" s="714"/>
      <c r="Q23" s="168"/>
      <c r="R23" s="169"/>
      <c r="S23" s="715" t="s">
        <v>91</v>
      </c>
      <c r="T23" s="715" t="s">
        <v>92</v>
      </c>
      <c r="U23" s="715"/>
      <c r="V23" s="715" t="s">
        <v>93</v>
      </c>
      <c r="W23" s="169"/>
      <c r="X23" s="762" t="s">
        <v>49</v>
      </c>
      <c r="Y23" s="643" t="s">
        <v>29</v>
      </c>
      <c r="Z23" s="625" t="s">
        <v>94</v>
      </c>
      <c r="AA23" s="625" t="str">
        <f>CONCATENATE("Exposure Estimates: ",$J$5," MOE")</f>
        <v>Exposure Estimates: Worker MOE</v>
      </c>
      <c r="AB23" s="713"/>
      <c r="AC23" s="713"/>
      <c r="AD23" s="713"/>
      <c r="AE23" s="714"/>
    </row>
    <row r="24" spans="1:33" s="103" customFormat="1" ht="25.95" customHeight="1" thickBot="1" x14ac:dyDescent="0.35">
      <c r="B24" s="146"/>
      <c r="C24" s="716"/>
      <c r="D24" s="716"/>
      <c r="E24" s="716"/>
      <c r="F24" s="716"/>
      <c r="G24" s="170"/>
      <c r="H24" s="663"/>
      <c r="I24" s="761"/>
      <c r="J24" s="626"/>
      <c r="K24" s="52" t="s">
        <v>95</v>
      </c>
      <c r="L24" s="52" t="s">
        <v>96</v>
      </c>
      <c r="M24" s="52" t="s">
        <v>97</v>
      </c>
      <c r="N24" s="52" t="s">
        <v>98</v>
      </c>
      <c r="O24" s="52" t="s">
        <v>99</v>
      </c>
      <c r="P24" s="53" t="s">
        <v>100</v>
      </c>
      <c r="Q24" s="168"/>
      <c r="R24" s="171"/>
      <c r="S24" s="716"/>
      <c r="T24" s="716"/>
      <c r="U24" s="716"/>
      <c r="V24" s="716"/>
      <c r="W24" s="171"/>
      <c r="X24" s="763"/>
      <c r="Y24" s="761"/>
      <c r="Z24" s="626"/>
      <c r="AA24" s="172" t="s">
        <v>101</v>
      </c>
      <c r="AB24" s="172" t="s">
        <v>69</v>
      </c>
      <c r="AC24" s="172" t="s">
        <v>102</v>
      </c>
      <c r="AD24" s="172" t="s">
        <v>103</v>
      </c>
      <c r="AE24" s="173" t="s">
        <v>104</v>
      </c>
    </row>
    <row r="25" spans="1:33" s="103" customFormat="1" ht="23.25" customHeight="1" x14ac:dyDescent="0.3">
      <c r="B25" s="748" t="s">
        <v>55</v>
      </c>
      <c r="C25" s="727" t="s">
        <v>105</v>
      </c>
      <c r="D25" s="729" t="s">
        <v>106</v>
      </c>
      <c r="E25" s="731" t="s">
        <v>107</v>
      </c>
      <c r="F25" s="725" t="s">
        <v>108</v>
      </c>
      <c r="G25" s="174"/>
      <c r="H25" s="723">
        <f>IF($L$5='List Values'!$D$23,VLOOKUP($B25,'Health Data'!$F$6:$I$8,2),VLOOKUP($B25,'Health Data'!$F$6:$I$8,3))</f>
        <v>360</v>
      </c>
      <c r="I25" s="175" t="s">
        <v>39</v>
      </c>
      <c r="J25" s="85">
        <f>VLOOKUP($B$25,'Health Data'!F6:K9,4,FALSE)</f>
        <v>10</v>
      </c>
      <c r="K25" s="176">
        <f>IFERROR($H25/IF($J$5="Worker",$K$11, $K$12), "No Data")</f>
        <v>123.34642193810669</v>
      </c>
      <c r="L25" s="99">
        <f>IFERROR($H25/(IF($J$5="Worker",$K$11,$K$12)/'List Values'!$D$16), "No Data")</f>
        <v>1233.4642193810669</v>
      </c>
      <c r="M25" s="99">
        <f>IFERROR($H25/(IF($J$5="Worker",$K$11,$K$12)/'List Values'!$D$17), "No Data")</f>
        <v>3083.6605484526672</v>
      </c>
      <c r="N25" s="99">
        <f>IFERROR($H25/(IF($J$5="Worker",$K$11,$K$12)/'List Values'!$D$18), "No Data")</f>
        <v>6167.3210969053343</v>
      </c>
      <c r="O25" s="99">
        <f>IFERROR($H25/(IF($J$5="Worker",$K$11,$K$12)/'List Values'!$D$19), "No Data")</f>
        <v>123346.42193810669</v>
      </c>
      <c r="P25" s="90">
        <f>IFERROR($H25/(IF($J$5="Worker",$K$11,$K$12)/'List Values'!$D$20), "No Data")</f>
        <v>1233464.219381067</v>
      </c>
      <c r="Q25" s="177"/>
      <c r="R25" s="707" t="s">
        <v>57</v>
      </c>
      <c r="S25" s="708" t="s">
        <v>105</v>
      </c>
      <c r="T25" s="697" t="s">
        <v>109</v>
      </c>
      <c r="U25" s="711" t="s">
        <v>110</v>
      </c>
      <c r="V25" s="753" t="s">
        <v>111</v>
      </c>
      <c r="W25" s="171"/>
      <c r="X25" s="720">
        <f>VLOOKUP($R25,'Health Data'!$F$14:$J$17,2,FALSE)</f>
        <v>250</v>
      </c>
      <c r="Y25" s="58" t="s">
        <v>39</v>
      </c>
      <c r="Z25" s="89">
        <f>VLOOKUP($R$25,'Health Data'!$F$14:$J$17,3,FALSE)</f>
        <v>30</v>
      </c>
      <c r="AA25" s="99" t="str">
        <f>IFERROR($X25/AA$19, "Not Assessed")</f>
        <v>Not Assessed</v>
      </c>
      <c r="AB25" s="99">
        <f>IFERROR($X25/AA$11, "")</f>
        <v>222.51891410769917</v>
      </c>
      <c r="AC25" s="99">
        <f>IFERROR($X25/AA$13, "")</f>
        <v>1112.5945705384959</v>
      </c>
      <c r="AD25" s="99">
        <f>IFERROR($X25/AA$15, "")</f>
        <v>2225.1891410769917</v>
      </c>
      <c r="AE25" s="90">
        <f>IFERROR($X25/AA$17, "")</f>
        <v>4450.3782821539835</v>
      </c>
    </row>
    <row r="26" spans="1:33" s="103" customFormat="1" ht="30" customHeight="1" thickBot="1" x14ac:dyDescent="0.35">
      <c r="B26" s="748"/>
      <c r="C26" s="728"/>
      <c r="D26" s="730"/>
      <c r="E26" s="732"/>
      <c r="F26" s="726"/>
      <c r="G26" s="174"/>
      <c r="H26" s="724"/>
      <c r="I26" s="178" t="s">
        <v>59</v>
      </c>
      <c r="J26" s="91">
        <f>VLOOKUP($B$25,'Health Data'!F6:K9,4,FALSE)</f>
        <v>10</v>
      </c>
      <c r="K26" s="179">
        <f>IFERROR($H25/IF($J$5="Worker",$K$13,$K$14), "No Data")</f>
        <v>404.6257891044072</v>
      </c>
      <c r="L26" s="100">
        <f>IFERROR($H25/(IF($J$5="Worker",$K$13,$K$14)/('List Values'!$D$16)), "No Data")</f>
        <v>4046.257891044072</v>
      </c>
      <c r="M26" s="100">
        <f>IFERROR($H25/(IF($J$5="Worker",$K$13,$K$14)/'List Values'!$D$17), "No Data")</f>
        <v>10115.644727610179</v>
      </c>
      <c r="N26" s="100">
        <f>IFERROR($H25/(IF($J$5="Worker",$K$13,$K$14)/'List Values'!$D$18), "No Data")</f>
        <v>20231.289455220358</v>
      </c>
      <c r="O26" s="100">
        <f>IFERROR($H25/(IF($J$5="Worker",$K$13,$K$14)/'List Values'!$D$19), "No Data")</f>
        <v>404625.78910440725</v>
      </c>
      <c r="P26" s="96">
        <f>IFERROR($H25/(IF($J$5="Worker",$K$13,$K$14)/'List Values'!$D$20), "No Data")</f>
        <v>4046257.8910440723</v>
      </c>
      <c r="Q26" s="177"/>
      <c r="R26" s="707"/>
      <c r="S26" s="709"/>
      <c r="T26" s="710"/>
      <c r="U26" s="712"/>
      <c r="V26" s="754"/>
      <c r="W26" s="171"/>
      <c r="X26" s="721"/>
      <c r="Y26" s="72" t="s">
        <v>42</v>
      </c>
      <c r="Z26" s="95">
        <f>VLOOKUP($R$25,'Health Data'!$F$14:$J$17,3,FALSE)</f>
        <v>30</v>
      </c>
      <c r="AA26" s="100" t="str">
        <f>IFERROR($X26/AA$20, "Not Assessed")</f>
        <v>Not Assessed</v>
      </c>
      <c r="AB26" s="180">
        <f>IFERROR($X25/AA$12, "")</f>
        <v>667.55674232309741</v>
      </c>
      <c r="AC26" s="180">
        <f>IFERROR($X25/AA$14, "")</f>
        <v>3337.7837116154874</v>
      </c>
      <c r="AD26" s="180">
        <f>IFERROR($X25/AA$16, "")</f>
        <v>6675.5674232309748</v>
      </c>
      <c r="AE26" s="181">
        <f>IFERROR($X25/AA$18, "")</f>
        <v>13351.13484646195</v>
      </c>
    </row>
    <row r="27" spans="1:33" s="103" customFormat="1" ht="36" customHeight="1" x14ac:dyDescent="0.3">
      <c r="B27" s="747" t="s">
        <v>62</v>
      </c>
      <c r="C27" s="751" t="s">
        <v>112</v>
      </c>
      <c r="D27" s="755" t="s">
        <v>109</v>
      </c>
      <c r="E27" s="752" t="s">
        <v>113</v>
      </c>
      <c r="F27" s="753" t="s">
        <v>111</v>
      </c>
      <c r="G27" s="174"/>
      <c r="H27" s="723">
        <f>IF($L$5='List Values'!$D$23,VLOOKUP($B27,'Health Data'!$F$6:$I$8,2),VLOOKUP($B27,'Health Data'!$F$6:$I$8,3))</f>
        <v>31.1</v>
      </c>
      <c r="I27" s="182" t="s">
        <v>39</v>
      </c>
      <c r="J27" s="183">
        <f>VLOOKUP(B27,'Health Data'!F6:K9,4,FALSE)</f>
        <v>30</v>
      </c>
      <c r="K27" s="184">
        <f>IFERROR($H27/IF($J$5="Worker",$L$11, $L$12), "No Data")</f>
        <v>10.655760339653106</v>
      </c>
      <c r="L27" s="180">
        <f>IFERROR($H27/(IF($J$5="Worker",$L$11,$L$12)/'List Values'!$D$16), "No Data")</f>
        <v>106.55760339653106</v>
      </c>
      <c r="M27" s="180">
        <f>IFERROR($H27/(IF($J$5="Worker",$L$11,$L$12)/'List Values'!$D$17), "No Data")</f>
        <v>266.39400849132767</v>
      </c>
      <c r="N27" s="180">
        <f>IFERROR($H27/(IF($J$5="Worker",$L$11,$L$12)/'List Values'!$D$18), "No Data")</f>
        <v>532.78801698265534</v>
      </c>
      <c r="O27" s="180">
        <f>IFERROR($H27/(IF($J$5="Worker",$L$11,$L$12)/'List Values'!$D$19), "No Data")</f>
        <v>10655.760339653107</v>
      </c>
      <c r="P27" s="181">
        <f>IFERROR($H27/(IF($J$5="Worker",$L$11,$L$12)/'List Values'!$D$20), "No Data")</f>
        <v>106557.60339653106</v>
      </c>
      <c r="Q27" s="168"/>
      <c r="R27" s="707" t="s">
        <v>64</v>
      </c>
      <c r="S27" s="751" t="s">
        <v>112</v>
      </c>
      <c r="T27" s="697" t="s">
        <v>109</v>
      </c>
      <c r="U27" s="711" t="s">
        <v>114</v>
      </c>
      <c r="V27" s="753" t="s">
        <v>111</v>
      </c>
      <c r="W27" s="171"/>
      <c r="X27" s="749">
        <f>VLOOKUP($R27,'Health Data'!$F$14:$J$17,2,FALSE)</f>
        <v>2.5</v>
      </c>
      <c r="Y27" s="58" t="s">
        <v>39</v>
      </c>
      <c r="Z27" s="89">
        <f>VLOOKUP($R$27,'Health Data'!$F$14:$J$17,3,FALSE)</f>
        <v>30</v>
      </c>
      <c r="AA27" s="99" t="str">
        <f>IFERROR($X27/AB$19, "Not Assessed")</f>
        <v>Not Assessed</v>
      </c>
      <c r="AB27" s="99">
        <f>IFERROR($X27/AB$11, "")</f>
        <v>2.2251891410769917</v>
      </c>
      <c r="AC27" s="99">
        <f>IFERROR($X27/AB$13, "")</f>
        <v>11.125945705384959</v>
      </c>
      <c r="AD27" s="99">
        <f>IFERROR($X27/AB$15, "")</f>
        <v>22.251891410769918</v>
      </c>
      <c r="AE27" s="90">
        <f>IFERROR($X27/AB$17, "")</f>
        <v>44.503782821539836</v>
      </c>
    </row>
    <row r="28" spans="1:33" s="103" customFormat="1" ht="46.5" customHeight="1" thickBot="1" x14ac:dyDescent="0.35">
      <c r="B28" s="747"/>
      <c r="C28" s="751"/>
      <c r="D28" s="710"/>
      <c r="E28" s="712"/>
      <c r="F28" s="756"/>
      <c r="G28" s="174"/>
      <c r="H28" s="724"/>
      <c r="I28" s="178" t="s">
        <v>59</v>
      </c>
      <c r="J28" s="91">
        <f>VLOOKUP(B27,'Health Data'!F6:K9,4,FALSE)</f>
        <v>30</v>
      </c>
      <c r="K28" s="179">
        <f>IFERROR($H27/IF($J$5="Worker",$L$13,$L$14), "No Data")</f>
        <v>34.955172336519624</v>
      </c>
      <c r="L28" s="180">
        <f>IFERROR($H27/(IF($J$5="Worker",$L$13,$L$14)/('List Values'!$D$16)), "No Data")</f>
        <v>349.55172336519627</v>
      </c>
      <c r="M28" s="180">
        <f>IFERROR($H27/(IF($J$5="Worker",$L$13,$L$14)/'List Values'!$D$17), "No Data")</f>
        <v>873.87930841299055</v>
      </c>
      <c r="N28" s="180">
        <f>IFERROR($H27/(IF($J$5="Worker",$L$13,$L$14)/'List Values'!$D$18), "No Data")</f>
        <v>1747.7586168259811</v>
      </c>
      <c r="O28" s="180">
        <f>IFERROR($H27/(IF($J$5="Worker",$L$13,$L$14)/'List Values'!$D$19), "No Data")</f>
        <v>34955.172336519623</v>
      </c>
      <c r="P28" s="181">
        <f>IFERROR($H27/(IF($J$5="Worker",$L$13,$L$14)/'List Values'!$D$20), "No Data")</f>
        <v>349551.72336519626</v>
      </c>
      <c r="Q28" s="168"/>
      <c r="R28" s="707"/>
      <c r="S28" s="751"/>
      <c r="T28" s="710"/>
      <c r="U28" s="712"/>
      <c r="V28" s="754"/>
      <c r="W28" s="171"/>
      <c r="X28" s="750"/>
      <c r="Y28" s="72" t="s">
        <v>42</v>
      </c>
      <c r="Z28" s="95">
        <f>VLOOKUP($R$27,'Health Data'!$F$14:$J$17,3,FALSE)</f>
        <v>30</v>
      </c>
      <c r="AA28" s="185" t="str">
        <f>IFERROR($X27/AB$20, "Not Assessed")</f>
        <v>Not Assessed</v>
      </c>
      <c r="AB28" s="185">
        <f>IFERROR($X27/AB$12, "")</f>
        <v>6.6755674232309747</v>
      </c>
      <c r="AC28" s="185">
        <f>IFERROR($X27/AB$14, "")</f>
        <v>33.377837116154879</v>
      </c>
      <c r="AD28" s="185">
        <f>IFERROR($X27/AB$16, "")</f>
        <v>66.755674232309758</v>
      </c>
      <c r="AE28" s="186">
        <f>IFERROR($X27/AB$18, "")</f>
        <v>133.51134846461952</v>
      </c>
    </row>
    <row r="29" spans="1:33" s="146" customFormat="1" ht="28.95" customHeight="1" x14ac:dyDescent="0.3">
      <c r="A29" s="103"/>
      <c r="B29" s="747" t="s">
        <v>71</v>
      </c>
      <c r="C29" s="758" t="s">
        <v>115</v>
      </c>
      <c r="D29" s="697" t="s">
        <v>116</v>
      </c>
      <c r="E29" s="700" t="s">
        <v>117</v>
      </c>
      <c r="F29" s="753" t="s">
        <v>118</v>
      </c>
      <c r="G29" s="174"/>
      <c r="H29" s="764">
        <f>VLOOKUP($B29,'Health Data'!$F$6:$K$9,2)</f>
        <v>6</v>
      </c>
      <c r="I29" s="58" t="s">
        <v>39</v>
      </c>
      <c r="J29" s="187">
        <f>VLOOKUP(B29,'Health Data'!F6:K9,4,FALSE)</f>
        <v>300</v>
      </c>
      <c r="K29" s="188">
        <f>IF($J$5="Worker",IFERROR($H$29/$M11, "No Data"), IFERROR($H$29/$M12, "No Data"))</f>
        <v>17.558363162889489</v>
      </c>
      <c r="L29" s="189">
        <f>IF($J$5="Worker", IFERROR($H$29/$M11/'List Values'!$D$16, "No Data"), IFERROR($H$29/$M12/'List Values'!$D$16, "No Data"))</f>
        <v>1.7558363162889488</v>
      </c>
      <c r="M29" s="189">
        <f>IF($J$5="Worker",IFERROR($H$29/$M11/'List Values'!$D$17, "No Data"), IFERROR($H$29/$M12/'List Values'!$D$17, "No Data"))</f>
        <v>0.70233452651557959</v>
      </c>
      <c r="N29" s="189">
        <f>IF($J$5="Worker", IFERROR($H$29/$M11/'List Values'!$D$18, "No Data"), IFERROR($H$29/$M12/'List Values'!$D$18, "No Data"))</f>
        <v>0.3511672632577898</v>
      </c>
      <c r="O29" s="189">
        <f>IF($J$5="Worker", IFERROR($H$29/$M11/'List Values'!$D$19, "No Data"), IFERROR($H$29/$M12/'List Values'!$D$19, "No Data"))</f>
        <v>1.7558363162889487E-2</v>
      </c>
      <c r="P29" s="190">
        <f>IF($J$5="Worker", IFERROR($H$29/$M11/'List Values'!$D$20, "No Data"), IFERROR($H$29/$M12/'List Values'!$D$20, "No Data"))</f>
        <v>1.7558363162889488E-3</v>
      </c>
      <c r="Q29" s="177"/>
      <c r="R29" s="707" t="s">
        <v>72</v>
      </c>
      <c r="S29" s="758" t="s">
        <v>115</v>
      </c>
      <c r="T29" s="697" t="s">
        <v>116</v>
      </c>
      <c r="U29" s="700" t="s">
        <v>117</v>
      </c>
      <c r="V29" s="702" t="s">
        <v>118</v>
      </c>
      <c r="W29" s="171"/>
      <c r="X29" s="704">
        <f>VLOOKUP(R29,'Health Data'!$F$14:$J$17,2,FALSE)</f>
        <v>1.4</v>
      </c>
      <c r="Y29" s="191" t="s">
        <v>39</v>
      </c>
      <c r="Z29" s="192">
        <f>VLOOKUP($R$29,'Health Data'!$F$14:$J$17,3,FALSE)</f>
        <v>300</v>
      </c>
      <c r="AA29" s="99" t="str">
        <f>IFERROR($X$29/$AC19, "Not Assessed")</f>
        <v>Not Assessed</v>
      </c>
      <c r="AB29" s="193">
        <f>IFERROR($X$29/$AC11, "Not Assessed")</f>
        <v>3.5476635514018691</v>
      </c>
      <c r="AC29" s="193">
        <f>IFERROR($X$29/$AC13, "Not Assessed")</f>
        <v>17.738317757009344</v>
      </c>
      <c r="AD29" s="193">
        <f>IFERROR($X$29/$AC15, "Not Assessed")</f>
        <v>35.476635514018689</v>
      </c>
      <c r="AE29" s="194">
        <f>IFERROR($X$29/$AC17, "Not Assessed")</f>
        <v>70.953271028037378</v>
      </c>
    </row>
    <row r="30" spans="1:33" s="146" customFormat="1" ht="13.8" thickBot="1" x14ac:dyDescent="0.35">
      <c r="A30" s="103"/>
      <c r="B30" s="747"/>
      <c r="C30" s="759"/>
      <c r="D30" s="698"/>
      <c r="E30" s="701"/>
      <c r="F30" s="702"/>
      <c r="G30" s="174"/>
      <c r="H30" s="765"/>
      <c r="I30" s="72" t="s">
        <v>59</v>
      </c>
      <c r="J30" s="195">
        <f>VLOOKUP(B29,'Health Data'!F6:K9,4,FALSE)</f>
        <v>300</v>
      </c>
      <c r="K30" s="196">
        <f>IF($J$5="Worker", IFERROR($H$29/$M13, "No Data"), IFERROR($H$29/$M14, "No Data"))</f>
        <v>74.320620747112727</v>
      </c>
      <c r="L30" s="197">
        <f>IF($J$5="Worker", IFERROR($H$29/$M13/'List Values'!$D$16, "No Data"), IFERROR($H$29/$M14/'List Values'!$D$16, "No Data"))</f>
        <v>7.4320620747112729</v>
      </c>
      <c r="M30" s="197">
        <f>IF($J$5="Worker", IFERROR($H$29/$M13/'List Values'!$D$17, "No Data"), IFERROR($H$29/$M14/'List Values'!$D$17, "No Data"))</f>
        <v>2.9728248298845092</v>
      </c>
      <c r="N30" s="197">
        <f>IF($J$5="Worker", IFERROR($H$29/$M13/'List Values'!$D$18, "No Data"), IFERROR($H$29/$M14/'List Values'!$D$18, "No Data"))</f>
        <v>1.4864124149422546</v>
      </c>
      <c r="O30" s="197">
        <f>IF($J$5="Worker", IFERROR($H$29/$M13/'List Values'!$D$19, "No Data"), IFERROR($H$29/$M14/'List Values'!$D$19, "No Data"))</f>
        <v>7.4320620747112723E-2</v>
      </c>
      <c r="P30" s="198">
        <f>IF($J$5="Worker", IFERROR($H$29/$M13/'List Values'!$D$20, "No Data"), IFERROR($H$29/$M14/'List Values'!$D$20, "No Data"))</f>
        <v>7.4320620747112725E-3</v>
      </c>
      <c r="Q30" s="177"/>
      <c r="R30" s="757"/>
      <c r="S30" s="759"/>
      <c r="T30" s="698"/>
      <c r="U30" s="701"/>
      <c r="V30" s="703"/>
      <c r="W30" s="171"/>
      <c r="X30" s="705"/>
      <c r="Y30" s="113" t="s">
        <v>42</v>
      </c>
      <c r="Z30" s="199">
        <f>VLOOKUP($R$29,'Health Data'!$F$14:$J$17,3,FALSE)</f>
        <v>300</v>
      </c>
      <c r="AA30" s="100" t="str">
        <f>IFERROR(X30/$AC20, "Not Assessed")</f>
        <v>Not Assessed</v>
      </c>
      <c r="AB30" s="100">
        <f>IFERROR($X$29/$AC12, "Not Assessed")</f>
        <v>13.732891166716913</v>
      </c>
      <c r="AC30" s="100">
        <f>IFERROR($X$29/$AC14, "Not Assessed")</f>
        <v>68.664455833584555</v>
      </c>
      <c r="AD30" s="100">
        <f>IFERROR($X$29/$AC16, "Not Assessed")</f>
        <v>137.32891166716911</v>
      </c>
      <c r="AE30" s="96">
        <f>IFERROR($X$29/$AC18, "Not Assessed")</f>
        <v>274.65782333433822</v>
      </c>
    </row>
    <row r="31" spans="1:33" s="103" customFormat="1" ht="15" customHeight="1" x14ac:dyDescent="0.3">
      <c r="A31" s="146"/>
      <c r="B31" s="747" t="s">
        <v>77</v>
      </c>
      <c r="C31" s="759"/>
      <c r="D31" s="698"/>
      <c r="E31" s="711" t="s">
        <v>119</v>
      </c>
      <c r="F31" s="769" t="s">
        <v>118</v>
      </c>
      <c r="G31" s="200"/>
      <c r="H31" s="766">
        <f>VLOOKUP(B31,'Health Data'!F6:K9,6)</f>
        <v>6.0000000000000001E-3</v>
      </c>
      <c r="I31" s="191" t="s">
        <v>39</v>
      </c>
      <c r="J31" s="201">
        <f>VLOOKUP(B31,'Health Data'!F6:K9,5,FALSE)</f>
        <v>1E-4</v>
      </c>
      <c r="K31" s="202">
        <f>IF($J$5="Worker",  IFERROR($M$11*$H$31, "No Data"),  IFERROR($M$12*$H$31, "No Data"))</f>
        <v>2.0503050122626389E-3</v>
      </c>
      <c r="L31" s="203">
        <f>IF($J$5="Worker", IFERROR($M$11*$H$31/('List Values'!$D16), "No Data"), IFERROR($M$12*$H$31/('List Values'!$D16), "No Data"))</f>
        <v>2.050305012262639E-4</v>
      </c>
      <c r="M31" s="203">
        <f>IF($J$5="Worker", IFERROR($M$11*$H$31/('List Values'!$D17), "No Data"), IFERROR($M$12*$H$31/('List Values'!$D17), "No Data"))</f>
        <v>8.2012200490505559E-5</v>
      </c>
      <c r="N31" s="203">
        <f>IF($J$5="Worker", IFERROR($M$11*$H$31/('List Values'!$D18), "No Data"), IFERROR($M$12*$H$31/('List Values'!$D18), "No Data"))</f>
        <v>4.1006100245252779E-5</v>
      </c>
      <c r="O31" s="203">
        <f>IF($J$5="Worker", IFERROR($M$11*$H$31/('List Values'!$D19), "No Data"), IFERROR($M$12*$H$31/('List Values'!$D19), "No Data"))</f>
        <v>2.0503050122626387E-6</v>
      </c>
      <c r="P31" s="203">
        <f>IF($J$5="Worker", IFERROR($M$11*$H$31/('List Values'!$D20), "No Data"), IFERROR($M$12*$H$31/('List Values'!$D20), "No Data"))</f>
        <v>2.0503050122626388E-7</v>
      </c>
      <c r="Q31" s="204"/>
      <c r="R31" s="707" t="s">
        <v>78</v>
      </c>
      <c r="S31" s="759"/>
      <c r="T31" s="698"/>
      <c r="U31" s="752" t="s">
        <v>120</v>
      </c>
      <c r="V31" s="702" t="s">
        <v>118</v>
      </c>
      <c r="W31" s="171"/>
      <c r="X31" s="749">
        <f>VLOOKUP($R31,'Health Data'!$F$14:$J$17,5,FALSE)</f>
        <v>0.08</v>
      </c>
      <c r="Y31" s="191" t="s">
        <v>39</v>
      </c>
      <c r="Z31" s="205">
        <f>VLOOKUP(R31,'Health Data'!$F$14:$J$17,4,FALSE)</f>
        <v>1E-4</v>
      </c>
      <c r="AA31" s="180" t="str">
        <f>IFERROR($X31/AC$19, "Not Assessed")</f>
        <v>Not Assessed</v>
      </c>
      <c r="AB31" s="180">
        <f>IFERROR($X31*$AC11, "")</f>
        <v>3.1570073761854583E-2</v>
      </c>
      <c r="AC31" s="180">
        <f>IFERROR($X31*$AC13, "")</f>
        <v>6.314014752370917E-3</v>
      </c>
      <c r="AD31" s="180">
        <f>IFERROR($X31*$AC15, "")</f>
        <v>3.1570073761854585E-3</v>
      </c>
      <c r="AE31" s="181">
        <f>IFERROR($X31*$AC17, "")</f>
        <v>1.5785036880927293E-3</v>
      </c>
      <c r="AF31" s="146"/>
      <c r="AG31" s="146"/>
    </row>
    <row r="32" spans="1:33" s="103" customFormat="1" ht="25.5" customHeight="1" thickBot="1" x14ac:dyDescent="0.35">
      <c r="A32" s="146"/>
      <c r="B32" s="747"/>
      <c r="C32" s="760"/>
      <c r="D32" s="699"/>
      <c r="E32" s="768"/>
      <c r="F32" s="703"/>
      <c r="G32" s="206"/>
      <c r="H32" s="767"/>
      <c r="I32" s="113" t="s">
        <v>42</v>
      </c>
      <c r="J32" s="207">
        <f>VLOOKUP(B31,'Health Data'!F6:K9,5,FALSE)</f>
        <v>1E-4</v>
      </c>
      <c r="K32" s="208">
        <f>IF($J$5="Worker", IFERROR($M$13*$H$31, "No Data"), IFERROR($M$14*$H$31, "No Data"))</f>
        <v>4.8438777338116566E-4</v>
      </c>
      <c r="L32" s="127">
        <f>IF($J$5="Worker", IFERROR($M$13*$H$31/('List Values'!$D$16), "No Data"), IFERROR($M$14*$H$31/('List Values'!$D$16), "No Data"))</f>
        <v>4.8438777338116564E-5</v>
      </c>
      <c r="M32" s="127">
        <f>IF($J$5="Worker", IFERROR($M$13*$H$31/('List Values'!$D$17), "No Data"), IFERROR($M$14*$H$31/('List Values'!$D$17), "No Data"))</f>
        <v>1.9375510935246626E-5</v>
      </c>
      <c r="N32" s="127">
        <f>IF($J$5="Worker", IFERROR($M$13*$H$31/('List Values'!$D$18), "No Data"), IFERROR($M$14*$H$31/('List Values'!$D$18), "No Data"))</f>
        <v>9.6877554676233131E-6</v>
      </c>
      <c r="O32" s="127">
        <f>IF($J$5="Worker", IFERROR($M$13*$H$31/('List Values'!$D$19), "No Data"), IFERROR($M$14*$H$31/('List Values'!$D$19), "No Data"))</f>
        <v>4.8438777338116565E-7</v>
      </c>
      <c r="P32" s="127">
        <f>IF($J$5="Worker", IFERROR($M$13*$H$31/('List Values'!$D$20), "No Data"), IFERROR($M$14*$H$31/('List Values'!$D$20), "No Data"))</f>
        <v>4.8438777338116567E-8</v>
      </c>
      <c r="Q32" s="143"/>
      <c r="R32" s="757"/>
      <c r="S32" s="760"/>
      <c r="T32" s="699"/>
      <c r="U32" s="768"/>
      <c r="V32" s="703"/>
      <c r="W32" s="209"/>
      <c r="X32" s="750"/>
      <c r="Y32" s="113" t="s">
        <v>42</v>
      </c>
      <c r="Z32" s="210">
        <f>VLOOKUP(R31,'Health Data'!$F$14:$J$17,4,FALSE)</f>
        <v>1E-4</v>
      </c>
      <c r="AA32" s="100" t="str">
        <f>IFERROR($X32/AC$20, "Not Assessed")</f>
        <v>Not Assessed</v>
      </c>
      <c r="AB32" s="100">
        <f>IFERROR($X31*$AC12, "")</f>
        <v>8.155602388479101E-3</v>
      </c>
      <c r="AC32" s="100">
        <f>IFERROR($X31*$AC14, "")</f>
        <v>1.6311204776958202E-3</v>
      </c>
      <c r="AD32" s="100">
        <f>IFERROR($X31*$AC16, "")</f>
        <v>8.155602388479101E-4</v>
      </c>
      <c r="AE32" s="96">
        <f>IFERROR($X31*$AC18, "")</f>
        <v>4.0778011942395505E-4</v>
      </c>
      <c r="AF32" s="146"/>
      <c r="AG32" s="146"/>
    </row>
    <row r="33" spans="1:34" s="103" customFormat="1" ht="13.8" x14ac:dyDescent="0.3">
      <c r="B33" s="146"/>
      <c r="C33" s="39"/>
      <c r="D33" s="145"/>
      <c r="E33" s="39"/>
      <c r="F33" s="39"/>
      <c r="G33" s="143"/>
      <c r="H33" s="143"/>
      <c r="I33" s="143"/>
      <c r="J33" s="143"/>
      <c r="K33" s="143"/>
      <c r="L33" s="143"/>
      <c r="M33" s="143"/>
      <c r="O33" s="143"/>
      <c r="P33" s="143"/>
      <c r="Q33" s="143"/>
      <c r="R33" s="143"/>
      <c r="S33" s="143"/>
      <c r="T33" s="143"/>
      <c r="U33" s="143"/>
      <c r="V33" s="211"/>
      <c r="W33" s="212"/>
      <c r="X33" s="213"/>
      <c r="Y33" s="214"/>
      <c r="Z33" s="215"/>
      <c r="AA33" s="216"/>
      <c r="AB33" s="216"/>
      <c r="AC33" s="216"/>
      <c r="AD33" s="216"/>
      <c r="AE33" s="216"/>
      <c r="AF33" s="146"/>
    </row>
    <row r="34" spans="1:34" s="103" customFormat="1" x14ac:dyDescent="0.3">
      <c r="B34" s="144"/>
      <c r="C34" s="39"/>
      <c r="D34" s="145"/>
      <c r="E34" s="39"/>
      <c r="F34" s="39"/>
      <c r="G34" s="143"/>
      <c r="H34" s="143"/>
      <c r="I34" s="143"/>
      <c r="J34" s="143"/>
      <c r="K34" s="143"/>
      <c r="L34" s="143"/>
      <c r="M34" s="143"/>
      <c r="O34" s="143"/>
      <c r="P34" s="143"/>
      <c r="Q34" s="143"/>
      <c r="R34" s="143"/>
      <c r="S34" s="143"/>
      <c r="T34" s="143"/>
      <c r="U34" s="143"/>
      <c r="V34" s="143"/>
      <c r="W34" s="143"/>
      <c r="X34" s="143"/>
      <c r="AG34" s="143"/>
    </row>
    <row r="35" spans="1:34" x14ac:dyDescent="0.3">
      <c r="A35" s="103"/>
      <c r="N35" s="103"/>
      <c r="Y35" s="103"/>
      <c r="Z35" s="103"/>
      <c r="AA35" s="103"/>
      <c r="AB35" s="103"/>
      <c r="AC35" s="103"/>
      <c r="AD35" s="103"/>
      <c r="AE35" s="103"/>
      <c r="AG35" s="103"/>
      <c r="AH35" s="103"/>
    </row>
    <row r="36" spans="1:34" x14ac:dyDescent="0.3">
      <c r="A36" s="103"/>
      <c r="Z36" s="103"/>
      <c r="AA36" s="103"/>
      <c r="AB36" s="103"/>
      <c r="AC36" s="103"/>
      <c r="AD36" s="103"/>
      <c r="AE36" s="103"/>
      <c r="AF36" s="103"/>
      <c r="AG36" s="103"/>
    </row>
    <row r="37" spans="1:34" x14ac:dyDescent="0.3">
      <c r="A37" s="103"/>
      <c r="Z37" s="103"/>
      <c r="AA37" s="103"/>
      <c r="AB37" s="103"/>
      <c r="AC37" s="103"/>
      <c r="AD37" s="103"/>
      <c r="AE37" s="103"/>
      <c r="AF37" s="103"/>
      <c r="AG37" s="103"/>
    </row>
    <row r="38" spans="1:34" x14ac:dyDescent="0.3">
      <c r="AF38" s="103"/>
      <c r="AG38" s="103"/>
    </row>
    <row r="39" spans="1:34" x14ac:dyDescent="0.3">
      <c r="AF39" s="103"/>
    </row>
    <row r="43" spans="1:34" x14ac:dyDescent="0.3">
      <c r="I43" s="103"/>
      <c r="J43" s="103"/>
      <c r="K43" s="103"/>
      <c r="L43" s="103"/>
      <c r="M43" s="103"/>
    </row>
    <row r="44" spans="1:34" x14ac:dyDescent="0.3">
      <c r="Q44" s="103"/>
    </row>
    <row r="46" spans="1:34" x14ac:dyDescent="0.3">
      <c r="R46" s="103"/>
      <c r="S46" s="103"/>
      <c r="T46" s="103"/>
      <c r="U46" s="103"/>
    </row>
    <row r="48" spans="1:34" x14ac:dyDescent="0.3">
      <c r="O48" s="103"/>
      <c r="P48" s="103"/>
    </row>
    <row r="49" spans="1:34" x14ac:dyDescent="0.3">
      <c r="C49" s="40"/>
      <c r="D49" s="101"/>
      <c r="E49" s="40"/>
      <c r="F49" s="40"/>
      <c r="G49" s="103"/>
      <c r="H49" s="103"/>
      <c r="V49" s="103"/>
      <c r="W49" s="103"/>
      <c r="X49" s="103"/>
    </row>
    <row r="51" spans="1:34" x14ac:dyDescent="0.3">
      <c r="B51" s="146"/>
    </row>
    <row r="52" spans="1:34" s="103" customFormat="1" x14ac:dyDescent="0.3">
      <c r="A52" s="143"/>
      <c r="B52" s="217"/>
      <c r="C52" s="39"/>
      <c r="D52" s="145"/>
      <c r="E52" s="39"/>
      <c r="F52" s="39"/>
      <c r="G52" s="143"/>
      <c r="H52" s="143"/>
      <c r="I52" s="143"/>
      <c r="J52" s="143"/>
      <c r="K52" s="143"/>
      <c r="L52" s="143"/>
      <c r="M52" s="143"/>
      <c r="N52" s="143"/>
      <c r="O52" s="143"/>
      <c r="P52" s="143"/>
      <c r="Q52" s="143"/>
      <c r="R52" s="143"/>
      <c r="S52" s="143"/>
      <c r="T52" s="143"/>
      <c r="U52" s="143"/>
      <c r="V52" s="143"/>
      <c r="W52" s="143"/>
      <c r="X52" s="143"/>
      <c r="Y52" s="143"/>
      <c r="Z52" s="143"/>
      <c r="AA52" s="143"/>
      <c r="AB52" s="143"/>
      <c r="AC52" s="143"/>
      <c r="AD52" s="143"/>
      <c r="AE52" s="143"/>
      <c r="AF52" s="143"/>
      <c r="AG52" s="143"/>
      <c r="AH52" s="143"/>
    </row>
    <row r="53" spans="1:34" x14ac:dyDescent="0.3">
      <c r="B53" s="217"/>
      <c r="I53" s="218"/>
      <c r="J53" s="218"/>
      <c r="K53" s="218"/>
      <c r="L53" s="218"/>
      <c r="M53" s="218"/>
      <c r="N53" s="103"/>
      <c r="Y53" s="103"/>
      <c r="AH53" s="103"/>
    </row>
    <row r="54" spans="1:34" x14ac:dyDescent="0.3">
      <c r="B54" s="217"/>
      <c r="I54" s="218"/>
      <c r="J54" s="218"/>
      <c r="K54" s="218"/>
      <c r="L54" s="218"/>
      <c r="M54" s="218"/>
    </row>
    <row r="55" spans="1:34" x14ac:dyDescent="0.3">
      <c r="B55" s="217"/>
      <c r="C55" s="219"/>
      <c r="D55" s="220"/>
      <c r="E55" s="219"/>
      <c r="Z55" s="103"/>
      <c r="AA55" s="103"/>
      <c r="AB55" s="103"/>
      <c r="AC55" s="103"/>
      <c r="AD55" s="103"/>
      <c r="AE55" s="103"/>
    </row>
    <row r="56" spans="1:34" ht="26.4" x14ac:dyDescent="0.3">
      <c r="B56" s="217"/>
      <c r="E56" s="219"/>
      <c r="F56" s="218"/>
      <c r="G56" s="221"/>
      <c r="H56" s="222" t="s">
        <v>80</v>
      </c>
      <c r="I56" s="223" t="str">
        <f>I31</f>
        <v>High End</v>
      </c>
      <c r="J56" s="223" t="str">
        <f>I32</f>
        <v>Central Tendency</v>
      </c>
      <c r="X56" s="221"/>
      <c r="Y56" s="221"/>
      <c r="Z56" s="221"/>
      <c r="AG56" s="103"/>
    </row>
    <row r="57" spans="1:34" ht="26.4" x14ac:dyDescent="0.3">
      <c r="H57" s="224" t="s">
        <v>95</v>
      </c>
      <c r="I57" s="225">
        <f>K31</f>
        <v>2.0503050122626389E-3</v>
      </c>
      <c r="J57" s="225">
        <f>K32</f>
        <v>4.8438777338116566E-4</v>
      </c>
      <c r="X57" s="226" t="s">
        <v>82</v>
      </c>
      <c r="Y57" s="223" t="str">
        <f>Y31</f>
        <v>High End</v>
      </c>
      <c r="Z57" s="223" t="str">
        <f>Y32</f>
        <v>Central Tendency</v>
      </c>
      <c r="AF57" s="103"/>
    </row>
    <row r="58" spans="1:34" x14ac:dyDescent="0.3">
      <c r="H58" s="224" t="s">
        <v>96</v>
      </c>
      <c r="I58" s="225">
        <f>L31</f>
        <v>2.050305012262639E-4</v>
      </c>
      <c r="J58" s="225">
        <f>L32</f>
        <v>4.8438777338116564E-5</v>
      </c>
      <c r="X58" s="227" t="s">
        <v>70</v>
      </c>
      <c r="Y58" s="228" t="str">
        <f>AA31</f>
        <v>Not Assessed</v>
      </c>
      <c r="Z58" s="228" t="str">
        <f>AA32</f>
        <v>Not Assessed</v>
      </c>
    </row>
    <row r="59" spans="1:34" x14ac:dyDescent="0.3">
      <c r="H59" s="224" t="s">
        <v>97</v>
      </c>
      <c r="I59" s="225">
        <f>M31</f>
        <v>8.2012200490505559E-5</v>
      </c>
      <c r="J59" s="225">
        <f>M32</f>
        <v>1.9375510935246626E-5</v>
      </c>
      <c r="X59" s="227" t="s">
        <v>121</v>
      </c>
      <c r="Y59" s="225">
        <f>AB31</f>
        <v>3.1570073761854583E-2</v>
      </c>
      <c r="Z59" s="225">
        <f>AB32</f>
        <v>8.155602388479101E-3</v>
      </c>
    </row>
    <row r="60" spans="1:34" ht="26.4" x14ac:dyDescent="0.3">
      <c r="A60" s="143" t="s">
        <v>122</v>
      </c>
      <c r="H60" s="224" t="s">
        <v>98</v>
      </c>
      <c r="I60" s="225">
        <f>N31</f>
        <v>4.1006100245252779E-5</v>
      </c>
      <c r="J60" s="225">
        <f>N32</f>
        <v>9.6877554676233131E-6</v>
      </c>
      <c r="X60" s="227" t="s">
        <v>123</v>
      </c>
      <c r="Y60" s="225">
        <f>AC31</f>
        <v>6.314014752370917E-3</v>
      </c>
      <c r="Z60" s="225">
        <f>AC32</f>
        <v>1.6311204776958202E-3</v>
      </c>
    </row>
    <row r="61" spans="1:34" ht="39.6" x14ac:dyDescent="0.3">
      <c r="H61" s="224" t="s">
        <v>99</v>
      </c>
      <c r="I61" s="225">
        <f>O31</f>
        <v>2.0503050122626387E-6</v>
      </c>
      <c r="J61" s="225">
        <f>O32</f>
        <v>4.8438777338116565E-7</v>
      </c>
      <c r="X61" s="227" t="s">
        <v>124</v>
      </c>
      <c r="Y61" s="225">
        <f>AD31</f>
        <v>3.1570073761854585E-3</v>
      </c>
      <c r="Z61" s="225">
        <f>AD32</f>
        <v>8.155602388479101E-4</v>
      </c>
    </row>
    <row r="62" spans="1:34" ht="26.4" x14ac:dyDescent="0.3">
      <c r="H62" s="224" t="s">
        <v>100</v>
      </c>
      <c r="I62" s="225">
        <f>P31</f>
        <v>2.0503050122626388E-7</v>
      </c>
      <c r="J62" s="225">
        <f>P32</f>
        <v>4.8438777338116567E-8</v>
      </c>
      <c r="X62" s="227" t="s">
        <v>125</v>
      </c>
      <c r="Y62" s="225">
        <f>AE31</f>
        <v>1.5785036880927293E-3</v>
      </c>
      <c r="Z62" s="225">
        <f>AE32</f>
        <v>4.0778011942395505E-4</v>
      </c>
    </row>
    <row r="63" spans="1:34" x14ac:dyDescent="0.3">
      <c r="H63" s="229"/>
      <c r="Z63" s="230"/>
    </row>
  </sheetData>
  <sheetProtection algorithmName="SHA-512" hashValue="2FmzC7rX4Z3J1Lo9NqIVwfijkRiHGtX1LXYf0mpmDrrfuSGUSZrBFKHkRAw9BdGYvghrkb8rMSL4Hsm8nnDEIQ==" saltValue="OCzs9FWAnTy+ELp+HBMOZA==" spinCount="100000" sheet="1" objects="1" scenarios="1"/>
  <dataConsolidate link="1"/>
  <mergeCells count="79">
    <mergeCell ref="A1:N1"/>
    <mergeCell ref="X31:X32"/>
    <mergeCell ref="C29:C32"/>
    <mergeCell ref="D29:D32"/>
    <mergeCell ref="H29:H30"/>
    <mergeCell ref="H31:H32"/>
    <mergeCell ref="R31:R32"/>
    <mergeCell ref="U31:U32"/>
    <mergeCell ref="V31:V32"/>
    <mergeCell ref="F29:F30"/>
    <mergeCell ref="E29:E30"/>
    <mergeCell ref="F31:F32"/>
    <mergeCell ref="E31:E32"/>
    <mergeCell ref="V23:V24"/>
    <mergeCell ref="V25:V26"/>
    <mergeCell ref="B31:B32"/>
    <mergeCell ref="AA23:AE23"/>
    <mergeCell ref="H23:H24"/>
    <mergeCell ref="I23:I24"/>
    <mergeCell ref="J23:J24"/>
    <mergeCell ref="X23:X24"/>
    <mergeCell ref="Z23:Z24"/>
    <mergeCell ref="Y23:Y24"/>
    <mergeCell ref="B27:B28"/>
    <mergeCell ref="B29:B30"/>
    <mergeCell ref="B25:B26"/>
    <mergeCell ref="X27:X28"/>
    <mergeCell ref="S27:S28"/>
    <mergeCell ref="T27:T28"/>
    <mergeCell ref="E27:E28"/>
    <mergeCell ref="U27:U28"/>
    <mergeCell ref="V27:V28"/>
    <mergeCell ref="D27:D28"/>
    <mergeCell ref="C27:C28"/>
    <mergeCell ref="R27:R28"/>
    <mergeCell ref="F27:F28"/>
    <mergeCell ref="H27:H28"/>
    <mergeCell ref="R29:R30"/>
    <mergeCell ref="S29:S32"/>
    <mergeCell ref="I3:K3"/>
    <mergeCell ref="X3:Y3"/>
    <mergeCell ref="J4:K4"/>
    <mergeCell ref="J5:K5"/>
    <mergeCell ref="I11:I12"/>
    <mergeCell ref="Y9:Y10"/>
    <mergeCell ref="X11:X12"/>
    <mergeCell ref="X4:Y4"/>
    <mergeCell ref="X5:Y5"/>
    <mergeCell ref="L4:M4"/>
    <mergeCell ref="L5:M5"/>
    <mergeCell ref="X9:X10"/>
    <mergeCell ref="H9:H10"/>
    <mergeCell ref="I9:I10"/>
    <mergeCell ref="H25:H26"/>
    <mergeCell ref="C23:C24"/>
    <mergeCell ref="F25:F26"/>
    <mergeCell ref="I13:I14"/>
    <mergeCell ref="C25:C26"/>
    <mergeCell ref="D25:D26"/>
    <mergeCell ref="E25:E26"/>
    <mergeCell ref="F23:F24"/>
    <mergeCell ref="D23:E24"/>
    <mergeCell ref="X13:X14"/>
    <mergeCell ref="X19:X20"/>
    <mergeCell ref="X17:X18"/>
    <mergeCell ref="X15:X16"/>
    <mergeCell ref="X25:X26"/>
    <mergeCell ref="T29:T32"/>
    <mergeCell ref="U29:U30"/>
    <mergeCell ref="V29:V30"/>
    <mergeCell ref="X29:X30"/>
    <mergeCell ref="L22:M22"/>
    <mergeCell ref="R25:R26"/>
    <mergeCell ref="S25:S26"/>
    <mergeCell ref="T25:T26"/>
    <mergeCell ref="U25:U26"/>
    <mergeCell ref="K23:P23"/>
    <mergeCell ref="S23:S24"/>
    <mergeCell ref="T23:U24"/>
  </mergeCells>
  <phoneticPr fontId="5" type="noConversion"/>
  <conditionalFormatting sqref="K23 X33 X29">
    <cfRule type="containsBlanks" dxfId="88" priority="206" stopIfTrue="1">
      <formula>LEN(TRIM(K23))=0</formula>
    </cfRule>
  </conditionalFormatting>
  <conditionalFormatting sqref="AB31:AE33 K31:P32">
    <cfRule type="cellIs" dxfId="87" priority="184" operator="greaterThan">
      <formula>0.0001</formula>
    </cfRule>
    <cfRule type="cellIs" dxfId="86" priority="190" operator="lessThanOrEqual">
      <formula>0.0001</formula>
    </cfRule>
  </conditionalFormatting>
  <conditionalFormatting sqref="K25:P28">
    <cfRule type="cellIs" dxfId="85" priority="298" operator="lessThan">
      <formula>$J25</formula>
    </cfRule>
    <cfRule type="cellIs" dxfId="84" priority="299" operator="greaterThanOrEqual">
      <formula>$J25</formula>
    </cfRule>
  </conditionalFormatting>
  <conditionalFormatting sqref="AA33 AA25:AE30">
    <cfRule type="cellIs" dxfId="83" priority="300" operator="greaterThanOrEqual">
      <formula>$Z25</formula>
    </cfRule>
    <cfRule type="cellIs" dxfId="82" priority="301" operator="lessThan">
      <formula>$Z25</formula>
    </cfRule>
  </conditionalFormatting>
  <conditionalFormatting sqref="Z11:AC20 K25:P28 K31:P32 AA27:AE33">
    <cfRule type="cellIs" dxfId="81" priority="161" stopIfTrue="1" operator="equal">
      <formula>0</formula>
    </cfRule>
  </conditionalFormatting>
  <conditionalFormatting sqref="Z11:AC20 K25:P28 K31:P32 AA27:AE33">
    <cfRule type="containsBlanks" dxfId="80" priority="159">
      <formula>LEN(TRIM(K11))=0</formula>
    </cfRule>
  </conditionalFormatting>
  <conditionalFormatting sqref="X33 X29">
    <cfRule type="cellIs" dxfId="79" priority="98" operator="lessThanOrEqual">
      <formula>0.01</formula>
    </cfRule>
    <cfRule type="cellIs" dxfId="78" priority="99" operator="greaterThan">
      <formula>0.01</formula>
    </cfRule>
  </conditionalFormatting>
  <conditionalFormatting sqref="AA25:AE26">
    <cfRule type="cellIs" dxfId="77" priority="94" stopIfTrue="1" operator="equal">
      <formula>0</formula>
    </cfRule>
    <cfRule type="cellIs" dxfId="76" priority="96" operator="greaterThan">
      <formula>0.01</formula>
    </cfRule>
  </conditionalFormatting>
  <conditionalFormatting sqref="AA25:AE26">
    <cfRule type="containsBlanks" dxfId="75" priority="93">
      <formula>LEN(TRIM(AA25))=0</formula>
    </cfRule>
    <cfRule type="cellIs" dxfId="74" priority="95" operator="lessThanOrEqual">
      <formula>0.01</formula>
    </cfRule>
  </conditionalFormatting>
  <conditionalFormatting sqref="X25:X26">
    <cfRule type="cellIs" dxfId="73" priority="90" operator="lessThanOrEqual">
      <formula>0.01</formula>
    </cfRule>
    <cfRule type="cellIs" dxfId="72" priority="91" operator="greaterThan">
      <formula>0.01</formula>
    </cfRule>
  </conditionalFormatting>
  <conditionalFormatting sqref="X25:X26">
    <cfRule type="containsBlanks" dxfId="71" priority="92" stopIfTrue="1">
      <formula>LEN(TRIM(X25))=0</formula>
    </cfRule>
  </conditionalFormatting>
  <conditionalFormatting sqref="X27:X28">
    <cfRule type="cellIs" dxfId="70" priority="87" operator="lessThanOrEqual">
      <formula>0.01</formula>
    </cfRule>
    <cfRule type="cellIs" dxfId="69" priority="88" operator="greaterThan">
      <formula>0.01</formula>
    </cfRule>
  </conditionalFormatting>
  <conditionalFormatting sqref="X27:X28">
    <cfRule type="containsBlanks" dxfId="68" priority="89" stopIfTrue="1">
      <formula>LEN(TRIM(X27))=0</formula>
    </cfRule>
  </conditionalFormatting>
  <conditionalFormatting sqref="X31:X32">
    <cfRule type="cellIs" dxfId="67" priority="84" operator="lessThanOrEqual">
      <formula>0.1</formula>
    </cfRule>
    <cfRule type="cellIs" dxfId="66" priority="85" operator="greaterThan">
      <formula>0.01</formula>
    </cfRule>
  </conditionalFormatting>
  <conditionalFormatting sqref="X31:X32">
    <cfRule type="containsBlanks" dxfId="65" priority="86" stopIfTrue="1">
      <formula>LEN(TRIM(X31))=0</formula>
    </cfRule>
  </conditionalFormatting>
  <conditionalFormatting sqref="K29:P30">
    <cfRule type="cellIs" dxfId="64" priority="6" operator="equal">
      <formula>"Assessed using linear slope factor"</formula>
    </cfRule>
    <cfRule type="cellIs" dxfId="63" priority="70" operator="lessThan">
      <formula>$J29</formula>
    </cfRule>
    <cfRule type="cellIs" dxfId="62" priority="71" operator="greaterThanOrEqual">
      <formula>$J29</formula>
    </cfRule>
  </conditionalFormatting>
  <conditionalFormatting sqref="K29:P30">
    <cfRule type="cellIs" dxfId="61" priority="67" stopIfTrue="1" operator="equal">
      <formula>0</formula>
    </cfRule>
    <cfRule type="cellIs" dxfId="60" priority="69" operator="greaterThan">
      <formula>0.01</formula>
    </cfRule>
  </conditionalFormatting>
  <conditionalFormatting sqref="K29:P30">
    <cfRule type="containsBlanks" dxfId="59" priority="66">
      <formula>LEN(TRIM(K29))=0</formula>
    </cfRule>
    <cfRule type="cellIs" dxfId="58" priority="68" operator="lessThanOrEqual">
      <formula>0.01</formula>
    </cfRule>
  </conditionalFormatting>
  <conditionalFormatting sqref="AA25:AE33">
    <cfRule type="cellIs" dxfId="57" priority="51" stopIfTrue="1" operator="equal">
      <formula>"No Data"</formula>
    </cfRule>
  </conditionalFormatting>
  <conditionalFormatting sqref="AA25:AA26">
    <cfRule type="cellIs" dxfId="56" priority="64" operator="greaterThanOrEqual">
      <formula>$Z25</formula>
    </cfRule>
    <cfRule type="cellIs" dxfId="55" priority="65" operator="lessThan">
      <formula>$Z25</formula>
    </cfRule>
  </conditionalFormatting>
  <conditionalFormatting sqref="AA25:AA26">
    <cfRule type="cellIs" dxfId="54" priority="61" stopIfTrue="1" operator="equal">
      <formula>0</formula>
    </cfRule>
    <cfRule type="cellIs" dxfId="53" priority="63" operator="greaterThan">
      <formula>0.01</formula>
    </cfRule>
  </conditionalFormatting>
  <conditionalFormatting sqref="AA25:AA26">
    <cfRule type="containsBlanks" dxfId="52" priority="60">
      <formula>LEN(TRIM(AA25))=0</formula>
    </cfRule>
    <cfRule type="cellIs" dxfId="51" priority="62" operator="lessThanOrEqual">
      <formula>0.01</formula>
    </cfRule>
  </conditionalFormatting>
  <conditionalFormatting sqref="AA31:AA32">
    <cfRule type="cellIs" dxfId="50" priority="52" operator="greaterThanOrEqual">
      <formula>$Z31</formula>
    </cfRule>
    <cfRule type="cellIs" dxfId="49" priority="53" operator="lessThan">
      <formula>$Z31</formula>
    </cfRule>
  </conditionalFormatting>
  <conditionalFormatting sqref="AB25:AE26">
    <cfRule type="cellIs" dxfId="48" priority="49" operator="greaterThanOrEqual">
      <formula>$Z25</formula>
    </cfRule>
    <cfRule type="cellIs" dxfId="47" priority="50" operator="lessThan">
      <formula>$Z25</formula>
    </cfRule>
  </conditionalFormatting>
  <conditionalFormatting sqref="AB25:AE26">
    <cfRule type="cellIs" dxfId="46" priority="46" stopIfTrue="1" operator="equal">
      <formula>0</formula>
    </cfRule>
    <cfRule type="cellIs" dxfId="45" priority="48" operator="greaterThan">
      <formula>0.01</formula>
    </cfRule>
  </conditionalFormatting>
  <conditionalFormatting sqref="AB25:AE26">
    <cfRule type="containsBlanks" dxfId="44" priority="45">
      <formula>LEN(TRIM(AB25))=0</formula>
    </cfRule>
    <cfRule type="cellIs" dxfId="43" priority="47" operator="lessThanOrEqual">
      <formula>0.01</formula>
    </cfRule>
  </conditionalFormatting>
  <conditionalFormatting sqref="M13:M14">
    <cfRule type="cellIs" dxfId="42" priority="9" stopIfTrue="1" operator="equal">
      <formula>0</formula>
    </cfRule>
  </conditionalFormatting>
  <conditionalFormatting sqref="K25:P32">
    <cfRule type="cellIs" dxfId="41" priority="2" operator="between">
      <formula>0.5</formula>
      <formula>10</formula>
    </cfRule>
    <cfRule type="cellIs" dxfId="40" priority="8" operator="equal">
      <formula>"No Data"</formula>
    </cfRule>
  </conditionalFormatting>
  <conditionalFormatting sqref="AA25:AA33 AB29:AE30">
    <cfRule type="cellIs" dxfId="39" priority="7" operator="equal">
      <formula>"Not Assessed"</formula>
    </cfRule>
  </conditionalFormatting>
  <conditionalFormatting sqref="K31:P32">
    <cfRule type="cellIs" dxfId="38" priority="5" operator="equal">
      <formula>"Assessed using nonlinear POD"</formula>
    </cfRule>
  </conditionalFormatting>
  <conditionalFormatting sqref="J11:M14">
    <cfRule type="cellIs" dxfId="37" priority="4" operator="greaterThan">
      <formula>1</formula>
    </cfRule>
    <cfRule type="cellIs" dxfId="36" priority="28" stopIfTrue="1" operator="equal">
      <formula>0</formula>
    </cfRule>
    <cfRule type="cellIs" dxfId="35" priority="29" operator="lessThan">
      <formula>0.0999</formula>
    </cfRule>
    <cfRule type="cellIs" dxfId="34" priority="30" operator="between">
      <formula>0.09</formula>
      <formula>10</formula>
    </cfRule>
  </conditionalFormatting>
  <conditionalFormatting sqref="Z11:AC20 K25:P32 AA25:AE32">
    <cfRule type="cellIs" dxfId="33" priority="3" operator="greaterThan">
      <formula>10</formula>
    </cfRule>
    <cfRule type="cellIs" dxfId="32" priority="173" operator="lessThanOrEqual">
      <formula>0.09999</formula>
    </cfRule>
    <cfRule type="cellIs" dxfId="31" priority="174" operator="between">
      <formula>0.1</formula>
      <formula>10</formula>
    </cfRule>
  </conditionalFormatting>
  <dataValidations count="1">
    <dataValidation allowBlank="1" showErrorMessage="1" sqref="X9 H9 H13:H14 Z9:Z10 J9:J10" xr:uid="{00000000-0002-0000-0100-000000000000}"/>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'List Values'!$D$7:$D$8</xm:f>
          </x14:formula1>
          <xm:sqref>X5</xm:sqref>
        </x14:dataValidation>
        <x14:dataValidation type="list" allowBlank="1" showInputMessage="1" showErrorMessage="1" xr:uid="{00000000-0002-0000-0100-000003000000}">
          <x14:formula1>
            <xm:f>'List Values'!$F$8:$F$9</xm:f>
          </x14:formula1>
          <xm:sqref>J5</xm:sqref>
        </x14:dataValidation>
        <x14:dataValidation type="list" allowBlank="1" showInputMessage="1" showErrorMessage="1" xr:uid="{00000000-0002-0000-0100-000002000000}">
          <x14:formula1>
            <xm:f>'List Values'!$B$3:$B$11</xm:f>
          </x14:formula1>
          <xm:sqref>H5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S22"/>
  <sheetViews>
    <sheetView workbookViewId="0">
      <selection activeCell="D3" sqref="D3"/>
    </sheetView>
  </sheetViews>
  <sheetFormatPr defaultColWidth="8.88671875" defaultRowHeight="13.8" x14ac:dyDescent="0.25"/>
  <cols>
    <col min="1" max="1" width="3.5546875" style="233" customWidth="1"/>
    <col min="2" max="2" width="21.88671875" style="233" customWidth="1"/>
    <col min="3" max="3" width="20.33203125" style="233" bestFit="1" customWidth="1"/>
    <col min="4" max="4" width="30" style="233" customWidth="1"/>
    <col min="5" max="5" width="26.109375" style="233" customWidth="1"/>
    <col min="6" max="6" width="7.33203125" style="233" hidden="1" customWidth="1"/>
    <col min="7" max="7" width="15.5546875" style="233" customWidth="1"/>
    <col min="8" max="8" width="11.88671875" style="233" customWidth="1"/>
    <col min="9" max="9" width="11" style="233" customWidth="1"/>
    <col min="10" max="10" width="14.6640625" style="233" bestFit="1" customWidth="1"/>
    <col min="11" max="11" width="14.6640625" style="233" customWidth="1"/>
    <col min="12" max="12" width="6.33203125" style="233" customWidth="1"/>
    <col min="13" max="13" width="18.5546875" style="233" customWidth="1"/>
    <col min="14" max="14" width="18" style="233" hidden="1" customWidth="1"/>
    <col min="15" max="15" width="20.88671875" style="233" hidden="1" customWidth="1"/>
    <col min="16" max="16" width="14.6640625" style="233" hidden="1" customWidth="1"/>
    <col min="17" max="17" width="6.5546875" style="233" customWidth="1"/>
    <col min="18" max="16384" width="8.88671875" style="233"/>
  </cols>
  <sheetData>
    <row r="1" spans="2:19" s="231" customFormat="1" x14ac:dyDescent="0.25">
      <c r="B1" s="772"/>
      <c r="C1" s="772"/>
      <c r="D1" s="772"/>
      <c r="E1" s="772"/>
      <c r="F1" s="772"/>
      <c r="G1" s="772"/>
      <c r="H1" s="772"/>
      <c r="I1" s="772"/>
      <c r="J1" s="772"/>
      <c r="K1" s="772"/>
      <c r="L1" s="772"/>
      <c r="M1" s="772"/>
      <c r="N1" s="772"/>
      <c r="O1" s="772"/>
    </row>
    <row r="2" spans="2:19" ht="17.399999999999999" x14ac:dyDescent="0.3">
      <c r="B2" s="232" t="s">
        <v>126</v>
      </c>
    </row>
    <row r="3" spans="2:19" ht="18" x14ac:dyDescent="0.35">
      <c r="B3" s="234"/>
      <c r="G3" s="235"/>
      <c r="H3" s="235"/>
      <c r="I3" s="236"/>
      <c r="J3" s="235"/>
      <c r="K3" s="235"/>
      <c r="L3" s="236"/>
    </row>
    <row r="4" spans="2:19" ht="15.6" x14ac:dyDescent="0.25">
      <c r="B4" s="9" t="s">
        <v>25</v>
      </c>
      <c r="G4" s="235"/>
      <c r="H4" s="235"/>
      <c r="I4" s="236"/>
      <c r="J4" s="235"/>
      <c r="K4" s="235"/>
      <c r="L4" s="236"/>
    </row>
    <row r="5" spans="2:19" ht="30.6" x14ac:dyDescent="0.25">
      <c r="B5" s="237"/>
      <c r="C5" s="774" t="s">
        <v>92</v>
      </c>
      <c r="D5" s="774"/>
      <c r="E5" s="238" t="s">
        <v>93</v>
      </c>
      <c r="F5" s="238" t="s">
        <v>127</v>
      </c>
      <c r="G5" s="239" t="s">
        <v>377</v>
      </c>
      <c r="H5" s="239" t="s">
        <v>378</v>
      </c>
      <c r="I5" s="239" t="s">
        <v>128</v>
      </c>
      <c r="J5" s="239" t="s">
        <v>129</v>
      </c>
      <c r="K5" s="240" t="s">
        <v>379</v>
      </c>
      <c r="M5" s="241"/>
      <c r="N5" s="242" t="s">
        <v>130</v>
      </c>
      <c r="O5" s="243" t="s">
        <v>131</v>
      </c>
    </row>
    <row r="6" spans="2:19" x14ac:dyDescent="0.25">
      <c r="B6" s="244" t="s">
        <v>105</v>
      </c>
      <c r="C6" s="245" t="s">
        <v>106</v>
      </c>
      <c r="D6" s="246" t="s">
        <v>107</v>
      </c>
      <c r="E6" s="247" t="s">
        <v>108</v>
      </c>
      <c r="F6" s="248" t="s">
        <v>55</v>
      </c>
      <c r="G6" s="249">
        <v>360</v>
      </c>
      <c r="H6" s="249">
        <v>310</v>
      </c>
      <c r="I6" s="250">
        <v>10</v>
      </c>
      <c r="J6" s="251"/>
      <c r="K6" s="252" t="s">
        <v>132</v>
      </c>
      <c r="L6" s="253"/>
      <c r="M6" s="254"/>
      <c r="N6" s="130" t="s">
        <v>59</v>
      </c>
      <c r="O6" s="255">
        <f>0.00001</f>
        <v>1.0000000000000001E-5</v>
      </c>
    </row>
    <row r="7" spans="2:19" ht="27.6" x14ac:dyDescent="0.25">
      <c r="B7" s="256" t="s">
        <v>112</v>
      </c>
      <c r="C7" s="257" t="s">
        <v>109</v>
      </c>
      <c r="D7" s="247" t="s">
        <v>114</v>
      </c>
      <c r="E7" s="247" t="s">
        <v>111</v>
      </c>
      <c r="F7" s="248" t="s">
        <v>62</v>
      </c>
      <c r="G7" s="258">
        <v>31.1</v>
      </c>
      <c r="H7" s="258">
        <v>26.4</v>
      </c>
      <c r="I7" s="248">
        <v>30</v>
      </c>
      <c r="J7" s="248"/>
      <c r="K7" s="259" t="s">
        <v>132</v>
      </c>
      <c r="L7" s="253"/>
      <c r="M7" s="254"/>
      <c r="N7" s="130"/>
      <c r="O7" s="255"/>
      <c r="Q7" s="260"/>
    </row>
    <row r="8" spans="2:19" x14ac:dyDescent="0.25">
      <c r="B8" s="261" t="s">
        <v>115</v>
      </c>
      <c r="C8" s="262" t="s">
        <v>116</v>
      </c>
      <c r="D8" s="263" t="s">
        <v>133</v>
      </c>
      <c r="E8" s="264" t="s">
        <v>118</v>
      </c>
      <c r="F8" s="265" t="s">
        <v>71</v>
      </c>
      <c r="G8" s="266">
        <v>6</v>
      </c>
      <c r="H8" s="267" t="s">
        <v>132</v>
      </c>
      <c r="I8" s="268">
        <v>300</v>
      </c>
      <c r="J8" s="268"/>
      <c r="K8" s="259" t="s">
        <v>132</v>
      </c>
      <c r="L8" s="269"/>
      <c r="M8" s="270"/>
      <c r="N8" s="260"/>
      <c r="O8" s="270"/>
      <c r="R8" s="260"/>
    </row>
    <row r="9" spans="2:19" x14ac:dyDescent="0.25">
      <c r="B9" s="271"/>
      <c r="C9" s="272"/>
      <c r="D9" s="273" t="s">
        <v>134</v>
      </c>
      <c r="E9" s="274" t="s">
        <v>118</v>
      </c>
      <c r="F9" s="275" t="s">
        <v>77</v>
      </c>
      <c r="G9" s="276" t="s">
        <v>132</v>
      </c>
      <c r="H9" s="276" t="s">
        <v>132</v>
      </c>
      <c r="I9" s="276" t="s">
        <v>132</v>
      </c>
      <c r="J9" s="277">
        <f>0.0001</f>
        <v>1E-4</v>
      </c>
      <c r="K9" s="278">
        <f>0.000006*1000</f>
        <v>6.0000000000000001E-3</v>
      </c>
      <c r="L9" s="253"/>
      <c r="M9" s="270"/>
      <c r="N9" s="279"/>
      <c r="O9" s="279"/>
      <c r="P9" s="260"/>
    </row>
    <row r="10" spans="2:19" x14ac:dyDescent="0.25">
      <c r="B10" s="280"/>
      <c r="C10" s="281"/>
      <c r="D10" s="282"/>
      <c r="E10" s="283"/>
      <c r="F10" s="283"/>
      <c r="G10" s="283"/>
      <c r="H10" s="283"/>
      <c r="I10" s="283"/>
      <c r="J10" s="283"/>
      <c r="K10" s="284"/>
      <c r="M10" s="260"/>
      <c r="S10" s="260"/>
    </row>
    <row r="11" spans="2:19" x14ac:dyDescent="0.25">
      <c r="B11" s="280"/>
      <c r="C11" s="285"/>
      <c r="D11" s="286"/>
      <c r="E11" s="286"/>
      <c r="F11" s="280"/>
      <c r="G11" s="287"/>
      <c r="H11" s="287"/>
      <c r="I11" s="287"/>
      <c r="J11" s="287"/>
      <c r="K11" s="287"/>
      <c r="L11" s="287"/>
      <c r="N11" s="288" t="s">
        <v>135</v>
      </c>
      <c r="O11" s="288"/>
      <c r="P11" s="288"/>
    </row>
    <row r="12" spans="2:19" ht="15.6" x14ac:dyDescent="0.25">
      <c r="B12" s="1" t="s">
        <v>16</v>
      </c>
      <c r="C12" s="272"/>
      <c r="D12" s="272"/>
      <c r="E12" s="272"/>
      <c r="F12" s="272"/>
      <c r="G12" s="272"/>
      <c r="H12" s="272"/>
      <c r="I12" s="284"/>
      <c r="J12" s="284"/>
      <c r="K12" s="284"/>
      <c r="L12" s="284"/>
      <c r="N12" s="773">
        <f>O13/O14</f>
        <v>0.15895202184371343</v>
      </c>
      <c r="O12" s="773"/>
      <c r="P12" s="289" t="s">
        <v>136</v>
      </c>
    </row>
    <row r="13" spans="2:19" ht="27.6" x14ac:dyDescent="0.25">
      <c r="B13" s="290"/>
      <c r="C13" s="775" t="s">
        <v>92</v>
      </c>
      <c r="D13" s="775"/>
      <c r="E13" s="291" t="s">
        <v>93</v>
      </c>
      <c r="F13" s="292" t="s">
        <v>127</v>
      </c>
      <c r="G13" s="293" t="s">
        <v>137</v>
      </c>
      <c r="H13" s="293" t="s">
        <v>128</v>
      </c>
      <c r="I13" s="239" t="s">
        <v>129</v>
      </c>
      <c r="J13" s="240" t="s">
        <v>138</v>
      </c>
      <c r="K13" s="283"/>
      <c r="L13" s="283"/>
      <c r="N13" s="294" t="s">
        <v>139</v>
      </c>
      <c r="O13" s="295">
        <v>24.45</v>
      </c>
      <c r="P13" s="289" t="s">
        <v>140</v>
      </c>
    </row>
    <row r="14" spans="2:19" ht="27.6" x14ac:dyDescent="0.25">
      <c r="B14" s="296" t="s">
        <v>105</v>
      </c>
      <c r="C14" s="245" t="s">
        <v>109</v>
      </c>
      <c r="D14" s="264" t="s">
        <v>110</v>
      </c>
      <c r="E14" s="264" t="s">
        <v>111</v>
      </c>
      <c r="F14" s="297" t="s">
        <v>57</v>
      </c>
      <c r="G14" s="298">
        <v>250</v>
      </c>
      <c r="H14" s="298">
        <v>30</v>
      </c>
      <c r="I14" s="298"/>
      <c r="J14" s="299" t="s">
        <v>132</v>
      </c>
      <c r="K14" s="283"/>
      <c r="L14" s="283"/>
      <c r="N14" s="300" t="s">
        <v>141</v>
      </c>
      <c r="O14" s="301">
        <v>153.82</v>
      </c>
      <c r="P14" s="302" t="s">
        <v>142</v>
      </c>
    </row>
    <row r="15" spans="2:19" ht="27.6" x14ac:dyDescent="0.25">
      <c r="B15" s="303" t="s">
        <v>112</v>
      </c>
      <c r="C15" s="304" t="s">
        <v>109</v>
      </c>
      <c r="D15" s="264" t="s">
        <v>114</v>
      </c>
      <c r="E15" s="264" t="s">
        <v>111</v>
      </c>
      <c r="F15" s="297" t="s">
        <v>64</v>
      </c>
      <c r="G15" s="298">
        <v>2.5</v>
      </c>
      <c r="H15" s="298">
        <v>30</v>
      </c>
      <c r="I15" s="298"/>
      <c r="J15" s="299" t="s">
        <v>132</v>
      </c>
      <c r="K15" s="283"/>
      <c r="L15" s="283"/>
    </row>
    <row r="16" spans="2:19" x14ac:dyDescent="0.25">
      <c r="B16" s="770" t="s">
        <v>115</v>
      </c>
      <c r="C16" s="262" t="s">
        <v>116</v>
      </c>
      <c r="D16" s="263" t="s">
        <v>133</v>
      </c>
      <c r="E16" s="264" t="s">
        <v>118</v>
      </c>
      <c r="F16" s="265" t="s">
        <v>72</v>
      </c>
      <c r="G16" s="305">
        <v>1.4</v>
      </c>
      <c r="H16" s="268">
        <v>300</v>
      </c>
      <c r="I16" s="306"/>
      <c r="J16" s="307" t="s">
        <v>132</v>
      </c>
      <c r="K16" s="283"/>
      <c r="L16" s="283"/>
    </row>
    <row r="17" spans="2:12" x14ac:dyDescent="0.25">
      <c r="B17" s="771"/>
      <c r="C17" s="308"/>
      <c r="D17" s="309" t="s">
        <v>120</v>
      </c>
      <c r="E17" s="309" t="s">
        <v>118</v>
      </c>
      <c r="F17" s="310" t="s">
        <v>78</v>
      </c>
      <c r="G17" s="311" t="s">
        <v>132</v>
      </c>
      <c r="H17" s="311" t="s">
        <v>132</v>
      </c>
      <c r="I17" s="311">
        <f>0.0001</f>
        <v>1E-4</v>
      </c>
      <c r="J17" s="312">
        <v>0.08</v>
      </c>
      <c r="K17" s="287"/>
      <c r="L17" s="287"/>
    </row>
    <row r="18" spans="2:12" x14ac:dyDescent="0.25">
      <c r="B18" s="280"/>
      <c r="C18" s="313"/>
      <c r="D18" s="314"/>
      <c r="E18" s="286"/>
      <c r="F18" s="315"/>
      <c r="G18" s="316"/>
      <c r="H18" s="316"/>
      <c r="I18" s="316"/>
      <c r="J18" s="316"/>
      <c r="K18" s="316"/>
    </row>
    <row r="19" spans="2:12" x14ac:dyDescent="0.25">
      <c r="B19" s="280"/>
      <c r="C19" s="313"/>
      <c r="D19" s="273"/>
      <c r="E19" s="284"/>
      <c r="F19" s="315"/>
      <c r="G19" s="317"/>
      <c r="H19" s="317"/>
      <c r="I19" s="317"/>
      <c r="J19" s="316"/>
      <c r="K19" s="316"/>
    </row>
    <row r="20" spans="2:12" x14ac:dyDescent="0.25">
      <c r="B20" s="280"/>
      <c r="C20" s="313"/>
      <c r="D20" s="273"/>
      <c r="E20" s="284"/>
      <c r="F20" s="284"/>
      <c r="G20" s="284"/>
      <c r="H20" s="284"/>
      <c r="I20" s="284"/>
      <c r="J20" s="317"/>
      <c r="K20" s="317"/>
    </row>
    <row r="21" spans="2:12" x14ac:dyDescent="0.25">
      <c r="B21" s="280"/>
      <c r="C21" s="318"/>
      <c r="D21" s="280"/>
      <c r="E21" s="319"/>
      <c r="F21" s="283"/>
      <c r="G21" s="283"/>
      <c r="H21" s="283"/>
      <c r="I21" s="283"/>
      <c r="J21" s="284"/>
      <c r="K21" s="284"/>
    </row>
    <row r="22" spans="2:12" x14ac:dyDescent="0.25">
      <c r="B22" s="284"/>
      <c r="C22" s="284"/>
      <c r="D22" s="315"/>
      <c r="E22" s="284"/>
      <c r="F22" s="283"/>
      <c r="G22" s="283"/>
      <c r="H22" s="283"/>
      <c r="I22" s="283"/>
      <c r="J22" s="283"/>
      <c r="K22" s="283"/>
    </row>
  </sheetData>
  <sheetProtection algorithmName="SHA-512" hashValue="ZOqhXdhRkfLiGCS32j+OPNpKhRgl2Mk79SEHx+qOzUActk7b8HUcUkguDImM6DPAn3WoKN0CT1PnLKNWPO2M+Q==" saltValue="x6wVg3L05Q6Jh+tPJH1EMA==" spinCount="100000" sheet="1" objects="1" scenarios="1"/>
  <mergeCells count="5">
    <mergeCell ref="B16:B17"/>
    <mergeCell ref="B1:O1"/>
    <mergeCell ref="N12:O12"/>
    <mergeCell ref="C5:D5"/>
    <mergeCell ref="C13:D13"/>
  </mergeCells>
  <phoneticPr fontId="5" type="noConversion"/>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2"/>
  <sheetViews>
    <sheetView workbookViewId="0">
      <selection activeCell="C15" sqref="C15"/>
    </sheetView>
  </sheetViews>
  <sheetFormatPr defaultColWidth="8.88671875" defaultRowHeight="13.8" x14ac:dyDescent="0.25"/>
  <cols>
    <col min="1" max="1" width="31.44140625" style="12" customWidth="1"/>
    <col min="2" max="2" width="35.5546875" style="12" customWidth="1"/>
    <col min="3" max="4" width="8.88671875" style="12"/>
    <col min="5" max="5" width="18.33203125" style="12" customWidth="1"/>
    <col min="6" max="6" width="16.44140625" style="12" customWidth="1"/>
    <col min="7" max="7" width="18" style="12" customWidth="1"/>
    <col min="8" max="16384" width="8.88671875" style="12"/>
  </cols>
  <sheetData>
    <row r="1" spans="1:7" x14ac:dyDescent="0.25">
      <c r="A1" s="776"/>
      <c r="B1" s="776"/>
      <c r="C1" s="776"/>
      <c r="D1" s="776"/>
      <c r="E1" s="776"/>
      <c r="F1" s="776"/>
      <c r="G1" s="776"/>
    </row>
    <row r="2" spans="1:7" ht="14.4" thickBot="1" x14ac:dyDescent="0.3"/>
    <row r="3" spans="1:7" ht="30.6" thickBot="1" x14ac:dyDescent="0.3">
      <c r="A3" s="320" t="s">
        <v>143</v>
      </c>
      <c r="B3" s="321" t="s">
        <v>144</v>
      </c>
      <c r="C3" s="322" t="s">
        <v>145</v>
      </c>
      <c r="D3" s="323" t="s">
        <v>146</v>
      </c>
      <c r="E3" s="323" t="s">
        <v>147</v>
      </c>
      <c r="F3" s="323" t="s">
        <v>380</v>
      </c>
      <c r="G3" s="323" t="s">
        <v>148</v>
      </c>
    </row>
    <row r="4" spans="1:7" x14ac:dyDescent="0.25">
      <c r="A4" s="324" t="s">
        <v>86</v>
      </c>
      <c r="B4" s="325" t="s">
        <v>86</v>
      </c>
      <c r="C4" s="326">
        <v>1</v>
      </c>
      <c r="D4" s="326">
        <v>1</v>
      </c>
      <c r="E4" s="326" t="s">
        <v>149</v>
      </c>
      <c r="F4" s="327">
        <v>0.04</v>
      </c>
      <c r="G4" s="328" t="str">
        <f t="shared" ref="G4:G12" si="0">IF(E4="Yes",1,"N/A")</f>
        <v>N/A</v>
      </c>
    </row>
    <row r="5" spans="1:7" x14ac:dyDescent="0.25">
      <c r="A5" s="329" t="s">
        <v>23</v>
      </c>
      <c r="B5" s="330" t="s">
        <v>23</v>
      </c>
      <c r="C5" s="331">
        <v>1</v>
      </c>
      <c r="D5" s="331">
        <v>1</v>
      </c>
      <c r="E5" s="331" t="s">
        <v>149</v>
      </c>
      <c r="F5" s="332">
        <v>0.04</v>
      </c>
      <c r="G5" s="333" t="str">
        <f t="shared" si="0"/>
        <v>N/A</v>
      </c>
    </row>
    <row r="6" spans="1:7" ht="25.5" customHeight="1" x14ac:dyDescent="0.25">
      <c r="A6" s="329" t="s">
        <v>150</v>
      </c>
      <c r="B6" s="334" t="s">
        <v>150</v>
      </c>
      <c r="C6" s="331">
        <v>1</v>
      </c>
      <c r="D6" s="331">
        <v>1</v>
      </c>
      <c r="E6" s="331" t="s">
        <v>149</v>
      </c>
      <c r="F6" s="332">
        <v>0.04</v>
      </c>
      <c r="G6" s="333" t="str">
        <f t="shared" si="0"/>
        <v>N/A</v>
      </c>
    </row>
    <row r="7" spans="1:7" x14ac:dyDescent="0.25">
      <c r="A7" s="329" t="s">
        <v>151</v>
      </c>
      <c r="B7" s="334" t="s">
        <v>151</v>
      </c>
      <c r="C7" s="331">
        <v>1</v>
      </c>
      <c r="D7" s="331">
        <v>1</v>
      </c>
      <c r="E7" s="331" t="s">
        <v>149</v>
      </c>
      <c r="F7" s="332">
        <v>0.04</v>
      </c>
      <c r="G7" s="333" t="str">
        <f t="shared" si="0"/>
        <v>N/A</v>
      </c>
    </row>
    <row r="8" spans="1:7" ht="27.6" x14ac:dyDescent="0.25">
      <c r="A8" s="329" t="s">
        <v>152</v>
      </c>
      <c r="B8" s="334" t="s">
        <v>152</v>
      </c>
      <c r="C8" s="331">
        <v>1</v>
      </c>
      <c r="D8" s="331">
        <v>1</v>
      </c>
      <c r="E8" s="331" t="s">
        <v>149</v>
      </c>
      <c r="F8" s="332">
        <v>0.04</v>
      </c>
      <c r="G8" s="333" t="str">
        <f t="shared" si="0"/>
        <v>N/A</v>
      </c>
    </row>
    <row r="9" spans="1:7" x14ac:dyDescent="0.25">
      <c r="A9" s="329" t="s">
        <v>153</v>
      </c>
      <c r="B9" s="334" t="s">
        <v>153</v>
      </c>
      <c r="C9" s="331">
        <v>1</v>
      </c>
      <c r="D9" s="331">
        <v>1</v>
      </c>
      <c r="E9" s="331" t="s">
        <v>149</v>
      </c>
      <c r="F9" s="332">
        <v>0.04</v>
      </c>
      <c r="G9" s="333" t="str">
        <f t="shared" si="0"/>
        <v>N/A</v>
      </c>
    </row>
    <row r="10" spans="1:7" x14ac:dyDescent="0.25">
      <c r="A10" s="329" t="s">
        <v>154</v>
      </c>
      <c r="B10" s="334" t="s">
        <v>154</v>
      </c>
      <c r="C10" s="331">
        <v>1</v>
      </c>
      <c r="D10" s="331">
        <v>1</v>
      </c>
      <c r="E10" s="331" t="s">
        <v>149</v>
      </c>
      <c r="F10" s="332">
        <v>0.04</v>
      </c>
      <c r="G10" s="333" t="str">
        <f t="shared" si="0"/>
        <v>N/A</v>
      </c>
    </row>
    <row r="11" spans="1:7" x14ac:dyDescent="0.25">
      <c r="A11" s="329" t="s">
        <v>155</v>
      </c>
      <c r="B11" s="334" t="s">
        <v>155</v>
      </c>
      <c r="C11" s="331">
        <v>1</v>
      </c>
      <c r="D11" s="331">
        <v>1</v>
      </c>
      <c r="E11" s="331" t="s">
        <v>149</v>
      </c>
      <c r="F11" s="332">
        <v>0.04</v>
      </c>
      <c r="G11" s="333" t="str">
        <f t="shared" si="0"/>
        <v>N/A</v>
      </c>
    </row>
    <row r="12" spans="1:7" ht="14.4" thickBot="1" x14ac:dyDescent="0.3">
      <c r="A12" s="335" t="s">
        <v>156</v>
      </c>
      <c r="B12" s="336" t="s">
        <v>156</v>
      </c>
      <c r="C12" s="337">
        <v>1</v>
      </c>
      <c r="D12" s="337">
        <v>1</v>
      </c>
      <c r="E12" s="337" t="s">
        <v>149</v>
      </c>
      <c r="F12" s="338">
        <v>0.04</v>
      </c>
      <c r="G12" s="339" t="str">
        <f t="shared" si="0"/>
        <v>N/A</v>
      </c>
    </row>
  </sheetData>
  <sheetProtection algorithmName="SHA-512" hashValue="PfnKzy4do/cZz7iR8FMZ/1ZoYLHEM5EV6Mix2/5I3iBYMr7CKnvhh4DbwuW7oaAWbjWcX10GxdIp/KRfEaJfkw==" saltValue="cCs0psxt762A2rN+jhOOjA==" spinCount="100000" sheet="1" objects="1" scenarios="1"/>
  <mergeCells count="1">
    <mergeCell ref="A1:G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29"/>
  <sheetViews>
    <sheetView zoomScaleNormal="100" workbookViewId="0">
      <selection activeCell="H6" sqref="H6"/>
    </sheetView>
  </sheetViews>
  <sheetFormatPr defaultColWidth="9.109375" defaultRowHeight="13.8" x14ac:dyDescent="0.25"/>
  <cols>
    <col min="1" max="1" width="32" style="340" customWidth="1"/>
    <col min="2" max="2" width="28.44140625" style="340" customWidth="1"/>
    <col min="3" max="3" width="17.5546875" style="340" customWidth="1"/>
    <col min="4" max="4" width="19.88671875" style="12" bestFit="1" customWidth="1"/>
    <col min="5" max="5" width="11.5546875" style="12" customWidth="1"/>
    <col min="6" max="6" width="7" style="12" customWidth="1"/>
    <col min="7" max="7" width="8.5546875" style="12" bestFit="1" customWidth="1"/>
    <col min="8" max="8" width="17.5546875" style="12" customWidth="1"/>
    <col min="9" max="9" width="18.44140625" style="12" customWidth="1"/>
    <col min="10" max="10" width="19" style="12" customWidth="1"/>
    <col min="11" max="11" width="13.5546875" style="12" customWidth="1"/>
    <col min="12" max="12" width="11.5546875" style="12" customWidth="1"/>
    <col min="13" max="13" width="24.44140625" style="12" customWidth="1"/>
    <col min="14" max="14" width="23" style="12" customWidth="1"/>
    <col min="15" max="15" width="24" style="340" customWidth="1"/>
    <col min="16" max="16" width="26" style="340" customWidth="1"/>
    <col min="17" max="17" width="26.33203125" style="340" customWidth="1"/>
    <col min="18" max="16384" width="9.109375" style="341"/>
  </cols>
  <sheetData>
    <row r="1" spans="1:17" ht="14.4" thickBot="1" x14ac:dyDescent="0.3">
      <c r="A1" s="776"/>
      <c r="B1" s="776"/>
      <c r="C1" s="776"/>
      <c r="D1" s="776"/>
      <c r="E1" s="776"/>
      <c r="F1" s="776"/>
      <c r="G1" s="776"/>
    </row>
    <row r="2" spans="1:17" ht="14.4" thickBot="1" x14ac:dyDescent="0.3">
      <c r="A2" s="804" t="s">
        <v>157</v>
      </c>
      <c r="B2" s="804"/>
      <c r="C2" s="804"/>
      <c r="D2" s="804"/>
      <c r="E2" s="804"/>
      <c r="F2" s="805"/>
      <c r="G2" s="780" t="s">
        <v>158</v>
      </c>
      <c r="H2" s="781"/>
      <c r="I2" s="781"/>
      <c r="J2" s="781"/>
      <c r="K2" s="781"/>
      <c r="L2" s="781"/>
      <c r="M2" s="781"/>
      <c r="N2" s="792" t="s">
        <v>159</v>
      </c>
      <c r="O2" s="793"/>
      <c r="P2" s="793"/>
      <c r="Q2" s="794"/>
    </row>
    <row r="3" spans="1:17" x14ac:dyDescent="0.25">
      <c r="A3" s="342"/>
      <c r="B3" s="343"/>
      <c r="C3" s="344"/>
      <c r="D3" s="791" t="s">
        <v>160</v>
      </c>
      <c r="E3" s="791" t="s">
        <v>29</v>
      </c>
      <c r="F3" s="345"/>
      <c r="G3" s="785" t="s">
        <v>381</v>
      </c>
      <c r="H3" s="782" t="s">
        <v>382</v>
      </c>
      <c r="I3" s="788" t="s">
        <v>161</v>
      </c>
      <c r="J3" s="788" t="s">
        <v>162</v>
      </c>
      <c r="K3" s="799" t="s">
        <v>383</v>
      </c>
      <c r="L3" s="799" t="s">
        <v>163</v>
      </c>
      <c r="M3" s="788" t="s">
        <v>384</v>
      </c>
      <c r="N3" s="802" t="s">
        <v>34</v>
      </c>
      <c r="O3" s="795" t="s">
        <v>35</v>
      </c>
      <c r="P3" s="795" t="s">
        <v>36</v>
      </c>
      <c r="Q3" s="797" t="s">
        <v>37</v>
      </c>
    </row>
    <row r="4" spans="1:17" x14ac:dyDescent="0.25">
      <c r="A4" s="346"/>
      <c r="B4" s="347"/>
      <c r="C4" s="348"/>
      <c r="D4" s="783"/>
      <c r="E4" s="783"/>
      <c r="F4" s="349"/>
      <c r="G4" s="786"/>
      <c r="H4" s="783"/>
      <c r="I4" s="789"/>
      <c r="J4" s="789"/>
      <c r="K4" s="800"/>
      <c r="L4" s="800"/>
      <c r="M4" s="789"/>
      <c r="N4" s="803"/>
      <c r="O4" s="796"/>
      <c r="P4" s="796"/>
      <c r="Q4" s="798"/>
    </row>
    <row r="5" spans="1:17" ht="16.8" thickBot="1" x14ac:dyDescent="0.3">
      <c r="A5" s="350" t="s">
        <v>143</v>
      </c>
      <c r="B5" s="351" t="s">
        <v>144</v>
      </c>
      <c r="C5" s="352" t="s">
        <v>164</v>
      </c>
      <c r="D5" s="783"/>
      <c r="E5" s="783"/>
      <c r="F5" s="353" t="s">
        <v>145</v>
      </c>
      <c r="G5" s="787"/>
      <c r="H5" s="784"/>
      <c r="I5" s="790"/>
      <c r="J5" s="790"/>
      <c r="K5" s="801"/>
      <c r="L5" s="801"/>
      <c r="M5" s="790"/>
      <c r="N5" s="354" t="s">
        <v>385</v>
      </c>
      <c r="O5" s="354" t="s">
        <v>386</v>
      </c>
      <c r="P5" s="354" t="s">
        <v>387</v>
      </c>
      <c r="Q5" s="355" t="s">
        <v>387</v>
      </c>
    </row>
    <row r="6" spans="1:17" ht="27.6" x14ac:dyDescent="0.25">
      <c r="A6" s="356" t="str">
        <f>Dashboard!$C$5</f>
        <v xml:space="preserve">Manufacturing - 8-hr TWA </v>
      </c>
      <c r="B6" s="357" t="str">
        <f>VLOOKUP($A6,'Dermal Crosswalk'!$A$4:$G$12,2,FALSE)</f>
        <v xml:space="preserve">Manufacturing - 8-hr TWA </v>
      </c>
      <c r="C6" s="357" t="str">
        <f>Dashboard!$M$5</f>
        <v>Average Adult Worker</v>
      </c>
      <c r="D6" s="357" t="s">
        <v>69</v>
      </c>
      <c r="E6" s="357" t="s">
        <v>39</v>
      </c>
      <c r="F6" s="358">
        <f>VLOOKUP($A6,'Dermal Crosswalk'!$A$4:$G$12,3,FALSE)</f>
        <v>1</v>
      </c>
      <c r="G6" s="359">
        <f>VLOOKUP($A6,'Dermal Crosswalk'!$A$4:$G$12,4,FALSE)</f>
        <v>1</v>
      </c>
      <c r="H6" s="360">
        <f>IF($D6="No Gloves",VLOOKUP($A6,'Dermal Crosswalk'!$A$4:$G$12,6,FALSE),VLOOKUP($A6,'Dermal Crosswalk'!$A$4:$G$12,7,FALSE))</f>
        <v>0.04</v>
      </c>
      <c r="I6" s="358">
        <f>VLOOKUP(A6,'Inhalation Exposure'!$C$5:$R$26,MATCH($E6,'Inhalation Exposure'!$F$4:$G$4,0)+3,FALSE)</f>
        <v>250</v>
      </c>
      <c r="J6" s="361">
        <v>1</v>
      </c>
      <c r="K6" s="362">
        <f>HLOOKUP($C6,'Exposure Factors'!$C$4:$D$10,MATCH($E6,'Exposure Factors'!$E$6:$E$7,0)+2,FALSE)</f>
        <v>1070</v>
      </c>
      <c r="L6" s="361">
        <f>HLOOKUP($C6,'Exposure Factors'!$C$4:$D$10,2,FALSE)</f>
        <v>80</v>
      </c>
      <c r="M6" s="363">
        <v>2.1</v>
      </c>
      <c r="N6" s="364">
        <f>IFERROR(K6*M6*H6*G6*J6,"Not Assessed")</f>
        <v>89.88</v>
      </c>
      <c r="O6" s="365">
        <f>IFERROR($N6/L6,"Not Assessed")</f>
        <v>1.1234999999999999</v>
      </c>
      <c r="P6" s="366">
        <f>IFERROR($O6*$I6*HLOOKUP($C6,'Exposure Factors'!$C$4:$D$10,MATCH($E6,'Exposure Factors'!$E$8:$E$9,0)+4,FALSE)/(250*HLOOKUP($C6,'Exposure Factors'!$C$4:$D$10,MATCH($E6,'Exposure Factors'!$E$8:$E$9,0)+4,FALSE)),"Not Assessed")</f>
        <v>1.1234999999999999</v>
      </c>
      <c r="Q6" s="367">
        <f>IFERROR($O6*$I6*HLOOKUP($C6,'Exposure Factors'!$C$4:$D$10,MATCH($E6,'Exposure Factors'!$E$8:$E$9,0)+4,FALSE)/(365*HLOOKUP($C6,'Exposure Factors'!$C$4:$D$10,7,FALSE)),"Not Assessed")</f>
        <v>0.39462592202318231</v>
      </c>
    </row>
    <row r="7" spans="1:17" ht="27.6" x14ac:dyDescent="0.25">
      <c r="A7" s="368" t="str">
        <f>Dashboard!$C$5</f>
        <v xml:space="preserve">Manufacturing - 8-hr TWA </v>
      </c>
      <c r="B7" s="369" t="str">
        <f>VLOOKUP($A7,'Dermal Crosswalk'!$A$4:$G$12,2,FALSE)</f>
        <v xml:space="preserve">Manufacturing - 8-hr TWA </v>
      </c>
      <c r="C7" s="369" t="str">
        <f>Dashboard!$M$5</f>
        <v>Average Adult Worker</v>
      </c>
      <c r="D7" s="369" t="s">
        <v>69</v>
      </c>
      <c r="E7" s="369" t="s">
        <v>42</v>
      </c>
      <c r="F7" s="370">
        <f>VLOOKUP($A7,'Dermal Crosswalk'!$A$4:$G$12,3,FALSE)</f>
        <v>1</v>
      </c>
      <c r="G7" s="371">
        <f>VLOOKUP($A7,'Dermal Crosswalk'!$A$4:$G$12,4,FALSE)</f>
        <v>1</v>
      </c>
      <c r="H7" s="372">
        <f>IF($D7="No Gloves",VLOOKUP($A7,'Dermal Crosswalk'!$A$4:$G$12,6,FALSE),VLOOKUP($A7,'Dermal Crosswalk'!$A$4:$G$12,7,FALSE))</f>
        <v>0.04</v>
      </c>
      <c r="I7" s="370">
        <f>VLOOKUP(A7,'Inhalation Exposure'!$C$5:$R$26,MATCH($E7,'Inhalation Exposure'!$F$4:$G$4,0)+3,FALSE)</f>
        <v>250</v>
      </c>
      <c r="J7" s="370">
        <v>1</v>
      </c>
      <c r="K7" s="373">
        <f>HLOOKUP($C7,'Exposure Factors'!$C$4:$D$10,MATCH($E7,'Exposure Factors'!$E$6:$E$7,0)+2,FALSE)</f>
        <v>535</v>
      </c>
      <c r="L7" s="370">
        <f>HLOOKUP($C7,'Exposure Factors'!$C$4:$D$10,2,FALSE)</f>
        <v>80</v>
      </c>
      <c r="M7" s="374">
        <v>1.4</v>
      </c>
      <c r="N7" s="375">
        <f t="shared" ref="N7:N9" si="0">IFERROR(K7*M7*H7*G7*J7,"Not Assessed")</f>
        <v>29.96</v>
      </c>
      <c r="O7" s="376">
        <f t="shared" ref="O7:O9" si="1">IFERROR($N7/L7,"Not Assessed")</f>
        <v>0.3745</v>
      </c>
      <c r="P7" s="377">
        <f>IFERROR($O7*$I7*HLOOKUP($C7,'Exposure Factors'!$C$4:$D$10,MATCH($E7,'Exposure Factors'!$E$8:$E$9,0)+4,FALSE)/(250*HLOOKUP($C7,'Exposure Factors'!$C$4:$D$10,MATCH($E7,'Exposure Factors'!$E$8:$E$9,0)+4,FALSE)),"Not Assessed")</f>
        <v>0.3745</v>
      </c>
      <c r="Q7" s="378">
        <f>IFERROR($O7*$I7*HLOOKUP($C7,'Exposure Factors'!$C$4:$D$10,MATCH($E7,'Exposure Factors'!$E$8:$E$9,0)+4,FALSE)/(365*HLOOKUP($C7,'Exposure Factors'!$C$4:$D$10,7,FALSE)),"Not Assessed")</f>
        <v>0.10194502985598876</v>
      </c>
    </row>
    <row r="8" spans="1:17" ht="27.6" x14ac:dyDescent="0.25">
      <c r="A8" s="368" t="str">
        <f>Dashboard!$C$5</f>
        <v xml:space="preserve">Manufacturing - 8-hr TWA </v>
      </c>
      <c r="B8" s="369" t="str">
        <f>VLOOKUP($A8,'Dermal Crosswalk'!$A$4:$G$12,2,FALSE)</f>
        <v xml:space="preserve">Manufacturing - 8-hr TWA </v>
      </c>
      <c r="C8" s="369" t="str">
        <f>Dashboard!$M$5</f>
        <v>Average Adult Worker</v>
      </c>
      <c r="D8" s="369" t="s">
        <v>70</v>
      </c>
      <c r="E8" s="369" t="s">
        <v>39</v>
      </c>
      <c r="F8" s="370">
        <f>VLOOKUP($A8,'Dermal Crosswalk'!$A$4:$G$12,3,FALSE)</f>
        <v>1</v>
      </c>
      <c r="G8" s="371">
        <f>VLOOKUP($A8,'Dermal Crosswalk'!$A$4:$G$12,4,FALSE)</f>
        <v>1</v>
      </c>
      <c r="H8" s="372" t="str">
        <f>IF($D8="No Gloves",VLOOKUP($A8,'Dermal Crosswalk'!$A$4:$G$12,6,FALSE),VLOOKUP($A8,'Dermal Crosswalk'!$A$4:$G$12,7,FALSE))</f>
        <v>N/A</v>
      </c>
      <c r="I8" s="370">
        <f>VLOOKUP(A8,'Inhalation Exposure'!$C$5:$R$26,MATCH($E8,'Inhalation Exposure'!$F$4:$G$4,0)+3,FALSE)</f>
        <v>250</v>
      </c>
      <c r="J8" s="370">
        <v>1</v>
      </c>
      <c r="K8" s="373">
        <f>HLOOKUP($C8,'Exposure Factors'!$C$4:$D$10,MATCH($E8,'Exposure Factors'!$E$6:$E$7,0)+2,FALSE)</f>
        <v>1070</v>
      </c>
      <c r="L8" s="370">
        <f>HLOOKUP($C8,'Exposure Factors'!$C$4:$D$10,2,FALSE)</f>
        <v>80</v>
      </c>
      <c r="M8" s="374">
        <v>2.1</v>
      </c>
      <c r="N8" s="376" t="str">
        <f t="shared" si="0"/>
        <v>Not Assessed</v>
      </c>
      <c r="O8" s="376" t="str">
        <f t="shared" si="1"/>
        <v>Not Assessed</v>
      </c>
      <c r="P8" s="379" t="str">
        <f>IFERROR($O8*$I8*HLOOKUP($C8,'Exposure Factors'!$C$4:$D$10,MATCH($E8,'Exposure Factors'!$E$8:$E$9,0)+4,FALSE)/(250*HLOOKUP($C8,'Exposure Factors'!$C$4:$D$10,MATCH($E8,'Exposure Factors'!$E$8:$E$9,0)+4,FALSE)),"Not Assessed")</f>
        <v>Not Assessed</v>
      </c>
      <c r="Q8" s="378" t="str">
        <f>IFERROR($O8*$I8*HLOOKUP($C8,'Exposure Factors'!$C$4:$D$10,MATCH($E8,'Exposure Factors'!$E$8:$E$9,0)+4,FALSE)/(365*HLOOKUP($C8,'Exposure Factors'!$C$4:$D$10,7,FALSE)),"Not Assessed")</f>
        <v>Not Assessed</v>
      </c>
    </row>
    <row r="9" spans="1:17" ht="28.2" thickBot="1" x14ac:dyDescent="0.3">
      <c r="A9" s="380" t="str">
        <f>Dashboard!$C$5</f>
        <v xml:space="preserve">Manufacturing - 8-hr TWA </v>
      </c>
      <c r="B9" s="381" t="str">
        <f>VLOOKUP($A9,'Dermal Crosswalk'!$A$4:$G$12,2,FALSE)</f>
        <v xml:space="preserve">Manufacturing - 8-hr TWA </v>
      </c>
      <c r="C9" s="381" t="str">
        <f>Dashboard!$M$5</f>
        <v>Average Adult Worker</v>
      </c>
      <c r="D9" s="381" t="s">
        <v>70</v>
      </c>
      <c r="E9" s="381" t="s">
        <v>42</v>
      </c>
      <c r="F9" s="382">
        <f>VLOOKUP($A9,'Dermal Crosswalk'!$A$4:$G$12,3,FALSE)</f>
        <v>1</v>
      </c>
      <c r="G9" s="383">
        <f>VLOOKUP($A9,'Dermal Crosswalk'!$A$4:$G$12,4,FALSE)</f>
        <v>1</v>
      </c>
      <c r="H9" s="384" t="str">
        <f>IF($D9="No Gloves",VLOOKUP($A9,'Dermal Crosswalk'!$A$4:$G$12,6,FALSE),VLOOKUP($A9,'Dermal Crosswalk'!$A$4:$G$12,7,FALSE))</f>
        <v>N/A</v>
      </c>
      <c r="I9" s="382">
        <f>VLOOKUP(A9,'Inhalation Exposure'!$C$5:$R$26,MATCH($E9,'Inhalation Exposure'!$F$4:$G$4,0)+3,FALSE)</f>
        <v>250</v>
      </c>
      <c r="J9" s="382">
        <v>1</v>
      </c>
      <c r="K9" s="385">
        <f>HLOOKUP($C9,'Exposure Factors'!$C$4:$D$10,MATCH($E9,'Exposure Factors'!$E$6:$E$7,0)+2,FALSE)</f>
        <v>535</v>
      </c>
      <c r="L9" s="382">
        <f>HLOOKUP($C9,'Exposure Factors'!$C$4:$D$10,2,FALSE)</f>
        <v>80</v>
      </c>
      <c r="M9" s="386">
        <v>1.4</v>
      </c>
      <c r="N9" s="387" t="str">
        <f t="shared" si="0"/>
        <v>Not Assessed</v>
      </c>
      <c r="O9" s="387" t="str">
        <f t="shared" si="1"/>
        <v>Not Assessed</v>
      </c>
      <c r="P9" s="388" t="str">
        <f>IFERROR($O9*$I9*HLOOKUP($C9,'Exposure Factors'!$C$4:$D$10,MATCH($E9,'Exposure Factors'!$E$8:$E$9,0)+4,FALSE)/(250*HLOOKUP($C9,'Exposure Factors'!$C$4:$D$10,MATCH($E9,'Exposure Factors'!$E$8:$E$9,0)+4,FALSE)),"Not Assessed")</f>
        <v>Not Assessed</v>
      </c>
      <c r="Q9" s="389" t="str">
        <f>IFERROR($O9*$I9*HLOOKUP($C9,'Exposure Factors'!$C$4:$D$10,MATCH($E9,'Exposure Factors'!$E$8:$E$9,0)+4,FALSE)/(365*HLOOKUP($C9,'Exposure Factors'!$C$4:$D$10,7,FALSE)),"Not Assessed")</f>
        <v>Not Assessed</v>
      </c>
    </row>
    <row r="10" spans="1:17" ht="14.4" thickBot="1" x14ac:dyDescent="0.3">
      <c r="A10" s="777" t="s">
        <v>165</v>
      </c>
      <c r="B10" s="778"/>
      <c r="C10" s="778"/>
      <c r="D10" s="778"/>
      <c r="E10" s="778"/>
      <c r="F10" s="779"/>
      <c r="G10" s="390"/>
      <c r="H10" s="390"/>
      <c r="I10" s="390"/>
      <c r="J10" s="390"/>
      <c r="K10" s="390"/>
      <c r="L10" s="390"/>
      <c r="M10" s="390"/>
      <c r="N10" s="391"/>
      <c r="O10" s="391"/>
      <c r="P10" s="391"/>
      <c r="Q10" s="392"/>
    </row>
    <row r="11" spans="1:17" ht="27.6" x14ac:dyDescent="0.25">
      <c r="A11" s="356" t="str">
        <f>RR!$H$5</f>
        <v>Import/Repackaging</v>
      </c>
      <c r="B11" s="357" t="str">
        <f>VLOOKUP($A11,'Dermal Crosswalk'!$A$4:$G$12,2,FALSE)</f>
        <v>Import/Repackaging</v>
      </c>
      <c r="C11" s="357" t="str">
        <f>RR!$X$5</f>
        <v>Average Adult Worker</v>
      </c>
      <c r="D11" s="357" t="s">
        <v>69</v>
      </c>
      <c r="E11" s="357" t="s">
        <v>39</v>
      </c>
      <c r="F11" s="358">
        <f>VLOOKUP($A11,'Dermal Crosswalk'!$A$4:$G$12,3,FALSE)</f>
        <v>1</v>
      </c>
      <c r="G11" s="359">
        <f>VLOOKUP($A11,'Dermal Crosswalk'!$A$4:$G$12,4,FALSE)</f>
        <v>1</v>
      </c>
      <c r="H11" s="360">
        <f>IF($D11="No Gloves",VLOOKUP($A11,'Dermal Crosswalk'!$A$4:$G$12,6,FALSE),VLOOKUP($A11,'Dermal Crosswalk'!$A$4:$G$12,7,FALSE))</f>
        <v>0.04</v>
      </c>
      <c r="I11" s="358">
        <v>250</v>
      </c>
      <c r="J11" s="361">
        <v>1</v>
      </c>
      <c r="K11" s="362">
        <f>HLOOKUP($C11,'Exposure Factors'!$C$4:$D$10,MATCH($E11,'Exposure Factors'!$E$6:$E$7,0)+2,FALSE)</f>
        <v>1070</v>
      </c>
      <c r="L11" s="361">
        <f>HLOOKUP($C11,'Exposure Factors'!$C$4:$D$10,2,FALSE)</f>
        <v>80</v>
      </c>
      <c r="M11" s="363">
        <v>2.1</v>
      </c>
      <c r="N11" s="364">
        <f>IFERROR(K11*M11*H11*G11*J11,"Not Assessed")</f>
        <v>89.88</v>
      </c>
      <c r="O11" s="365">
        <f>IFERROR($N11/L11,"Not Assessed")</f>
        <v>1.1234999999999999</v>
      </c>
      <c r="P11" s="393">
        <f>IFERROR($O11*$I11*HLOOKUP($C11,'Exposure Factors'!$C$4:$D$10,MATCH($E11,'Exposure Factors'!$E$8:$E$9,0)+4,FALSE)/(250*HLOOKUP($C11,'Exposure Factors'!$C$4:$D$10,MATCH($E11,'Exposure Factors'!$E$8:$E$9,0)+4,FALSE)),"Not Assessed")</f>
        <v>1.1234999999999999</v>
      </c>
      <c r="Q11" s="367">
        <f>IFERROR($O11*$I11*HLOOKUP($C11,'Exposure Factors'!$C$4:$D$10,MATCH($E11,'Exposure Factors'!$E$8:$E$9,0)+4,FALSE)/(365*HLOOKUP($C11,'Exposure Factors'!$C$4:$D$10,7,FALSE)),"Not Assessed")</f>
        <v>0.39462592202318231</v>
      </c>
    </row>
    <row r="12" spans="1:17" ht="27.6" x14ac:dyDescent="0.25">
      <c r="A12" s="368" t="str">
        <f>RR!$H$5</f>
        <v>Import/Repackaging</v>
      </c>
      <c r="B12" s="369" t="str">
        <f>VLOOKUP($A12,'Dermal Crosswalk'!$A$4:$G$12,2,FALSE)</f>
        <v>Import/Repackaging</v>
      </c>
      <c r="C12" s="369" t="str">
        <f>RR!$X$5</f>
        <v>Average Adult Worker</v>
      </c>
      <c r="D12" s="369" t="s">
        <v>69</v>
      </c>
      <c r="E12" s="369" t="s">
        <v>42</v>
      </c>
      <c r="F12" s="370">
        <f>VLOOKUP($A12,'Dermal Crosswalk'!$A$4:$G$12,3,FALSE)</f>
        <v>1</v>
      </c>
      <c r="G12" s="371">
        <f>VLOOKUP($A12,'Dermal Crosswalk'!$A$4:$G$12,4,FALSE)</f>
        <v>1</v>
      </c>
      <c r="H12" s="372">
        <f>IF($D12="No Gloves",VLOOKUP($A12,'Dermal Crosswalk'!$A$4:$G$12,6,FALSE),VLOOKUP($A12,'Dermal Crosswalk'!$A$4:$G$12,7,FALSE))</f>
        <v>0.04</v>
      </c>
      <c r="I12" s="370">
        <v>250</v>
      </c>
      <c r="J12" s="370">
        <v>1</v>
      </c>
      <c r="K12" s="373">
        <f>HLOOKUP($C12,'Exposure Factors'!$C$4:$D$10,MATCH($E12,'Exposure Factors'!$E$6:$E$7,0)+2,FALSE)</f>
        <v>535</v>
      </c>
      <c r="L12" s="370">
        <f>HLOOKUP($C12,'Exposure Factors'!$C$4:$D$10,2,FALSE)</f>
        <v>80</v>
      </c>
      <c r="M12" s="374">
        <v>1.4</v>
      </c>
      <c r="N12" s="375">
        <f t="shared" ref="N12:N14" si="2">IFERROR(K12*M12*H12*G12*J12,"Not Assessed")</f>
        <v>29.96</v>
      </c>
      <c r="O12" s="376">
        <f t="shared" ref="O12:O14" si="3">IFERROR($N12/L12,"Not Assessed")</f>
        <v>0.3745</v>
      </c>
      <c r="P12" s="377">
        <f>IFERROR($O12*$I12*HLOOKUP($C12,'Exposure Factors'!$C$4:$D$10,MATCH($E12,'Exposure Factors'!$E$8:$E$9,0)+4,FALSE)/(250*HLOOKUP($C12,'Exposure Factors'!$C$4:$D$10,MATCH($E12,'Exposure Factors'!$E$8:$E$9,0)+4,FALSE)),"Not Assessed")</f>
        <v>0.3745</v>
      </c>
      <c r="Q12" s="394">
        <f>IFERROR($O12*$I12*HLOOKUP($C12,'Exposure Factors'!$C$4:$D$10,MATCH($E12,'Exposure Factors'!$E$8:$E$9,0)+4,FALSE)/(365*HLOOKUP($C12,'Exposure Factors'!$C$4:$D$10,7,FALSE)),"Not Assessed")</f>
        <v>0.10194502985598876</v>
      </c>
    </row>
    <row r="13" spans="1:17" ht="27.6" x14ac:dyDescent="0.25">
      <c r="A13" s="368" t="str">
        <f>RR!$H$5</f>
        <v>Import/Repackaging</v>
      </c>
      <c r="B13" s="369" t="str">
        <f>VLOOKUP($A13,'Dermal Crosswalk'!$A$4:$G$12,2,FALSE)</f>
        <v>Import/Repackaging</v>
      </c>
      <c r="C13" s="369" t="str">
        <f>RR!$X$5</f>
        <v>Average Adult Worker</v>
      </c>
      <c r="D13" s="369" t="s">
        <v>70</v>
      </c>
      <c r="E13" s="369" t="s">
        <v>39</v>
      </c>
      <c r="F13" s="370">
        <f>VLOOKUP($A13,'Dermal Crosswalk'!$A$4:$G$12,3,FALSE)</f>
        <v>1</v>
      </c>
      <c r="G13" s="371">
        <f>VLOOKUP($A13,'Dermal Crosswalk'!$A$4:$G$12,4,FALSE)</f>
        <v>1</v>
      </c>
      <c r="H13" s="372" t="str">
        <f>IF($D13="No Gloves",VLOOKUP($A13,'Dermal Crosswalk'!$A$4:$G$12,6,FALSE),VLOOKUP($A13,'Dermal Crosswalk'!$A$4:$G$12,7,FALSE))</f>
        <v>N/A</v>
      </c>
      <c r="I13" s="370">
        <v>250</v>
      </c>
      <c r="J13" s="370">
        <v>1</v>
      </c>
      <c r="K13" s="373">
        <f>HLOOKUP($C13,'Exposure Factors'!$C$4:$D$10,MATCH($E13,'Exposure Factors'!$E$6:$E$7,0)+2,FALSE)</f>
        <v>1070</v>
      </c>
      <c r="L13" s="370">
        <f>HLOOKUP($C13,'Exposure Factors'!$C$4:$D$10,2,FALSE)</f>
        <v>80</v>
      </c>
      <c r="M13" s="374">
        <v>2.1</v>
      </c>
      <c r="N13" s="376" t="str">
        <f t="shared" si="2"/>
        <v>Not Assessed</v>
      </c>
      <c r="O13" s="376" t="str">
        <f t="shared" si="3"/>
        <v>Not Assessed</v>
      </c>
      <c r="P13" s="379" t="str">
        <f>IFERROR($O13*$I13*HLOOKUP($C13,'Exposure Factors'!$C$4:$D$10,MATCH($E13,'Exposure Factors'!$E$8:$E$9,0)+4,FALSE)/(250*HLOOKUP($C13,'Exposure Factors'!$C$4:$D$10,MATCH($E13,'Exposure Factors'!$E$8:$E$9,0)+4,FALSE)),"Not Assessed")</f>
        <v>Not Assessed</v>
      </c>
      <c r="Q13" s="378" t="str">
        <f>IFERROR($O13*$I13*HLOOKUP($C13,'Exposure Factors'!$C$4:$D$10,MATCH($E13,'Exposure Factors'!$E$8:$E$9,0)+4,FALSE)/(365*HLOOKUP($C13,'Exposure Factors'!$C$4:$D$10,7,FALSE)),"Not Assessed")</f>
        <v>Not Assessed</v>
      </c>
    </row>
    <row r="14" spans="1:17" ht="28.2" thickBot="1" x14ac:dyDescent="0.3">
      <c r="A14" s="380" t="str">
        <f>RR!$H$5</f>
        <v>Import/Repackaging</v>
      </c>
      <c r="B14" s="381" t="str">
        <f>VLOOKUP($A14,'Dermal Crosswalk'!$A$4:$G$12,2,FALSE)</f>
        <v>Import/Repackaging</v>
      </c>
      <c r="C14" s="381" t="str">
        <f>RR!$X$5</f>
        <v>Average Adult Worker</v>
      </c>
      <c r="D14" s="381" t="s">
        <v>70</v>
      </c>
      <c r="E14" s="381" t="s">
        <v>42</v>
      </c>
      <c r="F14" s="382">
        <f>VLOOKUP($A14,'Dermal Crosswalk'!$A$4:$G$12,3,FALSE)</f>
        <v>1</v>
      </c>
      <c r="G14" s="383">
        <f>VLOOKUP($A14,'Dermal Crosswalk'!$A$4:$G$12,4,FALSE)</f>
        <v>1</v>
      </c>
      <c r="H14" s="384" t="str">
        <f>IF($D14="No Gloves",VLOOKUP($A14,'Dermal Crosswalk'!$A$4:$G$12,6,FALSE),VLOOKUP($A14,'Dermal Crosswalk'!$A$4:$G$12,7,FALSE))</f>
        <v>N/A</v>
      </c>
      <c r="I14" s="382">
        <v>250</v>
      </c>
      <c r="J14" s="382">
        <v>1</v>
      </c>
      <c r="K14" s="385">
        <f>HLOOKUP($C14,'Exposure Factors'!$C$4:$D$10,MATCH($E14,'Exposure Factors'!$E$6:$E$7,0)+2,FALSE)</f>
        <v>535</v>
      </c>
      <c r="L14" s="382">
        <f>HLOOKUP($C14,'Exposure Factors'!$C$4:$D$10,2,FALSE)</f>
        <v>80</v>
      </c>
      <c r="M14" s="386">
        <v>1.4</v>
      </c>
      <c r="N14" s="387" t="str">
        <f t="shared" si="2"/>
        <v>Not Assessed</v>
      </c>
      <c r="O14" s="387" t="str">
        <f t="shared" si="3"/>
        <v>Not Assessed</v>
      </c>
      <c r="P14" s="388" t="str">
        <f>IFERROR($O14*$I14*HLOOKUP($C14,'Exposure Factors'!$C$4:$D$10,MATCH($E14,'Exposure Factors'!$E$8:$E$9,0)+4,FALSE)/(250*HLOOKUP($C14,'Exposure Factors'!$C$4:$D$10,MATCH($E14,'Exposure Factors'!$E$8:$E$9,0)+4,FALSE)),"Not Assessed")</f>
        <v>Not Assessed</v>
      </c>
      <c r="Q14" s="389" t="str">
        <f>IFERROR($O14*$I14*HLOOKUP($C14,'Exposure Factors'!$C$4:$D$10,MATCH($E14,'Exposure Factors'!$E$8:$E$9,0)+4,FALSE)/(365*HLOOKUP($C14,'Exposure Factors'!$C$4:$D$10,7,FALSE)),"Not Assessed")</f>
        <v>Not Assessed</v>
      </c>
    </row>
    <row r="15" spans="1:17" x14ac:dyDescent="0.25">
      <c r="N15" s="340"/>
      <c r="Q15" s="12"/>
    </row>
    <row r="16" spans="1:17" x14ac:dyDescent="0.25">
      <c r="N16" s="340"/>
      <c r="Q16" s="12"/>
    </row>
    <row r="17" spans="14:17" x14ac:dyDescent="0.25">
      <c r="N17" s="340"/>
      <c r="Q17" s="12"/>
    </row>
    <row r="18" spans="14:17" x14ac:dyDescent="0.25">
      <c r="N18" s="340"/>
      <c r="Q18" s="12"/>
    </row>
    <row r="19" spans="14:17" x14ac:dyDescent="0.25">
      <c r="N19" s="340"/>
      <c r="Q19" s="12"/>
    </row>
    <row r="20" spans="14:17" x14ac:dyDescent="0.25">
      <c r="N20" s="340"/>
      <c r="Q20" s="12"/>
    </row>
    <row r="21" spans="14:17" x14ac:dyDescent="0.25">
      <c r="N21" s="340"/>
      <c r="Q21" s="12"/>
    </row>
    <row r="22" spans="14:17" x14ac:dyDescent="0.25">
      <c r="N22" s="340"/>
      <c r="Q22" s="12"/>
    </row>
    <row r="23" spans="14:17" x14ac:dyDescent="0.25">
      <c r="N23" s="340"/>
      <c r="Q23" s="12"/>
    </row>
    <row r="24" spans="14:17" x14ac:dyDescent="0.25">
      <c r="N24" s="340"/>
      <c r="Q24" s="12"/>
    </row>
    <row r="25" spans="14:17" x14ac:dyDescent="0.25">
      <c r="N25" s="340"/>
      <c r="Q25" s="12"/>
    </row>
    <row r="26" spans="14:17" x14ac:dyDescent="0.25">
      <c r="N26" s="340"/>
      <c r="Q26" s="12"/>
    </row>
    <row r="27" spans="14:17" x14ac:dyDescent="0.25">
      <c r="N27" s="340"/>
      <c r="Q27" s="12"/>
    </row>
    <row r="28" spans="14:17" x14ac:dyDescent="0.25">
      <c r="N28" s="340"/>
      <c r="Q28" s="12"/>
    </row>
    <row r="29" spans="14:17" x14ac:dyDescent="0.25">
      <c r="N29" s="340"/>
      <c r="Q29" s="12"/>
    </row>
  </sheetData>
  <sheetProtection algorithmName="SHA-512" hashValue="AWv+dIpaQrO0dlRDIxWyw0CLlnumse5Eizj/V27uvP484NKfoYNNLDCxsYquLfILYcGSWLy2XeG+uqylQntGeA==" saltValue="2ksFK1UHu0hJNTJsTS3OLA==" spinCount="100000" sheet="1" objects="1" scenarios="1"/>
  <mergeCells count="18">
    <mergeCell ref="A1:G1"/>
    <mergeCell ref="N2:Q2"/>
    <mergeCell ref="O3:O4"/>
    <mergeCell ref="Q3:Q4"/>
    <mergeCell ref="K3:K5"/>
    <mergeCell ref="L3:L5"/>
    <mergeCell ref="N3:N4"/>
    <mergeCell ref="P3:P4"/>
    <mergeCell ref="M3:M5"/>
    <mergeCell ref="E3:E5"/>
    <mergeCell ref="A2:F2"/>
    <mergeCell ref="A10:F10"/>
    <mergeCell ref="G2:M2"/>
    <mergeCell ref="H3:H5"/>
    <mergeCell ref="G3:G5"/>
    <mergeCell ref="J3:J5"/>
    <mergeCell ref="I3:I5"/>
    <mergeCell ref="D3:D5"/>
  </mergeCells>
  <conditionalFormatting sqref="P6:Q9">
    <cfRule type="cellIs" dxfId="30" priority="12" operator="lessThan">
      <formula>0.09999</formula>
    </cfRule>
    <cfRule type="cellIs" dxfId="29" priority="13" operator="greaterThan">
      <formula>0.01</formula>
    </cfRule>
  </conditionalFormatting>
  <conditionalFormatting sqref="P11:Q14">
    <cfRule type="cellIs" dxfId="28" priority="2" operator="lessThan">
      <formula>0.0999</formula>
    </cfRule>
    <cfRule type="cellIs" dxfId="27" priority="3" operator="greaterThan">
      <formula>0.01</formula>
    </cfRule>
  </conditionalFormatting>
  <conditionalFormatting sqref="P6:P11">
    <cfRule type="cellIs" dxfId="26" priority="1" operator="greaterThan">
      <formula>1</formula>
    </cfRule>
  </conditionalFormatting>
  <dataValidations disablePrompts="1" count="1">
    <dataValidation allowBlank="1" showErrorMessage="1" sqref="N3 N5" xr:uid="{00000000-0002-0000-0400-000000000000}"/>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62"/>
  <sheetViews>
    <sheetView zoomScale="80" zoomScaleNormal="80" workbookViewId="0">
      <selection activeCell="C5" sqref="C5"/>
    </sheetView>
  </sheetViews>
  <sheetFormatPr defaultColWidth="9.109375" defaultRowHeight="13.2" x14ac:dyDescent="0.25"/>
  <cols>
    <col min="1" max="1" width="2.5546875" style="395" customWidth="1"/>
    <col min="2" max="2" width="14.6640625" style="395" bestFit="1" customWidth="1"/>
    <col min="3" max="3" width="48" style="396" bestFit="1" customWidth="1"/>
    <col min="4" max="4" width="12.88671875" style="395" customWidth="1"/>
    <col min="5" max="5" width="10.88671875" style="395" bestFit="1" customWidth="1"/>
    <col min="6" max="7" width="10.88671875" style="395" customWidth="1"/>
    <col min="8" max="8" width="13.33203125" style="395" bestFit="1" customWidth="1"/>
    <col min="9" max="11" width="10.88671875" style="395" customWidth="1"/>
    <col min="12" max="13" width="14.33203125" style="395" customWidth="1"/>
    <col min="14" max="15" width="15" style="395" customWidth="1"/>
    <col min="16" max="16" width="7.88671875" style="395" customWidth="1"/>
    <col min="17" max="17" width="27.5546875" style="395" customWidth="1"/>
    <col min="18" max="19" width="15" style="395" customWidth="1"/>
    <col min="20" max="20" width="11.5546875" style="396" customWidth="1"/>
    <col min="21" max="21" width="33.88671875" style="395" customWidth="1"/>
    <col min="22" max="22" width="14.33203125" style="395" bestFit="1" customWidth="1"/>
    <col min="23" max="23" width="21" style="395" customWidth="1"/>
    <col min="24" max="24" width="27.33203125" style="395" bestFit="1" customWidth="1"/>
    <col min="25" max="25" width="16.5546875" style="395" customWidth="1"/>
    <col min="26" max="26" width="56.109375" style="395" customWidth="1"/>
    <col min="27" max="27" width="19.33203125" style="395" customWidth="1"/>
    <col min="28" max="28" width="10" style="395" bestFit="1" customWidth="1"/>
    <col min="29" max="29" width="19.44140625" style="395" customWidth="1"/>
    <col min="30" max="30" width="17.44140625" style="395" customWidth="1"/>
    <col min="31" max="31" width="9.109375" style="395"/>
    <col min="32" max="32" width="72.5546875" style="395" customWidth="1"/>
    <col min="33" max="33" width="23.6640625" style="395" customWidth="1"/>
    <col min="34" max="36" width="9.109375" style="395"/>
    <col min="37" max="37" width="52.44140625" style="395" bestFit="1" customWidth="1"/>
    <col min="38" max="38" width="10.6640625" style="395" customWidth="1"/>
    <col min="39" max="44" width="9.109375" style="395"/>
    <col min="45" max="45" width="72.6640625" style="395" bestFit="1" customWidth="1"/>
    <col min="46" max="46" width="14.33203125" style="395" bestFit="1" customWidth="1"/>
    <col min="47" max="16384" width="9.109375" style="395"/>
  </cols>
  <sheetData>
    <row r="1" spans="1:27" ht="14.4" thickBot="1" x14ac:dyDescent="0.3">
      <c r="B1" s="776"/>
      <c r="C1" s="776"/>
      <c r="D1" s="776"/>
      <c r="E1" s="776"/>
      <c r="F1" s="776"/>
      <c r="G1" s="776"/>
      <c r="H1" s="776"/>
    </row>
    <row r="2" spans="1:27" ht="13.8" x14ac:dyDescent="0.25">
      <c r="A2" s="397"/>
      <c r="B2" s="398"/>
      <c r="C2" s="399"/>
      <c r="D2" s="834" t="s">
        <v>166</v>
      </c>
      <c r="E2" s="400"/>
      <c r="F2" s="816" t="s">
        <v>167</v>
      </c>
      <c r="G2" s="817"/>
      <c r="H2" s="828" t="s">
        <v>168</v>
      </c>
      <c r="I2" s="829"/>
      <c r="J2" s="828" t="s">
        <v>31</v>
      </c>
      <c r="K2" s="829"/>
      <c r="L2" s="830" t="s">
        <v>32</v>
      </c>
      <c r="M2" s="831"/>
      <c r="N2" s="830" t="s">
        <v>33</v>
      </c>
      <c r="O2" s="831"/>
      <c r="P2" s="832" t="s">
        <v>169</v>
      </c>
      <c r="Q2" s="806" t="s">
        <v>170</v>
      </c>
      <c r="R2" s="824" t="s">
        <v>18</v>
      </c>
      <c r="S2" s="401"/>
      <c r="T2" s="402"/>
      <c r="U2" s="401"/>
      <c r="V2" s="401"/>
      <c r="Y2" s="403"/>
      <c r="Z2" s="403"/>
      <c r="AA2" s="403"/>
    </row>
    <row r="3" spans="1:27" ht="13.8" x14ac:dyDescent="0.25">
      <c r="A3" s="397"/>
      <c r="B3" s="404"/>
      <c r="C3" s="405"/>
      <c r="D3" s="835"/>
      <c r="E3" s="406"/>
      <c r="F3" s="818"/>
      <c r="G3" s="819"/>
      <c r="H3" s="808" t="s">
        <v>388</v>
      </c>
      <c r="I3" s="809"/>
      <c r="J3" s="808" t="s">
        <v>389</v>
      </c>
      <c r="K3" s="809"/>
      <c r="L3" s="826" t="s">
        <v>390</v>
      </c>
      <c r="M3" s="827"/>
      <c r="N3" s="826" t="s">
        <v>391</v>
      </c>
      <c r="O3" s="827"/>
      <c r="P3" s="833"/>
      <c r="Q3" s="807"/>
      <c r="R3" s="825"/>
      <c r="S3" s="401"/>
      <c r="T3" s="402"/>
      <c r="U3" s="401"/>
      <c r="V3" s="401"/>
      <c r="Y3" s="403"/>
      <c r="Z3" s="403"/>
      <c r="AA3" s="403"/>
    </row>
    <row r="4" spans="1:27" ht="27" thickBot="1" x14ac:dyDescent="0.3">
      <c r="A4" s="397"/>
      <c r="B4" s="407" t="s">
        <v>171</v>
      </c>
      <c r="C4" s="408" t="s">
        <v>13</v>
      </c>
      <c r="D4" s="835"/>
      <c r="E4" s="408" t="s">
        <v>28</v>
      </c>
      <c r="F4" s="409" t="s">
        <v>39</v>
      </c>
      <c r="G4" s="409" t="s">
        <v>42</v>
      </c>
      <c r="H4" s="409" t="s">
        <v>172</v>
      </c>
      <c r="I4" s="409" t="s">
        <v>42</v>
      </c>
      <c r="J4" s="409" t="s">
        <v>172</v>
      </c>
      <c r="K4" s="409" t="s">
        <v>42</v>
      </c>
      <c r="L4" s="409" t="s">
        <v>172</v>
      </c>
      <c r="M4" s="409" t="s">
        <v>42</v>
      </c>
      <c r="N4" s="409" t="s">
        <v>172</v>
      </c>
      <c r="O4" s="409" t="s">
        <v>42</v>
      </c>
      <c r="P4" s="833"/>
      <c r="Q4" s="807"/>
      <c r="R4" s="825"/>
      <c r="S4" s="401"/>
      <c r="T4" s="402"/>
      <c r="U4" s="401"/>
      <c r="V4" s="401"/>
      <c r="Y4" s="403"/>
      <c r="Z4" s="403"/>
      <c r="AA4" s="403"/>
    </row>
    <row r="5" spans="1:27" ht="39.6" x14ac:dyDescent="0.25">
      <c r="A5" s="397"/>
      <c r="B5" s="410">
        <v>1</v>
      </c>
      <c r="C5" s="411" t="s">
        <v>86</v>
      </c>
      <c r="D5" s="412" t="s">
        <v>173</v>
      </c>
      <c r="E5" s="413" t="s">
        <v>38</v>
      </c>
      <c r="F5" s="414">
        <v>250</v>
      </c>
      <c r="G5" s="414">
        <v>250</v>
      </c>
      <c r="H5" s="415">
        <f>PERCENTILE('Manufacture_raw data'!$AE$12:$AE$384,0.95)</f>
        <v>4.0379332983370935</v>
      </c>
      <c r="I5" s="416">
        <f>PERCENTILE('Manufacture_raw data'!$AE$12:$AE$384,0.5)</f>
        <v>0.75625431754435612</v>
      </c>
      <c r="J5" s="417">
        <f>H5</f>
        <v>4.0379332983370935</v>
      </c>
      <c r="K5" s="418">
        <f>I5</f>
        <v>0.75625431754435612</v>
      </c>
      <c r="L5" s="419">
        <f>H5*ED_8*EF*WY_high/AT_ADC_high</f>
        <v>4.0379332983370935</v>
      </c>
      <c r="M5" s="420">
        <f>I5*ED_8*EF*WY_mid/AT_ADC_mid</f>
        <v>0.75625431754435612</v>
      </c>
      <c r="N5" s="418">
        <f>H5*ED_8*EF*WY_high/AT_LADC</f>
        <v>0.472770553604624</v>
      </c>
      <c r="O5" s="421">
        <f>I5*ED_8*EF*WY_mid/AT_LADC</f>
        <v>6.8621601228998477E-2</v>
      </c>
      <c r="P5" s="422">
        <f>'Manufacture_raw data'!$AR$7</f>
        <v>113</v>
      </c>
      <c r="Q5" s="423" t="s">
        <v>174</v>
      </c>
      <c r="R5" s="424" t="s">
        <v>175</v>
      </c>
      <c r="S5" s="401"/>
      <c r="T5" s="402"/>
      <c r="U5" s="401"/>
      <c r="V5" s="401"/>
      <c r="Y5" s="403"/>
      <c r="Z5" s="403"/>
      <c r="AA5" s="403"/>
    </row>
    <row r="6" spans="1:27" ht="26.4" x14ac:dyDescent="0.25">
      <c r="A6" s="397"/>
      <c r="B6" s="425">
        <v>1</v>
      </c>
      <c r="C6" s="426" t="s">
        <v>86</v>
      </c>
      <c r="D6" s="427" t="s">
        <v>173</v>
      </c>
      <c r="E6" s="428" t="s">
        <v>41</v>
      </c>
      <c r="F6" s="429">
        <v>250</v>
      </c>
      <c r="G6" s="429">
        <v>250</v>
      </c>
      <c r="H6" s="430">
        <f>MAX('Manufacture_raw data'!$AG$12:$AG$384)</f>
        <v>1.0065930470347648</v>
      </c>
      <c r="I6" s="431">
        <f>H6/2</f>
        <v>0.50329652351738241</v>
      </c>
      <c r="J6" s="432">
        <f>H6</f>
        <v>1.0065930470347648</v>
      </c>
      <c r="K6" s="433">
        <f>I6</f>
        <v>0.50329652351738241</v>
      </c>
      <c r="L6" s="434">
        <f>H6*ED_8*EF*WY_high/AT_ADC_high</f>
        <v>1.0065930470347648</v>
      </c>
      <c r="M6" s="435">
        <f>I6*ED_8*EF*WY_mid/AT_ADC_mid</f>
        <v>0.50329652351738241</v>
      </c>
      <c r="N6" s="433">
        <f>H6*ED_8*EF*WY_high/AT_LADC</f>
        <v>0.11785423803240426</v>
      </c>
      <c r="O6" s="436">
        <f>I6*ED_8*EF*WY_mid/AT_LADC</f>
        <v>4.5668517237556647E-2</v>
      </c>
      <c r="P6" s="437">
        <f>COUNT('Manufacture_raw data'!AG11:AG383)</f>
        <v>14</v>
      </c>
      <c r="Q6" s="438" t="s">
        <v>176</v>
      </c>
      <c r="R6" s="439" t="s">
        <v>175</v>
      </c>
      <c r="S6" s="401"/>
      <c r="T6" s="402"/>
      <c r="U6" s="401"/>
      <c r="V6" s="401"/>
      <c r="Y6" s="403"/>
      <c r="Z6" s="403"/>
      <c r="AA6" s="403"/>
    </row>
    <row r="7" spans="1:27" ht="39.6" x14ac:dyDescent="0.25">
      <c r="A7" s="397"/>
      <c r="B7" s="425">
        <v>1</v>
      </c>
      <c r="C7" s="426" t="s">
        <v>23</v>
      </c>
      <c r="D7" s="2" t="s">
        <v>177</v>
      </c>
      <c r="E7" s="429" t="s">
        <v>38</v>
      </c>
      <c r="F7" s="429">
        <v>250</v>
      </c>
      <c r="G7" s="429">
        <v>250</v>
      </c>
      <c r="H7" s="440">
        <f>PERCENTILE('Manufacture_raw data'!$AF$12:$AF$384,0.95)</f>
        <v>4.8444911724607902</v>
      </c>
      <c r="I7" s="441">
        <f>PERCENTILE('Manufacture_raw data'!$AF$12:$AF$384,0.5)</f>
        <v>0.50329652351738241</v>
      </c>
      <c r="J7" s="430">
        <f t="shared" ref="J7:J11" si="0">H7</f>
        <v>4.8444911724607902</v>
      </c>
      <c r="K7" s="433">
        <f t="shared" ref="K7:K11" si="1">I7</f>
        <v>0.50329652351738241</v>
      </c>
      <c r="L7" s="434">
        <f t="shared" ref="L7:L12" si="2">H7*ED_12*EF*WY_high/AT_ADC_high_12</f>
        <v>4.8444911724607893</v>
      </c>
      <c r="M7" s="435">
        <f t="shared" ref="M7:M12" si="3">I7*ED_12*EF*WY_mid/AT_ADC_mid_12</f>
        <v>0.50329652351738241</v>
      </c>
      <c r="N7" s="433">
        <f t="shared" ref="N7:N12" si="4">H7*ED_12*EF*WY_high/AT_LADC</f>
        <v>0.85080631760814707</v>
      </c>
      <c r="O7" s="442">
        <f t="shared" ref="O7:O12" si="5">I7*ED_12*EF*WY_mid/AT_LADC</f>
        <v>6.8502775856334977E-2</v>
      </c>
      <c r="P7" s="443">
        <f>'Manufacture_raw data'!$AS7</f>
        <v>243</v>
      </c>
      <c r="Q7" s="444" t="s">
        <v>178</v>
      </c>
      <c r="R7" s="439" t="s">
        <v>175</v>
      </c>
      <c r="S7" s="401"/>
      <c r="T7" s="402"/>
      <c r="U7" s="401"/>
      <c r="V7" s="401"/>
      <c r="Y7" s="403"/>
      <c r="Z7" s="403"/>
      <c r="AA7" s="403"/>
    </row>
    <row r="8" spans="1:27" ht="26.4" x14ac:dyDescent="0.25">
      <c r="A8" s="397"/>
      <c r="B8" s="425">
        <v>1</v>
      </c>
      <c r="C8" s="426" t="s">
        <v>23</v>
      </c>
      <c r="D8" s="2" t="s">
        <v>177</v>
      </c>
      <c r="E8" s="429" t="s">
        <v>41</v>
      </c>
      <c r="F8" s="429">
        <v>250</v>
      </c>
      <c r="G8" s="429">
        <v>250</v>
      </c>
      <c r="H8" s="440">
        <f>MAX('Manufacture_raw data'!$AH$12:$AH$384)</f>
        <v>1.3211533742331287</v>
      </c>
      <c r="I8" s="441">
        <f>H8/2</f>
        <v>0.66057668711656436</v>
      </c>
      <c r="J8" s="430">
        <f>H8</f>
        <v>1.3211533742331287</v>
      </c>
      <c r="K8" s="433">
        <f>I8</f>
        <v>0.66057668711656436</v>
      </c>
      <c r="L8" s="434">
        <f t="shared" si="2"/>
        <v>1.321153374233129</v>
      </c>
      <c r="M8" s="435">
        <f t="shared" si="3"/>
        <v>0.66057668711656436</v>
      </c>
      <c r="N8" s="433">
        <f t="shared" si="4"/>
        <v>0.2320255311262959</v>
      </c>
      <c r="O8" s="442">
        <f t="shared" si="5"/>
        <v>8.9909893311439656E-2</v>
      </c>
      <c r="P8" s="443">
        <f>COUNT('Manufacture_raw data'!AH11:AH383)</f>
        <v>3</v>
      </c>
      <c r="Q8" s="438" t="s">
        <v>176</v>
      </c>
      <c r="R8" s="439" t="s">
        <v>175</v>
      </c>
      <c r="S8" s="401"/>
      <c r="T8" s="402"/>
      <c r="U8" s="401"/>
      <c r="V8" s="401"/>
      <c r="Y8" s="403"/>
      <c r="Z8" s="403"/>
      <c r="AA8" s="403"/>
    </row>
    <row r="9" spans="1:27" ht="39.6" x14ac:dyDescent="0.25">
      <c r="A9" s="397"/>
      <c r="B9" s="425">
        <v>2</v>
      </c>
      <c r="C9" s="426" t="s">
        <v>151</v>
      </c>
      <c r="D9" s="445" t="s">
        <v>173</v>
      </c>
      <c r="E9" s="446" t="s">
        <v>38</v>
      </c>
      <c r="F9" s="446">
        <v>250</v>
      </c>
      <c r="G9" s="446">
        <v>250</v>
      </c>
      <c r="H9" s="440">
        <f>PERCENTILE('Manufacture_raw data'!$AE$12:$AE$384,0.95)</f>
        <v>4.0379332983370935</v>
      </c>
      <c r="I9" s="441">
        <f>PERCENTILE('Manufacture_raw data'!$AE$12:$AE$384,0.5)</f>
        <v>0.75625431754435612</v>
      </c>
      <c r="J9" s="430">
        <f t="shared" si="0"/>
        <v>4.0379332983370935</v>
      </c>
      <c r="K9" s="433">
        <f t="shared" si="1"/>
        <v>0.75625431754435612</v>
      </c>
      <c r="L9" s="434">
        <f t="shared" si="2"/>
        <v>4.0379332983370935</v>
      </c>
      <c r="M9" s="435">
        <f t="shared" si="3"/>
        <v>0.75625431754435612</v>
      </c>
      <c r="N9" s="433">
        <f>H9*ED_8*EF*WY_high/AT_LADC</f>
        <v>0.472770553604624</v>
      </c>
      <c r="O9" s="442">
        <f>I9*ED_8*EF*WY_mid/AT_LADC</f>
        <v>6.8621601228998477E-2</v>
      </c>
      <c r="P9" s="443">
        <f>'Manufacture_raw data'!$AR$7</f>
        <v>113</v>
      </c>
      <c r="Q9" s="444" t="s">
        <v>174</v>
      </c>
      <c r="R9" s="439" t="s">
        <v>175</v>
      </c>
      <c r="S9" s="401"/>
      <c r="T9" s="402"/>
      <c r="U9" s="401"/>
      <c r="V9" s="401"/>
      <c r="Y9" s="403"/>
      <c r="Z9" s="403"/>
      <c r="AA9" s="403"/>
    </row>
    <row r="10" spans="1:27" ht="26.4" x14ac:dyDescent="0.25">
      <c r="A10" s="397"/>
      <c r="B10" s="425">
        <v>2</v>
      </c>
      <c r="C10" s="447" t="s">
        <v>151</v>
      </c>
      <c r="D10" s="445" t="s">
        <v>173</v>
      </c>
      <c r="E10" s="446" t="s">
        <v>41</v>
      </c>
      <c r="F10" s="429">
        <v>250</v>
      </c>
      <c r="G10" s="429">
        <v>250</v>
      </c>
      <c r="H10" s="440">
        <f>MAX('Manufacture_raw data'!$AG$12:$AG$384)</f>
        <v>1.0065930470347648</v>
      </c>
      <c r="I10" s="441">
        <f>H10/2</f>
        <v>0.50329652351738241</v>
      </c>
      <c r="J10" s="430">
        <f>H10</f>
        <v>1.0065930470347648</v>
      </c>
      <c r="K10" s="433">
        <f>I10</f>
        <v>0.50329652351738241</v>
      </c>
      <c r="L10" s="434">
        <f t="shared" si="2"/>
        <v>1.0065930470347648</v>
      </c>
      <c r="M10" s="435">
        <f t="shared" si="3"/>
        <v>0.50329652351738241</v>
      </c>
      <c r="N10" s="433">
        <f>H10*ED_8*EF*WY_high/AT_LADC</f>
        <v>0.11785423803240426</v>
      </c>
      <c r="O10" s="442">
        <f>I10*ED_8*EF*WY_mid/AT_LADC</f>
        <v>4.5668517237556647E-2</v>
      </c>
      <c r="P10" s="443">
        <f>COUNT('Manufacture_raw data'!AG11:AG383)</f>
        <v>14</v>
      </c>
      <c r="Q10" s="438" t="s">
        <v>176</v>
      </c>
      <c r="R10" s="439" t="s">
        <v>175</v>
      </c>
      <c r="S10" s="401"/>
      <c r="T10" s="402"/>
      <c r="U10" s="401"/>
      <c r="V10" s="401"/>
      <c r="Y10" s="403"/>
      <c r="Z10" s="403"/>
      <c r="AA10" s="403"/>
    </row>
    <row r="11" spans="1:27" ht="39.6" x14ac:dyDescent="0.25">
      <c r="A11" s="397"/>
      <c r="B11" s="425">
        <v>2</v>
      </c>
      <c r="C11" s="447" t="s">
        <v>152</v>
      </c>
      <c r="D11" s="2" t="s">
        <v>177</v>
      </c>
      <c r="E11" s="446" t="s">
        <v>38</v>
      </c>
      <c r="F11" s="446">
        <v>250</v>
      </c>
      <c r="G11" s="446">
        <v>250</v>
      </c>
      <c r="H11" s="440">
        <f>PERCENTILE('Manufacture_raw data'!$AF$12:$AF$384,0.95)</f>
        <v>4.8444911724607902</v>
      </c>
      <c r="I11" s="441">
        <f>PERCENTILE('Manufacture_raw data'!$AF$12:$AF$384,0.5)</f>
        <v>0.50329652351738241</v>
      </c>
      <c r="J11" s="430">
        <f t="shared" si="0"/>
        <v>4.8444911724607902</v>
      </c>
      <c r="K11" s="433">
        <f t="shared" si="1"/>
        <v>0.50329652351738241</v>
      </c>
      <c r="L11" s="434">
        <f t="shared" si="2"/>
        <v>4.8444911724607893</v>
      </c>
      <c r="M11" s="435">
        <f t="shared" si="3"/>
        <v>0.50329652351738241</v>
      </c>
      <c r="N11" s="433">
        <f t="shared" si="4"/>
        <v>0.85080631760814707</v>
      </c>
      <c r="O11" s="442">
        <f t="shared" si="5"/>
        <v>6.8502775856334977E-2</v>
      </c>
      <c r="P11" s="443">
        <f>'Manufacture_raw data'!$AS7</f>
        <v>243</v>
      </c>
      <c r="Q11" s="444" t="s">
        <v>178</v>
      </c>
      <c r="R11" s="439" t="s">
        <v>175</v>
      </c>
      <c r="Y11" s="403"/>
      <c r="Z11" s="403"/>
      <c r="AA11" s="403"/>
    </row>
    <row r="12" spans="1:27" ht="26.4" x14ac:dyDescent="0.25">
      <c r="A12" s="397"/>
      <c r="B12" s="425">
        <v>2</v>
      </c>
      <c r="C12" s="447" t="s">
        <v>152</v>
      </c>
      <c r="D12" s="2" t="s">
        <v>177</v>
      </c>
      <c r="E12" s="446" t="s">
        <v>41</v>
      </c>
      <c r="F12" s="428">
        <v>250</v>
      </c>
      <c r="G12" s="428">
        <v>250</v>
      </c>
      <c r="H12" s="448">
        <f>MAX('Manufacture_raw data'!$AH$12:$AH$384)</f>
        <v>1.3211533742331287</v>
      </c>
      <c r="I12" s="441">
        <f>H12/2</f>
        <v>0.66057668711656436</v>
      </c>
      <c r="J12" s="430">
        <f>H12</f>
        <v>1.3211533742331287</v>
      </c>
      <c r="K12" s="433">
        <f>I12</f>
        <v>0.66057668711656436</v>
      </c>
      <c r="L12" s="434">
        <f t="shared" si="2"/>
        <v>1.321153374233129</v>
      </c>
      <c r="M12" s="435">
        <f t="shared" si="3"/>
        <v>0.66057668711656436</v>
      </c>
      <c r="N12" s="433">
        <f t="shared" si="4"/>
        <v>0.2320255311262959</v>
      </c>
      <c r="O12" s="442">
        <f t="shared" si="5"/>
        <v>8.9909893311439656E-2</v>
      </c>
      <c r="P12" s="443">
        <f>COUNT('Manufacture_raw data'!AH11:AH383)</f>
        <v>3</v>
      </c>
      <c r="Q12" s="438" t="s">
        <v>176</v>
      </c>
      <c r="R12" s="439" t="s">
        <v>175</v>
      </c>
      <c r="Y12" s="403"/>
      <c r="Z12" s="403"/>
      <c r="AA12" s="403"/>
    </row>
    <row r="13" spans="1:27" ht="13.8" x14ac:dyDescent="0.25">
      <c r="A13" s="397"/>
      <c r="B13" s="449" t="s">
        <v>179</v>
      </c>
      <c r="C13" s="450" t="s">
        <v>180</v>
      </c>
      <c r="D13" s="812" t="s">
        <v>181</v>
      </c>
      <c r="E13" s="812"/>
      <c r="F13" s="812"/>
      <c r="G13" s="812"/>
      <c r="H13" s="812"/>
      <c r="I13" s="812"/>
      <c r="J13" s="812"/>
      <c r="K13" s="812"/>
      <c r="L13" s="812"/>
      <c r="M13" s="812"/>
      <c r="N13" s="813"/>
      <c r="O13" s="813"/>
      <c r="P13" s="812"/>
      <c r="Q13" s="813"/>
      <c r="R13" s="815"/>
      <c r="Y13" s="403"/>
      <c r="Z13" s="403"/>
      <c r="AA13" s="403"/>
    </row>
    <row r="14" spans="1:27" ht="79.2" x14ac:dyDescent="0.25">
      <c r="A14" s="397"/>
      <c r="B14" s="425">
        <v>7</v>
      </c>
      <c r="C14" s="451" t="s">
        <v>150</v>
      </c>
      <c r="D14" s="445" t="s">
        <v>173</v>
      </c>
      <c r="E14" s="446" t="s">
        <v>38</v>
      </c>
      <c r="F14" s="446">
        <v>250</v>
      </c>
      <c r="G14" s="446">
        <v>250</v>
      </c>
      <c r="H14" s="433">
        <f>PERCENTILE('Manufacture_raw data'!$AI$12:$AI$384,0.95)</f>
        <v>2.9186091849558666</v>
      </c>
      <c r="I14" s="441">
        <f>PERCENTILE('Manufacture_raw data'!$AI$12:$AI$384,0.5)</f>
        <v>0.88971096181688947</v>
      </c>
      <c r="J14" s="433">
        <f t="shared" ref="J14:J15" si="6">H14</f>
        <v>2.9186091849558666</v>
      </c>
      <c r="K14" s="433">
        <f t="shared" ref="K14:K15" si="7">I14</f>
        <v>0.88971096181688947</v>
      </c>
      <c r="L14" s="435">
        <f>H14*ED_8*EF*WY_high/AT_ADC_high</f>
        <v>2.9186091849558666</v>
      </c>
      <c r="M14" s="452">
        <f>I14*ED_8*EF*WY_mid/AT_ADC_mid</f>
        <v>0.88971096181688947</v>
      </c>
      <c r="N14" s="435">
        <f>H14*ED_8*EF*WY_high/AT_LADC</f>
        <v>0.34171750204377316</v>
      </c>
      <c r="O14" s="453">
        <f>I14*ED_8*EF*WY_mid/AT_LADC</f>
        <v>8.0731295563527608E-2</v>
      </c>
      <c r="P14" s="443">
        <f>COUNT('Manufacture_raw data'!AI11:AI383)</f>
        <v>15</v>
      </c>
      <c r="Q14" s="454" t="s">
        <v>182</v>
      </c>
      <c r="R14" s="455" t="s">
        <v>175</v>
      </c>
      <c r="Y14" s="403"/>
      <c r="Z14" s="403"/>
      <c r="AA14" s="403"/>
    </row>
    <row r="15" spans="1:27" ht="52.8" x14ac:dyDescent="0.25">
      <c r="A15" s="397"/>
      <c r="B15" s="425">
        <v>7</v>
      </c>
      <c r="C15" s="451" t="s">
        <v>150</v>
      </c>
      <c r="D15" s="456" t="s">
        <v>173</v>
      </c>
      <c r="E15" s="429" t="s">
        <v>41</v>
      </c>
      <c r="F15" s="429">
        <v>250</v>
      </c>
      <c r="G15" s="429">
        <v>250</v>
      </c>
      <c r="H15" s="457" t="s">
        <v>132</v>
      </c>
      <c r="I15" s="458">
        <f>I14</f>
        <v>0.88971096181688947</v>
      </c>
      <c r="J15" s="433" t="str">
        <f t="shared" si="6"/>
        <v>--</v>
      </c>
      <c r="K15" s="433">
        <f t="shared" si="7"/>
        <v>0.88971096181688947</v>
      </c>
      <c r="L15" s="457" t="s">
        <v>132</v>
      </c>
      <c r="M15" s="459">
        <f>M14</f>
        <v>0.88971096181688947</v>
      </c>
      <c r="N15" s="457" t="s">
        <v>132</v>
      </c>
      <c r="O15" s="458">
        <f>O14</f>
        <v>8.0731295563527608E-2</v>
      </c>
      <c r="P15" s="460">
        <f>COUNT('Manufacture_raw data'!AI11:AI383)</f>
        <v>15</v>
      </c>
      <c r="Q15" s="461" t="s">
        <v>183</v>
      </c>
      <c r="R15" s="455" t="s">
        <v>175</v>
      </c>
      <c r="Y15" s="403"/>
      <c r="Z15" s="403"/>
      <c r="AA15" s="403"/>
    </row>
    <row r="16" spans="1:27" ht="13.8" x14ac:dyDescent="0.25">
      <c r="A16" s="397"/>
      <c r="B16" s="449">
        <v>8</v>
      </c>
      <c r="C16" s="450" t="s">
        <v>184</v>
      </c>
      <c r="D16" s="812" t="s">
        <v>185</v>
      </c>
      <c r="E16" s="812"/>
      <c r="F16" s="812"/>
      <c r="G16" s="812"/>
      <c r="H16" s="812"/>
      <c r="I16" s="812"/>
      <c r="J16" s="812"/>
      <c r="K16" s="812"/>
      <c r="L16" s="812"/>
      <c r="M16" s="812"/>
      <c r="N16" s="812"/>
      <c r="O16" s="812"/>
      <c r="P16" s="812"/>
      <c r="Q16" s="820"/>
      <c r="R16" s="815"/>
      <c r="Y16" s="403"/>
      <c r="Z16" s="403"/>
      <c r="AA16" s="403"/>
    </row>
    <row r="17" spans="1:27" ht="13.8" x14ac:dyDescent="0.25">
      <c r="A17" s="397"/>
      <c r="B17" s="449">
        <v>9</v>
      </c>
      <c r="C17" s="450" t="s">
        <v>186</v>
      </c>
      <c r="D17" s="821" t="s">
        <v>181</v>
      </c>
      <c r="E17" s="821"/>
      <c r="F17" s="821"/>
      <c r="G17" s="821"/>
      <c r="H17" s="821"/>
      <c r="I17" s="821"/>
      <c r="J17" s="821"/>
      <c r="K17" s="821"/>
      <c r="L17" s="821"/>
      <c r="M17" s="821"/>
      <c r="N17" s="822"/>
      <c r="O17" s="822"/>
      <c r="P17" s="821"/>
      <c r="Q17" s="822"/>
      <c r="R17" s="823"/>
      <c r="Y17" s="403"/>
      <c r="Z17" s="403"/>
      <c r="AA17" s="403"/>
    </row>
    <row r="18" spans="1:27" ht="79.2" x14ac:dyDescent="0.25">
      <c r="A18" s="397"/>
      <c r="B18" s="425">
        <v>10</v>
      </c>
      <c r="C18" s="451" t="s">
        <v>153</v>
      </c>
      <c r="D18" s="445" t="s">
        <v>173</v>
      </c>
      <c r="E18" s="429" t="s">
        <v>38</v>
      </c>
      <c r="F18" s="429">
        <v>250</v>
      </c>
      <c r="G18" s="429">
        <v>250</v>
      </c>
      <c r="H18" s="441">
        <f>PERCENTILE('Manufacture_raw data'!$AI$12:$AI$384,0.95)</f>
        <v>2.9186091849558666</v>
      </c>
      <c r="I18" s="441">
        <f>PERCENTILE('Manufacture_raw data'!$AI$12:$AI$384,0.5)</f>
        <v>0.88971096181688947</v>
      </c>
      <c r="J18" s="433">
        <f t="shared" ref="J18:J21" si="8">H18</f>
        <v>2.9186091849558666</v>
      </c>
      <c r="K18" s="433">
        <f t="shared" ref="K18:K21" si="9">I18</f>
        <v>0.88971096181688947</v>
      </c>
      <c r="L18" s="435">
        <f>H18*ED_8*EF*WY_high/AT_ADC_high</f>
        <v>2.9186091849558666</v>
      </c>
      <c r="M18" s="435">
        <f>I18*ED_8*EF*WY_mid/AT_ADC_mid</f>
        <v>0.88971096181688947</v>
      </c>
      <c r="N18" s="435">
        <f>H18*ED_8*EF*WY_high/AT_LADC</f>
        <v>0.34171750204377316</v>
      </c>
      <c r="O18" s="435">
        <f>I18*ED_8*EF*WY_mid/AT_LADC</f>
        <v>8.0731295563527608E-2</v>
      </c>
      <c r="P18" s="443">
        <f>COUNT('Manufacture_raw data'!AI11:AI383)</f>
        <v>15</v>
      </c>
      <c r="Q18" s="454" t="s">
        <v>182</v>
      </c>
      <c r="R18" s="455" t="s">
        <v>175</v>
      </c>
      <c r="Y18" s="403"/>
      <c r="Z18" s="403"/>
      <c r="AA18" s="403"/>
    </row>
    <row r="19" spans="1:27" ht="52.8" x14ac:dyDescent="0.25">
      <c r="A19" s="397"/>
      <c r="B19" s="425">
        <v>10</v>
      </c>
      <c r="C19" s="451" t="s">
        <v>153</v>
      </c>
      <c r="D19" s="445" t="s">
        <v>173</v>
      </c>
      <c r="E19" s="429" t="s">
        <v>41</v>
      </c>
      <c r="F19" s="429">
        <v>250</v>
      </c>
      <c r="G19" s="429">
        <v>250</v>
      </c>
      <c r="H19" s="457" t="s">
        <v>132</v>
      </c>
      <c r="I19" s="458">
        <f>I18</f>
        <v>0.88971096181688947</v>
      </c>
      <c r="J19" s="433" t="str">
        <f t="shared" si="8"/>
        <v>--</v>
      </c>
      <c r="K19" s="433">
        <f t="shared" si="9"/>
        <v>0.88971096181688947</v>
      </c>
      <c r="L19" s="457" t="s">
        <v>132</v>
      </c>
      <c r="M19" s="458">
        <f>M18</f>
        <v>0.88971096181688947</v>
      </c>
      <c r="N19" s="457" t="s">
        <v>132</v>
      </c>
      <c r="O19" s="458">
        <f>O18</f>
        <v>8.0731295563527608E-2</v>
      </c>
      <c r="P19" s="460">
        <f>COUNT('Manufacture_raw data'!AI11:AI383)</f>
        <v>15</v>
      </c>
      <c r="Q19" s="461" t="s">
        <v>183</v>
      </c>
      <c r="R19" s="455" t="s">
        <v>175</v>
      </c>
      <c r="Y19" s="403"/>
      <c r="Z19" s="403"/>
      <c r="AA19" s="403"/>
    </row>
    <row r="20" spans="1:27" ht="79.2" x14ac:dyDescent="0.25">
      <c r="A20" s="397"/>
      <c r="B20" s="425">
        <v>11</v>
      </c>
      <c r="C20" s="451" t="s">
        <v>154</v>
      </c>
      <c r="D20" s="445" t="s">
        <v>173</v>
      </c>
      <c r="E20" s="429" t="s">
        <v>38</v>
      </c>
      <c r="F20" s="429">
        <v>250</v>
      </c>
      <c r="G20" s="429">
        <v>250</v>
      </c>
      <c r="H20" s="441">
        <f>PERCENTILE('Manufacture_raw data'!$AI$12:$AI$384,0.95)</f>
        <v>2.9186091849558666</v>
      </c>
      <c r="I20" s="441">
        <f>PERCENTILE('Manufacture_raw data'!$AI$12:$AI$384,0.5)</f>
        <v>0.88971096181688947</v>
      </c>
      <c r="J20" s="433">
        <f t="shared" si="8"/>
        <v>2.9186091849558666</v>
      </c>
      <c r="K20" s="433">
        <f t="shared" si="9"/>
        <v>0.88971096181688947</v>
      </c>
      <c r="L20" s="435">
        <f>H20*ED_8*EF*WY_high/AT_ADC_high</f>
        <v>2.9186091849558666</v>
      </c>
      <c r="M20" s="435">
        <f>I20*ED_8*EF*WY_mid/AT_ADC_mid</f>
        <v>0.88971096181688947</v>
      </c>
      <c r="N20" s="435">
        <f>H20*ED_8*EF*WY_high/AT_LADC</f>
        <v>0.34171750204377316</v>
      </c>
      <c r="O20" s="435">
        <f>I20*ED_8*EF*WY_mid/AT_LADC</f>
        <v>8.0731295563527608E-2</v>
      </c>
      <c r="P20" s="443">
        <f>COUNT('Manufacture_raw data'!AI11:AI383)</f>
        <v>15</v>
      </c>
      <c r="Q20" s="454" t="s">
        <v>182</v>
      </c>
      <c r="R20" s="455" t="s">
        <v>175</v>
      </c>
      <c r="Y20" s="403"/>
      <c r="Z20" s="403"/>
      <c r="AA20" s="403"/>
    </row>
    <row r="21" spans="1:27" ht="52.8" x14ac:dyDescent="0.25">
      <c r="A21" s="397"/>
      <c r="B21" s="425">
        <v>11</v>
      </c>
      <c r="C21" s="451" t="s">
        <v>154</v>
      </c>
      <c r="D21" s="445" t="s">
        <v>173</v>
      </c>
      <c r="E21" s="429" t="s">
        <v>41</v>
      </c>
      <c r="F21" s="429">
        <v>250</v>
      </c>
      <c r="G21" s="429">
        <v>250</v>
      </c>
      <c r="H21" s="457" t="s">
        <v>132</v>
      </c>
      <c r="I21" s="457" t="s">
        <v>132</v>
      </c>
      <c r="J21" s="433" t="str">
        <f t="shared" si="8"/>
        <v>--</v>
      </c>
      <c r="K21" s="433" t="str">
        <f t="shared" si="9"/>
        <v>--</v>
      </c>
      <c r="L21" s="457" t="s">
        <v>132</v>
      </c>
      <c r="M21" s="457" t="s">
        <v>132</v>
      </c>
      <c r="N21" s="457" t="s">
        <v>132</v>
      </c>
      <c r="O21" s="457" t="s">
        <v>132</v>
      </c>
      <c r="P21" s="460">
        <f>COUNT('Manufacture_raw data'!AI11:AI383)</f>
        <v>15</v>
      </c>
      <c r="Q21" s="461" t="s">
        <v>183</v>
      </c>
      <c r="R21" s="455" t="s">
        <v>175</v>
      </c>
      <c r="Y21" s="403"/>
      <c r="Z21" s="403"/>
      <c r="AA21" s="403"/>
    </row>
    <row r="22" spans="1:27" ht="13.8" x14ac:dyDescent="0.25">
      <c r="A22" s="397"/>
      <c r="B22" s="449">
        <v>12</v>
      </c>
      <c r="C22" s="450" t="s">
        <v>187</v>
      </c>
      <c r="D22" s="812" t="s">
        <v>188</v>
      </c>
      <c r="E22" s="812"/>
      <c r="F22" s="812"/>
      <c r="G22" s="812"/>
      <c r="H22" s="812"/>
      <c r="I22" s="812"/>
      <c r="J22" s="812"/>
      <c r="K22" s="812"/>
      <c r="L22" s="812"/>
      <c r="M22" s="812"/>
      <c r="N22" s="813"/>
      <c r="O22" s="813"/>
      <c r="P22" s="812"/>
      <c r="Q22" s="814"/>
      <c r="R22" s="815"/>
      <c r="Y22" s="403"/>
      <c r="Z22" s="403"/>
      <c r="AA22" s="403"/>
    </row>
    <row r="23" spans="1:27" ht="79.2" x14ac:dyDescent="0.25">
      <c r="B23" s="425">
        <v>13</v>
      </c>
      <c r="C23" s="451" t="s">
        <v>155</v>
      </c>
      <c r="D23" s="456" t="s">
        <v>173</v>
      </c>
      <c r="E23" s="429" t="s">
        <v>38</v>
      </c>
      <c r="F23" s="429">
        <v>250</v>
      </c>
      <c r="G23" s="429">
        <v>250</v>
      </c>
      <c r="H23" s="441">
        <f>PERCENTILE('Manufacture_raw data'!$AI$12:$AI$384,0.95)</f>
        <v>2.9186091849558666</v>
      </c>
      <c r="I23" s="441">
        <f>PERCENTILE('Manufacture_raw data'!$AI$12:$AI$384,0.5)</f>
        <v>0.88971096181688947</v>
      </c>
      <c r="J23" s="433">
        <f t="shared" ref="J23:J26" si="10">H23</f>
        <v>2.9186091849558666</v>
      </c>
      <c r="K23" s="433">
        <f t="shared" ref="K23:K26" si="11">I23</f>
        <v>0.88971096181688947</v>
      </c>
      <c r="L23" s="435">
        <f>H23*ED_8*EF*WY_high/AT_ADC_high</f>
        <v>2.9186091849558666</v>
      </c>
      <c r="M23" s="435">
        <f>I23*ED_8*EF*WY_mid/AT_ADC_mid</f>
        <v>0.88971096181688947</v>
      </c>
      <c r="N23" s="435">
        <f>H23*ED_8*EF*WY_high/AT_LADC</f>
        <v>0.34171750204377316</v>
      </c>
      <c r="O23" s="435">
        <f>I23*ED_8*EF*WY_mid/AT_LADC</f>
        <v>8.0731295563527608E-2</v>
      </c>
      <c r="P23" s="462">
        <f>COUNT('Manufacture_raw data'!AI11:AI383)</f>
        <v>15</v>
      </c>
      <c r="Q23" s="454" t="s">
        <v>182</v>
      </c>
      <c r="R23" s="455" t="s">
        <v>175</v>
      </c>
      <c r="Y23" s="403"/>
      <c r="Z23" s="403"/>
      <c r="AA23" s="403"/>
    </row>
    <row r="24" spans="1:27" ht="52.8" x14ac:dyDescent="0.25">
      <c r="B24" s="425">
        <v>13</v>
      </c>
      <c r="C24" s="451" t="s">
        <v>155</v>
      </c>
      <c r="D24" s="445" t="s">
        <v>173</v>
      </c>
      <c r="E24" s="429" t="s">
        <v>41</v>
      </c>
      <c r="F24" s="429">
        <v>250</v>
      </c>
      <c r="G24" s="429">
        <v>250</v>
      </c>
      <c r="H24" s="457" t="s">
        <v>132</v>
      </c>
      <c r="I24" s="458">
        <f>I23</f>
        <v>0.88971096181688947</v>
      </c>
      <c r="J24" s="433" t="str">
        <f t="shared" si="10"/>
        <v>--</v>
      </c>
      <c r="K24" s="433">
        <f t="shared" si="11"/>
        <v>0.88971096181688947</v>
      </c>
      <c r="L24" s="457" t="s">
        <v>132</v>
      </c>
      <c r="M24" s="458">
        <f>M23</f>
        <v>0.88971096181688947</v>
      </c>
      <c r="N24" s="457" t="s">
        <v>132</v>
      </c>
      <c r="O24" s="458">
        <f>O23</f>
        <v>8.0731295563527608E-2</v>
      </c>
      <c r="P24" s="460">
        <f>COUNT('Manufacture_raw data'!AI11:AI383)</f>
        <v>15</v>
      </c>
      <c r="Q24" s="461" t="s">
        <v>183</v>
      </c>
      <c r="R24" s="455" t="s">
        <v>175</v>
      </c>
      <c r="S24" s="463"/>
      <c r="T24" s="403"/>
      <c r="U24" s="403"/>
      <c r="V24" s="403"/>
      <c r="W24" s="403"/>
    </row>
    <row r="25" spans="1:27" x14ac:dyDescent="0.25">
      <c r="B25" s="425">
        <v>14</v>
      </c>
      <c r="C25" s="451" t="s">
        <v>156</v>
      </c>
      <c r="D25" s="445" t="s">
        <v>173</v>
      </c>
      <c r="E25" s="429" t="s">
        <v>38</v>
      </c>
      <c r="F25" s="429">
        <v>150</v>
      </c>
      <c r="G25" s="429">
        <v>125</v>
      </c>
      <c r="H25" s="441">
        <v>0.36698704839809138</v>
      </c>
      <c r="I25" s="441">
        <v>0.18349352419904569</v>
      </c>
      <c r="J25" s="433">
        <f t="shared" si="10"/>
        <v>0.36698704839809138</v>
      </c>
      <c r="K25" s="433">
        <f t="shared" si="11"/>
        <v>0.18349352419904569</v>
      </c>
      <c r="L25" s="435">
        <f>H25*ED_8*F25*WY_high/AT_ADC_high</f>
        <v>0.22019222903885483</v>
      </c>
      <c r="M25" s="435">
        <f>I25*ED_8*G25*WY_mid/AT_ADC_mid</f>
        <v>9.174676209952283E-2</v>
      </c>
      <c r="N25" s="435">
        <f>H25*ED_8*F25*WY_high/AT_LADC</f>
        <v>2.5780614569588436E-2</v>
      </c>
      <c r="O25" s="435">
        <f>I25*ED_8*G25*WY_mid/AT_LADC</f>
        <v>8.3249901214295981E-3</v>
      </c>
      <c r="P25" s="443">
        <v>3</v>
      </c>
      <c r="Q25" s="444" t="s">
        <v>189</v>
      </c>
      <c r="R25" s="810" t="s">
        <v>175</v>
      </c>
      <c r="S25" s="396"/>
      <c r="T25" s="395"/>
    </row>
    <row r="26" spans="1:27" ht="13.8" thickBot="1" x14ac:dyDescent="0.3">
      <c r="B26" s="464">
        <v>14</v>
      </c>
      <c r="C26" s="95" t="s">
        <v>156</v>
      </c>
      <c r="D26" s="465" t="s">
        <v>173</v>
      </c>
      <c r="E26" s="466" t="s">
        <v>41</v>
      </c>
      <c r="F26" s="466">
        <v>150</v>
      </c>
      <c r="G26" s="466">
        <v>125</v>
      </c>
      <c r="H26" s="467" t="s">
        <v>132</v>
      </c>
      <c r="I26" s="468">
        <f>I25</f>
        <v>0.18349352419904569</v>
      </c>
      <c r="J26" s="469" t="str">
        <f t="shared" si="10"/>
        <v>--</v>
      </c>
      <c r="K26" s="469">
        <f t="shared" si="11"/>
        <v>0.18349352419904569</v>
      </c>
      <c r="L26" s="467" t="s">
        <v>132</v>
      </c>
      <c r="M26" s="468">
        <f>M25</f>
        <v>9.174676209952283E-2</v>
      </c>
      <c r="N26" s="467" t="s">
        <v>132</v>
      </c>
      <c r="O26" s="468">
        <f>O25</f>
        <v>8.3249901214295981E-3</v>
      </c>
      <c r="P26" s="470" t="s">
        <v>132</v>
      </c>
      <c r="Q26" s="471"/>
      <c r="R26" s="811"/>
      <c r="S26" s="396"/>
      <c r="T26" s="395"/>
    </row>
    <row r="27" spans="1:27" x14ac:dyDescent="0.25">
      <c r="C27" s="472"/>
      <c r="D27" s="401"/>
      <c r="E27" s="473"/>
      <c r="F27" s="473"/>
      <c r="G27" s="473"/>
      <c r="H27" s="473"/>
      <c r="I27" s="473"/>
      <c r="J27" s="473"/>
      <c r="K27" s="473"/>
      <c r="L27" s="474"/>
      <c r="R27" s="396"/>
      <c r="S27" s="396"/>
      <c r="T27" s="395"/>
    </row>
    <row r="28" spans="1:27" ht="13.8" x14ac:dyDescent="0.25">
      <c r="C28" s="402"/>
      <c r="D28" s="397"/>
      <c r="E28" s="396"/>
      <c r="F28" s="396"/>
      <c r="G28" s="396"/>
      <c r="H28" s="396"/>
      <c r="I28" s="396"/>
      <c r="J28" s="396"/>
      <c r="K28" s="396"/>
      <c r="L28" s="396"/>
      <c r="S28" s="396"/>
      <c r="T28" s="395"/>
    </row>
    <row r="29" spans="1:27" ht="13.8" x14ac:dyDescent="0.25">
      <c r="C29" s="402"/>
      <c r="D29" s="397"/>
      <c r="E29" s="396"/>
      <c r="F29" s="396"/>
      <c r="G29" s="396"/>
      <c r="H29" s="396"/>
      <c r="I29" s="396"/>
      <c r="J29" s="396"/>
      <c r="K29" s="396"/>
      <c r="L29" s="396"/>
      <c r="S29" s="396"/>
      <c r="T29" s="395"/>
    </row>
    <row r="30" spans="1:27" ht="13.8" x14ac:dyDescent="0.25">
      <c r="C30" s="402"/>
      <c r="D30" s="397"/>
      <c r="E30" s="396"/>
      <c r="F30" s="396"/>
      <c r="G30" s="396"/>
      <c r="H30" s="396"/>
      <c r="I30" s="396"/>
      <c r="J30" s="396"/>
      <c r="K30" s="396"/>
      <c r="L30" s="396"/>
      <c r="S30" s="396"/>
      <c r="T30" s="395"/>
    </row>
    <row r="31" spans="1:27" x14ac:dyDescent="0.25">
      <c r="C31" s="402"/>
      <c r="E31" s="396"/>
      <c r="F31" s="396"/>
      <c r="G31" s="396"/>
      <c r="H31" s="396"/>
      <c r="I31" s="396"/>
      <c r="J31" s="396"/>
      <c r="K31" s="396"/>
      <c r="L31" s="396"/>
      <c r="S31" s="475"/>
      <c r="T31" s="395"/>
    </row>
    <row r="32" spans="1:27" x14ac:dyDescent="0.25">
      <c r="C32" s="395"/>
      <c r="E32" s="396"/>
      <c r="F32" s="396"/>
      <c r="G32" s="396"/>
      <c r="H32" s="396"/>
      <c r="I32" s="396"/>
      <c r="J32" s="396"/>
      <c r="K32" s="396"/>
      <c r="L32" s="396"/>
      <c r="T32" s="395"/>
    </row>
    <row r="33" spans="5:20" s="395" customFormat="1" x14ac:dyDescent="0.25">
      <c r="E33" s="396"/>
      <c r="F33" s="396"/>
      <c r="G33" s="396"/>
      <c r="H33" s="396"/>
      <c r="I33" s="396"/>
      <c r="J33" s="396"/>
      <c r="K33" s="396"/>
      <c r="L33" s="396"/>
      <c r="T33" s="475"/>
    </row>
    <row r="34" spans="5:20" s="395" customFormat="1" x14ac:dyDescent="0.25">
      <c r="E34" s="396"/>
      <c r="F34" s="396"/>
      <c r="G34" s="396"/>
      <c r="H34" s="396"/>
      <c r="I34" s="396"/>
      <c r="J34" s="396"/>
      <c r="K34" s="396"/>
      <c r="L34" s="396"/>
      <c r="T34" s="475"/>
    </row>
    <row r="35" spans="5:20" s="395" customFormat="1" x14ac:dyDescent="0.25">
      <c r="T35" s="396"/>
    </row>
    <row r="36" spans="5:20" s="395" customFormat="1" x14ac:dyDescent="0.25">
      <c r="T36" s="396"/>
    </row>
    <row r="37" spans="5:20" s="395" customFormat="1" x14ac:dyDescent="0.25">
      <c r="T37" s="396"/>
    </row>
    <row r="38" spans="5:20" s="395" customFormat="1" x14ac:dyDescent="0.25">
      <c r="T38" s="396"/>
    </row>
    <row r="56" spans="3:3" s="395" customFormat="1" x14ac:dyDescent="0.25">
      <c r="C56" s="396"/>
    </row>
    <row r="57" spans="3:3" s="395" customFormat="1" x14ac:dyDescent="0.25">
      <c r="C57" s="396"/>
    </row>
    <row r="58" spans="3:3" s="395" customFormat="1" x14ac:dyDescent="0.25">
      <c r="C58" s="396"/>
    </row>
    <row r="59" spans="3:3" s="395" customFormat="1" x14ac:dyDescent="0.25">
      <c r="C59" s="396"/>
    </row>
    <row r="60" spans="3:3" s="395" customFormat="1" x14ac:dyDescent="0.25">
      <c r="C60" s="396"/>
    </row>
    <row r="61" spans="3:3" s="395" customFormat="1" x14ac:dyDescent="0.25">
      <c r="C61" s="396"/>
    </row>
    <row r="62" spans="3:3" s="395" customFormat="1" x14ac:dyDescent="0.25">
      <c r="C62" s="396"/>
    </row>
  </sheetData>
  <sheetProtection algorithmName="SHA-512" hashValue="aMW/eA5Yucx/8sUTt3QkrNLZTnSiByB02+vBpWEw8igI/dTDXVg8UruVjNbkr59Nipfr+hwTZJVjx+dhETB7pQ==" saltValue="erY/FbbgoX8aGuh1rQsl6Q==" spinCount="100000" sheet="1" objects="1" scenarios="1"/>
  <mergeCells count="19">
    <mergeCell ref="B1:H1"/>
    <mergeCell ref="H2:I2"/>
    <mergeCell ref="L2:M2"/>
    <mergeCell ref="N2:O2"/>
    <mergeCell ref="P2:P4"/>
    <mergeCell ref="D2:D4"/>
    <mergeCell ref="J2:K2"/>
    <mergeCell ref="Q2:Q4"/>
    <mergeCell ref="J3:K3"/>
    <mergeCell ref="R25:R26"/>
    <mergeCell ref="D22:R22"/>
    <mergeCell ref="F2:G3"/>
    <mergeCell ref="D16:R16"/>
    <mergeCell ref="D17:R17"/>
    <mergeCell ref="R2:R4"/>
    <mergeCell ref="H3:I3"/>
    <mergeCell ref="L3:M3"/>
    <mergeCell ref="N3:O3"/>
    <mergeCell ref="D13:R13"/>
  </mergeCells>
  <conditionalFormatting sqref="N25:O25 N23:O23 N20:O20 N18:O18 N14:O14 L7:L12 N5:O12">
    <cfRule type="cellIs" dxfId="25" priority="41" operator="greaterThanOrEqual">
      <formula>0.01</formula>
    </cfRule>
    <cfRule type="cellIs" dxfId="24" priority="42" operator="lessThan">
      <formula>0.09</formula>
    </cfRule>
  </conditionalFormatting>
  <conditionalFormatting sqref="L14:M14 L18:M18 L20:M20 R5:R12 L5:M6 M7:M12">
    <cfRule type="cellIs" dxfId="23" priority="39" operator="greaterThanOrEqual">
      <formula>0.01</formula>
    </cfRule>
    <cfRule type="cellIs" dxfId="22" priority="40" operator="lessThan">
      <formula>0.01</formula>
    </cfRule>
  </conditionalFormatting>
  <conditionalFormatting sqref="R18 R23 R14 R25 R20">
    <cfRule type="cellIs" dxfId="21" priority="36" operator="greaterThanOrEqual">
      <formula>0.01</formula>
    </cfRule>
    <cfRule type="cellIs" dxfId="20" priority="37" operator="lessThan">
      <formula>0.01</formula>
    </cfRule>
  </conditionalFormatting>
  <conditionalFormatting sqref="L23">
    <cfRule type="cellIs" dxfId="19" priority="27" operator="greaterThanOrEqual">
      <formula>0.01</formula>
    </cfRule>
    <cfRule type="cellIs" dxfId="18" priority="28" operator="lessThan">
      <formula>0.01</formula>
    </cfRule>
  </conditionalFormatting>
  <conditionalFormatting sqref="L25">
    <cfRule type="cellIs" dxfId="17" priority="25" operator="greaterThanOrEqual">
      <formula>0.01</formula>
    </cfRule>
    <cfRule type="cellIs" dxfId="16" priority="26" operator="lessThan">
      <formula>0.01</formula>
    </cfRule>
  </conditionalFormatting>
  <conditionalFormatting sqref="M23">
    <cfRule type="cellIs" dxfId="15" priority="21" operator="greaterThanOrEqual">
      <formula>0.01</formula>
    </cfRule>
    <cfRule type="cellIs" dxfId="14" priority="22" operator="lessThan">
      <formula>0.01</formula>
    </cfRule>
  </conditionalFormatting>
  <conditionalFormatting sqref="M25">
    <cfRule type="cellIs" dxfId="13" priority="19" operator="greaterThanOrEqual">
      <formula>0.01</formula>
    </cfRule>
    <cfRule type="cellIs" dxfId="12" priority="20" operator="lessThan">
      <formula>0.01</formula>
    </cfRule>
  </conditionalFormatting>
  <conditionalFormatting sqref="I18:I21 I23:I24 I14:I15 K14:K15 K18:K21 K23:K24 O5:O12">
    <cfRule type="cellIs" dxfId="11" priority="14" operator="lessThan">
      <formula>0.09</formula>
    </cfRule>
  </conditionalFormatting>
  <conditionalFormatting sqref="L26:M26">
    <cfRule type="cellIs" dxfId="10" priority="13" operator="lessThan">
      <formula>0.09</formula>
    </cfRule>
  </conditionalFormatting>
  <conditionalFormatting sqref="M5:O12">
    <cfRule type="cellIs" dxfId="9" priority="12" operator="greaterThan">
      <formula>0.01</formula>
    </cfRule>
  </conditionalFormatting>
  <conditionalFormatting sqref="L14:M14 M15">
    <cfRule type="cellIs" dxfId="8" priority="8" operator="greaterThan">
      <formula>0.05</formula>
    </cfRule>
    <cfRule type="cellIs" dxfId="7" priority="9" operator="greaterThan">
      <formula>0.095</formula>
    </cfRule>
    <cfRule type="cellIs" dxfId="6" priority="10" operator="greaterThan">
      <formula>0.1</formula>
    </cfRule>
  </conditionalFormatting>
  <conditionalFormatting sqref="L18:M20 L23:M25">
    <cfRule type="cellIs" dxfId="5" priority="6" operator="greaterThan">
      <formula>0.05</formula>
    </cfRule>
  </conditionalFormatting>
  <conditionalFormatting sqref="O14:O15 O18:O21 O23:O25">
    <cfRule type="cellIs" dxfId="4" priority="5" operator="lessThan">
      <formula>0.01</formula>
    </cfRule>
  </conditionalFormatting>
  <conditionalFormatting sqref="N14 N18:N20 N23:N25">
    <cfRule type="cellIs" dxfId="3" priority="4" operator="greaterThan">
      <formula>0.05</formula>
    </cfRule>
  </conditionalFormatting>
  <conditionalFormatting sqref="N14 N18:N20 N23:N25">
    <cfRule type="cellIs" dxfId="2" priority="3" operator="greaterThan">
      <formula>0.03</formula>
    </cfRule>
  </conditionalFormatting>
  <conditionalFormatting sqref="M14:M15 M18:M21 M23:M25">
    <cfRule type="cellIs" dxfId="1" priority="2" operator="greaterThan">
      <formula>0.05</formula>
    </cfRule>
  </conditionalFormatting>
  <conditionalFormatting sqref="N25">
    <cfRule type="cellIs" dxfId="0" priority="1" operator="lessThan">
      <formula>0.09</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9"/>
  <sheetViews>
    <sheetView topLeftCell="B1" workbookViewId="0">
      <selection activeCell="H17" sqref="H17"/>
    </sheetView>
  </sheetViews>
  <sheetFormatPr defaultColWidth="8.88671875" defaultRowHeight="13.8" x14ac:dyDescent="0.25"/>
  <cols>
    <col min="1" max="1" width="8.88671875" style="12"/>
    <col min="2" max="2" width="59.88671875" style="12" bestFit="1" customWidth="1"/>
    <col min="3" max="3" width="8.88671875" style="12"/>
    <col min="4" max="4" width="38.6640625" style="12" customWidth="1"/>
    <col min="5" max="5" width="8.88671875" style="12"/>
    <col min="6" max="6" width="37.109375" style="12" customWidth="1"/>
    <col min="7" max="7" width="25" style="12" customWidth="1"/>
    <col min="8" max="9" width="8.88671875" style="12"/>
    <col min="10" max="10" width="48.33203125" style="12" customWidth="1"/>
    <col min="11" max="16384" width="8.88671875" style="12"/>
  </cols>
  <sheetData>
    <row r="1" spans="1:10" ht="14.4" thickBot="1" x14ac:dyDescent="0.3">
      <c r="A1" s="776"/>
      <c r="B1" s="776"/>
      <c r="C1" s="776"/>
      <c r="D1" s="776"/>
      <c r="E1" s="776"/>
      <c r="F1" s="776"/>
      <c r="G1" s="776"/>
    </row>
    <row r="2" spans="1:10" ht="14.4" thickBot="1" x14ac:dyDescent="0.3">
      <c r="A2" s="476"/>
      <c r="B2" s="581" t="s">
        <v>190</v>
      </c>
      <c r="C2" s="477"/>
      <c r="D2" s="581" t="s">
        <v>191</v>
      </c>
      <c r="E2" s="477"/>
      <c r="F2" s="581" t="s">
        <v>192</v>
      </c>
      <c r="G2" s="477"/>
      <c r="H2" s="477"/>
      <c r="I2" s="477"/>
      <c r="J2" s="477"/>
    </row>
    <row r="3" spans="1:10" ht="14.4" thickTop="1" x14ac:dyDescent="0.25">
      <c r="A3" s="478"/>
      <c r="B3" s="582" t="s">
        <v>86</v>
      </c>
      <c r="C3" s="477"/>
      <c r="D3" s="479" t="s">
        <v>175</v>
      </c>
      <c r="E3" s="477"/>
      <c r="F3" s="480">
        <v>5</v>
      </c>
      <c r="G3" s="583" t="s">
        <v>193</v>
      </c>
      <c r="H3" s="477"/>
      <c r="I3" s="477"/>
      <c r="J3" s="477"/>
    </row>
    <row r="4" spans="1:10" ht="14.4" thickBot="1" x14ac:dyDescent="0.3">
      <c r="A4" s="478"/>
      <c r="B4" s="582" t="s">
        <v>23</v>
      </c>
      <c r="C4" s="477"/>
      <c r="D4" s="481" t="s">
        <v>194</v>
      </c>
      <c r="E4" s="477"/>
      <c r="F4" s="479">
        <v>10</v>
      </c>
      <c r="G4" s="583" t="s">
        <v>195</v>
      </c>
      <c r="H4" s="477"/>
      <c r="I4" s="477"/>
      <c r="J4" s="477"/>
    </row>
    <row r="5" spans="1:10" ht="14.4" thickBot="1" x14ac:dyDescent="0.3">
      <c r="A5" s="478"/>
      <c r="B5" s="582" t="s">
        <v>150</v>
      </c>
      <c r="C5" s="477"/>
      <c r="D5" s="477"/>
      <c r="E5" s="477"/>
      <c r="F5" s="481">
        <v>20</v>
      </c>
      <c r="G5" s="583" t="s">
        <v>196</v>
      </c>
      <c r="H5" s="477"/>
      <c r="I5" s="477"/>
      <c r="J5" s="477"/>
    </row>
    <row r="6" spans="1:10" ht="14.4" thickBot="1" x14ac:dyDescent="0.3">
      <c r="A6" s="478"/>
      <c r="B6" s="582" t="s">
        <v>151</v>
      </c>
      <c r="C6" s="477"/>
      <c r="D6" s="581" t="s">
        <v>164</v>
      </c>
      <c r="E6" s="477"/>
      <c r="F6" s="477"/>
      <c r="G6" s="233"/>
      <c r="H6" s="477"/>
      <c r="I6" s="477"/>
      <c r="J6" s="477"/>
    </row>
    <row r="7" spans="1:10" ht="15" thickTop="1" thickBot="1" x14ac:dyDescent="0.3">
      <c r="A7" s="478"/>
      <c r="B7" s="582" t="s">
        <v>152</v>
      </c>
      <c r="C7" s="477"/>
      <c r="D7" s="482" t="s">
        <v>24</v>
      </c>
      <c r="E7" s="477"/>
      <c r="F7" s="581" t="s">
        <v>197</v>
      </c>
      <c r="G7" s="477"/>
      <c r="H7" s="477"/>
      <c r="I7" s="477"/>
      <c r="J7" s="477"/>
    </row>
    <row r="8" spans="1:10" ht="15" thickTop="1" thickBot="1" x14ac:dyDescent="0.3">
      <c r="A8" s="478"/>
      <c r="B8" s="582" t="s">
        <v>153</v>
      </c>
      <c r="C8" s="477"/>
      <c r="D8" s="483" t="s">
        <v>87</v>
      </c>
      <c r="E8" s="477"/>
      <c r="F8" s="484" t="s">
        <v>38</v>
      </c>
      <c r="G8" s="477"/>
      <c r="H8" s="477"/>
      <c r="I8" s="477"/>
      <c r="J8" s="477"/>
    </row>
    <row r="9" spans="1:10" ht="14.4" thickBot="1" x14ac:dyDescent="0.3">
      <c r="A9" s="478"/>
      <c r="B9" s="582" t="s">
        <v>154</v>
      </c>
      <c r="C9" s="477"/>
      <c r="D9" s="476"/>
      <c r="E9" s="477"/>
      <c r="F9" s="485" t="s">
        <v>41</v>
      </c>
      <c r="G9" s="477"/>
      <c r="H9" s="477"/>
      <c r="I9" s="477"/>
      <c r="J9" s="477"/>
    </row>
    <row r="10" spans="1:10" ht="14.4" thickBot="1" x14ac:dyDescent="0.3">
      <c r="A10" s="478"/>
      <c r="B10" s="582" t="s">
        <v>155</v>
      </c>
      <c r="C10" s="477"/>
      <c r="D10" s="581" t="s">
        <v>198</v>
      </c>
      <c r="E10" s="477"/>
      <c r="F10" s="584"/>
      <c r="G10" s="477"/>
      <c r="H10" s="477"/>
      <c r="I10" s="477"/>
      <c r="J10" s="477"/>
    </row>
    <row r="11" spans="1:10" ht="15" thickTop="1" thickBot="1" x14ac:dyDescent="0.3">
      <c r="A11" s="478"/>
      <c r="B11" s="585" t="s">
        <v>156</v>
      </c>
      <c r="C11" s="477"/>
      <c r="D11" s="486">
        <v>0.5</v>
      </c>
      <c r="E11" s="477"/>
      <c r="F11" s="581" t="s">
        <v>199</v>
      </c>
      <c r="G11" s="586" t="s">
        <v>200</v>
      </c>
      <c r="H11" s="586" t="s">
        <v>201</v>
      </c>
      <c r="I11" s="587"/>
      <c r="J11" s="588"/>
    </row>
    <row r="12" spans="1:10" ht="14.4" thickBot="1" x14ac:dyDescent="0.3">
      <c r="A12" s="478"/>
      <c r="B12" s="589"/>
      <c r="C12" s="477"/>
      <c r="D12" s="487">
        <v>0.99</v>
      </c>
      <c r="E12" s="477"/>
      <c r="F12" s="590" t="s">
        <v>141</v>
      </c>
      <c r="G12" s="591">
        <v>153.82</v>
      </c>
      <c r="H12" s="592" t="s">
        <v>142</v>
      </c>
      <c r="I12" s="587"/>
      <c r="J12" s="477"/>
    </row>
    <row r="13" spans="1:10" ht="14.4" thickBot="1" x14ac:dyDescent="0.3">
      <c r="A13" s="478"/>
      <c r="B13" s="593"/>
      <c r="C13" s="477"/>
      <c r="D13" s="477"/>
      <c r="E13" s="477"/>
      <c r="F13" s="594" t="s">
        <v>139</v>
      </c>
      <c r="G13" s="595">
        <v>24.45</v>
      </c>
      <c r="H13" s="596" t="s">
        <v>140</v>
      </c>
      <c r="I13" s="587"/>
      <c r="J13" s="477"/>
    </row>
    <row r="14" spans="1:10" ht="18" customHeight="1" thickBot="1" x14ac:dyDescent="0.3">
      <c r="A14" s="478"/>
      <c r="B14" s="593"/>
      <c r="C14" s="477"/>
      <c r="D14" s="581" t="s">
        <v>202</v>
      </c>
      <c r="E14" s="477"/>
      <c r="F14" s="587"/>
      <c r="G14" s="587"/>
      <c r="H14" s="587"/>
      <c r="I14" s="587"/>
      <c r="J14" s="584"/>
    </row>
    <row r="15" spans="1:10" ht="15" thickTop="1" thickBot="1" x14ac:dyDescent="0.3">
      <c r="A15" s="476"/>
      <c r="B15" s="593"/>
      <c r="C15" s="477"/>
      <c r="D15" s="479">
        <v>5</v>
      </c>
      <c r="E15" s="477"/>
      <c r="F15" s="581" t="s">
        <v>203</v>
      </c>
      <c r="G15" s="586" t="s">
        <v>204</v>
      </c>
      <c r="H15" s="586" t="s">
        <v>200</v>
      </c>
      <c r="I15" s="586" t="s">
        <v>201</v>
      </c>
      <c r="J15" s="477"/>
    </row>
    <row r="16" spans="1:10" ht="14.4" thickTop="1" x14ac:dyDescent="0.25">
      <c r="A16" s="478"/>
      <c r="B16" s="593"/>
      <c r="C16" s="477"/>
      <c r="D16" s="479">
        <v>10</v>
      </c>
      <c r="E16" s="477"/>
      <c r="F16" s="597" t="s">
        <v>205</v>
      </c>
      <c r="G16" s="598" t="s">
        <v>206</v>
      </c>
      <c r="H16" s="598">
        <v>8</v>
      </c>
      <c r="I16" s="599" t="s">
        <v>207</v>
      </c>
      <c r="J16" s="477"/>
    </row>
    <row r="17" spans="1:10" x14ac:dyDescent="0.25">
      <c r="A17" s="478"/>
      <c r="B17" s="600"/>
      <c r="C17" s="477"/>
      <c r="D17" s="479">
        <v>25</v>
      </c>
      <c r="E17" s="477"/>
      <c r="F17" s="601" t="s">
        <v>208</v>
      </c>
      <c r="G17" s="602" t="s">
        <v>209</v>
      </c>
      <c r="H17" s="602">
        <v>12</v>
      </c>
      <c r="I17" s="603" t="s">
        <v>207</v>
      </c>
      <c r="J17" s="477"/>
    </row>
    <row r="18" spans="1:10" x14ac:dyDescent="0.25">
      <c r="A18" s="478"/>
      <c r="B18" s="600"/>
      <c r="C18" s="477"/>
      <c r="D18" s="479">
        <v>50</v>
      </c>
      <c r="E18" s="477"/>
      <c r="F18" s="601" t="s">
        <v>210</v>
      </c>
      <c r="G18" s="602" t="s">
        <v>211</v>
      </c>
      <c r="H18" s="604">
        <v>24</v>
      </c>
      <c r="I18" s="603" t="s">
        <v>207</v>
      </c>
      <c r="J18" s="477"/>
    </row>
    <row r="19" spans="1:10" x14ac:dyDescent="0.25">
      <c r="A19" s="478"/>
      <c r="B19" s="593"/>
      <c r="C19" s="477"/>
      <c r="D19" s="479">
        <v>1000</v>
      </c>
      <c r="E19" s="477"/>
      <c r="F19" s="601" t="s">
        <v>212</v>
      </c>
      <c r="G19" s="602" t="s">
        <v>213</v>
      </c>
      <c r="H19" s="602">
        <v>250</v>
      </c>
      <c r="I19" s="603" t="s">
        <v>214</v>
      </c>
      <c r="J19" s="477"/>
    </row>
    <row r="20" spans="1:10" ht="14.4" thickBot="1" x14ac:dyDescent="0.3">
      <c r="A20" s="478"/>
      <c r="B20" s="476"/>
      <c r="C20" s="477"/>
      <c r="D20" s="481">
        <v>10000</v>
      </c>
      <c r="E20" s="477"/>
      <c r="F20" s="601" t="s">
        <v>215</v>
      </c>
      <c r="G20" s="602" t="s">
        <v>216</v>
      </c>
      <c r="H20" s="602">
        <v>31</v>
      </c>
      <c r="I20" s="603" t="s">
        <v>217</v>
      </c>
      <c r="J20" s="477"/>
    </row>
    <row r="21" spans="1:10" ht="14.4" thickBot="1" x14ac:dyDescent="0.3">
      <c r="A21" s="478"/>
      <c r="B21" s="605"/>
      <c r="C21" s="477"/>
      <c r="D21" s="477"/>
      <c r="E21" s="477"/>
      <c r="F21" s="601" t="s">
        <v>218</v>
      </c>
      <c r="G21" s="602" t="s">
        <v>219</v>
      </c>
      <c r="H21" s="602">
        <v>40</v>
      </c>
      <c r="I21" s="603" t="s">
        <v>217</v>
      </c>
      <c r="J21" s="477"/>
    </row>
    <row r="22" spans="1:10" ht="14.4" thickBot="1" x14ac:dyDescent="0.3">
      <c r="A22" s="478"/>
      <c r="B22" s="605"/>
      <c r="C22" s="477"/>
      <c r="D22" s="581" t="s">
        <v>220</v>
      </c>
      <c r="E22" s="477"/>
      <c r="F22" s="601" t="s">
        <v>221</v>
      </c>
      <c r="G22" s="602" t="s">
        <v>222</v>
      </c>
      <c r="H22" s="602">
        <v>78</v>
      </c>
      <c r="I22" s="603" t="s">
        <v>217</v>
      </c>
      <c r="J22" s="477"/>
    </row>
    <row r="23" spans="1:10" ht="14.4" thickTop="1" x14ac:dyDescent="0.25">
      <c r="A23" s="476"/>
      <c r="B23" s="477"/>
      <c r="C23" s="477"/>
      <c r="D23" s="484" t="s">
        <v>173</v>
      </c>
      <c r="E23" s="477"/>
      <c r="F23" s="601" t="s">
        <v>223</v>
      </c>
      <c r="G23" s="602" t="s">
        <v>224</v>
      </c>
      <c r="H23" s="606">
        <f>WY_mid*250*8</f>
        <v>62000</v>
      </c>
      <c r="I23" s="603" t="s">
        <v>225</v>
      </c>
      <c r="J23" s="477"/>
    </row>
    <row r="24" spans="1:10" ht="14.4" thickBot="1" x14ac:dyDescent="0.3">
      <c r="A24" s="476"/>
      <c r="B24" s="477"/>
      <c r="C24" s="477"/>
      <c r="D24" s="485" t="s">
        <v>177</v>
      </c>
      <c r="E24" s="477"/>
      <c r="F24" s="601" t="s">
        <v>226</v>
      </c>
      <c r="G24" s="602" t="s">
        <v>227</v>
      </c>
      <c r="H24" s="606">
        <f>WY_mid*250*12</f>
        <v>93000</v>
      </c>
      <c r="I24" s="603" t="s">
        <v>225</v>
      </c>
      <c r="J24" s="477"/>
    </row>
    <row r="25" spans="1:10" ht="14.4" thickBot="1" x14ac:dyDescent="0.3">
      <c r="A25" s="476"/>
      <c r="B25" s="477"/>
      <c r="C25" s="477"/>
      <c r="D25" s="488"/>
      <c r="E25" s="477"/>
      <c r="F25" s="601" t="s">
        <v>228</v>
      </c>
      <c r="G25" s="602" t="s">
        <v>229</v>
      </c>
      <c r="H25" s="606">
        <f>WY_high*250*8</f>
        <v>80000</v>
      </c>
      <c r="I25" s="603" t="s">
        <v>225</v>
      </c>
      <c r="J25" s="588"/>
    </row>
    <row r="26" spans="1:10" ht="14.4" thickBot="1" x14ac:dyDescent="0.3">
      <c r="A26" s="476"/>
      <c r="B26" s="477"/>
      <c r="C26" s="477"/>
      <c r="D26" s="581" t="s">
        <v>230</v>
      </c>
      <c r="E26" s="477"/>
      <c r="F26" s="601" t="s">
        <v>231</v>
      </c>
      <c r="G26" s="602" t="s">
        <v>232</v>
      </c>
      <c r="H26" s="606">
        <f>WY_high*250*12</f>
        <v>120000</v>
      </c>
      <c r="I26" s="603" t="s">
        <v>225</v>
      </c>
      <c r="J26" s="588"/>
    </row>
    <row r="27" spans="1:10" ht="15" thickTop="1" thickBot="1" x14ac:dyDescent="0.3">
      <c r="A27" s="476"/>
      <c r="B27" s="477"/>
      <c r="C27" s="477"/>
      <c r="D27" s="489">
        <v>18</v>
      </c>
      <c r="E27" s="477"/>
      <c r="F27" s="594" t="s">
        <v>233</v>
      </c>
      <c r="G27" s="607" t="s">
        <v>234</v>
      </c>
      <c r="H27" s="608">
        <f>LT*365*24</f>
        <v>683280</v>
      </c>
      <c r="I27" s="596" t="s">
        <v>225</v>
      </c>
      <c r="J27" s="588"/>
    </row>
    <row r="28" spans="1:10" x14ac:dyDescent="0.25">
      <c r="A28" s="476"/>
      <c r="B28" s="477"/>
      <c r="C28" s="477"/>
      <c r="D28" s="477"/>
      <c r="E28" s="477"/>
      <c r="F28" s="477"/>
      <c r="G28" s="477"/>
      <c r="H28" s="477"/>
      <c r="I28" s="477"/>
      <c r="J28" s="477"/>
    </row>
    <row r="29" spans="1:10" x14ac:dyDescent="0.25">
      <c r="A29" s="476"/>
      <c r="B29" s="477"/>
      <c r="C29" s="477"/>
      <c r="D29" s="477"/>
      <c r="E29" s="477"/>
      <c r="F29" s="477"/>
      <c r="G29" s="477"/>
      <c r="H29" s="477"/>
      <c r="I29" s="477"/>
      <c r="J29" s="477"/>
    </row>
    <row r="30" spans="1:10" x14ac:dyDescent="0.25">
      <c r="A30" s="476"/>
      <c r="B30" s="477"/>
      <c r="C30" s="477"/>
      <c r="D30" s="477"/>
      <c r="E30" s="477"/>
      <c r="F30" s="477"/>
      <c r="G30" s="477"/>
      <c r="H30" s="477"/>
      <c r="I30" s="477"/>
      <c r="J30" s="477"/>
    </row>
    <row r="31" spans="1:10" x14ac:dyDescent="0.25">
      <c r="A31" s="476"/>
      <c r="B31" s="477"/>
      <c r="C31" s="477"/>
      <c r="D31" s="477"/>
      <c r="E31" s="477"/>
      <c r="F31" s="477"/>
      <c r="G31" s="477"/>
      <c r="H31" s="477"/>
      <c r="I31" s="477"/>
      <c r="J31" s="477"/>
    </row>
    <row r="32" spans="1:10" x14ac:dyDescent="0.25">
      <c r="A32" s="476"/>
      <c r="B32" s="477"/>
      <c r="C32" s="477"/>
      <c r="D32" s="477"/>
      <c r="E32" s="477"/>
      <c r="F32" s="477"/>
      <c r="G32" s="477"/>
      <c r="H32" s="477"/>
      <c r="I32" s="477"/>
      <c r="J32" s="477"/>
    </row>
    <row r="33" spans="1:10" x14ac:dyDescent="0.25">
      <c r="A33" s="476"/>
      <c r="B33" s="477"/>
      <c r="C33" s="477"/>
      <c r="D33" s="477"/>
      <c r="E33" s="477"/>
      <c r="F33" s="477"/>
      <c r="G33" s="477"/>
      <c r="H33" s="477"/>
      <c r="I33" s="477"/>
      <c r="J33" s="477"/>
    </row>
    <row r="34" spans="1:10" x14ac:dyDescent="0.25">
      <c r="A34" s="476"/>
      <c r="B34" s="477"/>
      <c r="C34" s="477"/>
      <c r="D34" s="477"/>
      <c r="E34" s="477"/>
      <c r="F34" s="477"/>
      <c r="G34" s="477"/>
      <c r="H34" s="477"/>
      <c r="I34" s="477"/>
      <c r="J34" s="477"/>
    </row>
    <row r="35" spans="1:10" x14ac:dyDescent="0.25">
      <c r="A35" s="476"/>
      <c r="B35" s="477"/>
      <c r="C35" s="477"/>
      <c r="D35" s="477"/>
      <c r="E35" s="477"/>
      <c r="F35" s="477"/>
      <c r="G35" s="477"/>
      <c r="H35" s="477"/>
      <c r="I35" s="477"/>
      <c r="J35" s="477"/>
    </row>
    <row r="36" spans="1:10" x14ac:dyDescent="0.25">
      <c r="A36" s="476"/>
      <c r="B36" s="477"/>
      <c r="C36" s="477"/>
      <c r="D36" s="477"/>
      <c r="E36" s="477"/>
      <c r="F36" s="477"/>
      <c r="G36" s="477"/>
      <c r="H36" s="477"/>
      <c r="I36" s="477"/>
      <c r="J36" s="477"/>
    </row>
    <row r="37" spans="1:10" x14ac:dyDescent="0.25">
      <c r="A37" s="477"/>
      <c r="B37" s="477"/>
      <c r="C37" s="477"/>
      <c r="D37" s="477"/>
      <c r="E37" s="477"/>
      <c r="F37" s="477"/>
      <c r="G37" s="477"/>
      <c r="H37" s="477"/>
      <c r="I37" s="477"/>
      <c r="J37" s="477"/>
    </row>
    <row r="38" spans="1:10" x14ac:dyDescent="0.25">
      <c r="A38" s="477"/>
      <c r="B38" s="477"/>
      <c r="C38" s="477"/>
      <c r="D38" s="477"/>
      <c r="E38" s="477"/>
      <c r="F38" s="477"/>
      <c r="G38" s="477"/>
      <c r="H38" s="477"/>
      <c r="I38" s="477"/>
      <c r="J38" s="477"/>
    </row>
    <row r="39" spans="1:10" x14ac:dyDescent="0.25">
      <c r="A39" s="477"/>
      <c r="B39" s="477"/>
      <c r="C39" s="477"/>
      <c r="D39" s="477"/>
      <c r="E39" s="477"/>
      <c r="F39" s="477"/>
      <c r="G39" s="477"/>
      <c r="H39" s="477"/>
      <c r="I39" s="477"/>
      <c r="J39" s="477"/>
    </row>
    <row r="40" spans="1:10" x14ac:dyDescent="0.25">
      <c r="A40" s="477"/>
      <c r="B40" s="477"/>
      <c r="C40" s="477"/>
      <c r="D40" s="477"/>
      <c r="E40" s="477"/>
      <c r="F40" s="477"/>
      <c r="G40" s="477"/>
      <c r="H40" s="477"/>
      <c r="I40" s="477"/>
      <c r="J40" s="477"/>
    </row>
    <row r="41" spans="1:10" x14ac:dyDescent="0.25">
      <c r="A41" s="477"/>
      <c r="B41" s="477"/>
      <c r="C41" s="477"/>
      <c r="D41" s="477"/>
      <c r="E41" s="477"/>
      <c r="F41" s="477"/>
      <c r="G41" s="477"/>
      <c r="H41" s="477"/>
      <c r="I41" s="477"/>
      <c r="J41" s="477"/>
    </row>
    <row r="42" spans="1:10" x14ac:dyDescent="0.25">
      <c r="A42" s="477"/>
      <c r="B42" s="477"/>
      <c r="C42" s="477"/>
      <c r="D42" s="477"/>
      <c r="E42" s="477"/>
      <c r="F42" s="477"/>
      <c r="G42" s="477"/>
      <c r="H42" s="477"/>
      <c r="I42" s="477"/>
      <c r="J42" s="477"/>
    </row>
    <row r="43" spans="1:10" x14ac:dyDescent="0.25">
      <c r="A43" s="477"/>
      <c r="B43" s="477"/>
      <c r="C43" s="477"/>
      <c r="D43" s="477"/>
      <c r="E43" s="477"/>
      <c r="F43" s="477"/>
      <c r="G43" s="477"/>
      <c r="H43" s="477"/>
      <c r="I43" s="477"/>
      <c r="J43" s="477"/>
    </row>
    <row r="44" spans="1:10" x14ac:dyDescent="0.25">
      <c r="A44" s="477"/>
      <c r="B44" s="477"/>
      <c r="C44" s="477"/>
      <c r="D44" s="477"/>
      <c r="E44" s="477"/>
      <c r="F44" s="477"/>
      <c r="G44" s="477"/>
      <c r="H44" s="477"/>
      <c r="I44" s="477"/>
      <c r="J44" s="477"/>
    </row>
    <row r="45" spans="1:10" x14ac:dyDescent="0.25">
      <c r="A45" s="477"/>
      <c r="B45" s="477"/>
      <c r="C45" s="477"/>
      <c r="D45" s="477"/>
      <c r="E45" s="477"/>
      <c r="F45" s="477"/>
      <c r="G45" s="477"/>
      <c r="H45" s="477"/>
      <c r="I45" s="477"/>
      <c r="J45" s="477"/>
    </row>
    <row r="46" spans="1:10" x14ac:dyDescent="0.25">
      <c r="A46" s="477"/>
      <c r="B46" s="477"/>
      <c r="C46" s="477"/>
      <c r="D46" s="477"/>
      <c r="E46" s="477"/>
      <c r="F46" s="477"/>
      <c r="G46" s="477"/>
      <c r="H46" s="477"/>
      <c r="I46" s="477"/>
      <c r="J46" s="477"/>
    </row>
    <row r="47" spans="1:10" x14ac:dyDescent="0.25">
      <c r="A47" s="477"/>
      <c r="C47" s="477"/>
      <c r="D47" s="477"/>
      <c r="E47" s="477"/>
      <c r="F47" s="477"/>
      <c r="G47" s="477"/>
      <c r="H47" s="477"/>
      <c r="I47" s="477"/>
      <c r="J47" s="477"/>
    </row>
    <row r="48" spans="1:10" x14ac:dyDescent="0.25">
      <c r="A48" s="477"/>
      <c r="C48" s="477"/>
      <c r="D48" s="477"/>
      <c r="E48" s="477"/>
      <c r="F48" s="477"/>
      <c r="G48" s="477"/>
      <c r="H48" s="477"/>
      <c r="I48" s="477"/>
      <c r="J48" s="477"/>
    </row>
    <row r="49" spans="4:4" x14ac:dyDescent="0.25">
      <c r="D49" s="477"/>
    </row>
  </sheetData>
  <sheetProtection algorithmName="SHA-512" hashValue="EL0gjyCJqF2HJuPQhCjAyk1k8f9tbDjIhmYbFpFryOwxfSw/rtALdQifG4ECwt5mJ2ye6ooqxZST1dsm6CYj3A==" saltValue="38fq1fNw4y/lWmnneD2f1A==" spinCount="100000" sheet="1" objects="1" scenarios="1"/>
  <mergeCells count="1">
    <mergeCell ref="A1:G1"/>
  </mergeCells>
  <phoneticPr fontId="5" type="noConversion"/>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2"/>
  <sheetViews>
    <sheetView workbookViewId="0">
      <selection activeCell="B2" sqref="B2"/>
    </sheetView>
  </sheetViews>
  <sheetFormatPr defaultColWidth="9.109375" defaultRowHeight="13.8" x14ac:dyDescent="0.25"/>
  <cols>
    <col min="1" max="1" width="4.6640625" style="233" customWidth="1"/>
    <col min="2" max="2" width="33" style="233" customWidth="1"/>
    <col min="3" max="3" width="10.44140625" style="233" customWidth="1"/>
    <col min="4" max="4" width="12.44140625" style="233" customWidth="1"/>
    <col min="5" max="5" width="16.5546875" style="233" bestFit="1" customWidth="1"/>
    <col min="6" max="16384" width="9.109375" style="233"/>
  </cols>
  <sheetData>
    <row r="1" spans="1:7" x14ac:dyDescent="0.25">
      <c r="A1" s="776"/>
      <c r="B1" s="776"/>
      <c r="C1" s="776"/>
      <c r="D1" s="776"/>
      <c r="E1" s="776"/>
      <c r="F1" s="776"/>
      <c r="G1" s="776"/>
    </row>
    <row r="2" spans="1:7" ht="17.399999999999999" x14ac:dyDescent="0.3">
      <c r="B2" s="232" t="s">
        <v>235</v>
      </c>
    </row>
    <row r="3" spans="1:7" ht="14.4" thickBot="1" x14ac:dyDescent="0.3"/>
    <row r="4" spans="1:7" ht="42" thickBot="1" x14ac:dyDescent="0.3">
      <c r="C4" s="490" t="s">
        <v>24</v>
      </c>
      <c r="D4" s="491" t="s">
        <v>87</v>
      </c>
      <c r="E4" s="491" t="s">
        <v>236</v>
      </c>
      <c r="G4" s="260"/>
    </row>
    <row r="5" spans="1:7" x14ac:dyDescent="0.25">
      <c r="B5" s="492" t="s">
        <v>237</v>
      </c>
      <c r="C5" s="493">
        <v>80</v>
      </c>
      <c r="D5" s="494">
        <f>AVERAGE(65.9,71.9,74.8,77.1)</f>
        <v>72.425000000000011</v>
      </c>
      <c r="E5" s="495"/>
      <c r="G5" s="260"/>
    </row>
    <row r="6" spans="1:7" ht="15" customHeight="1" x14ac:dyDescent="0.25">
      <c r="B6" s="496" t="s">
        <v>392</v>
      </c>
      <c r="C6" s="609">
        <v>1070</v>
      </c>
      <c r="D6" s="497">
        <v>890</v>
      </c>
      <c r="E6" s="498" t="s">
        <v>39</v>
      </c>
      <c r="G6" s="260"/>
    </row>
    <row r="7" spans="1:7" ht="36.75" customHeight="1" x14ac:dyDescent="0.25">
      <c r="B7" s="496" t="s">
        <v>393</v>
      </c>
      <c r="C7" s="610">
        <f>C6/2</f>
        <v>535</v>
      </c>
      <c r="D7" s="611">
        <f>D6/2</f>
        <v>445</v>
      </c>
      <c r="E7" s="498" t="s">
        <v>42</v>
      </c>
    </row>
    <row r="8" spans="1:7" x14ac:dyDescent="0.25">
      <c r="B8" s="496" t="s">
        <v>238</v>
      </c>
      <c r="C8" s="499">
        <v>40</v>
      </c>
      <c r="D8" s="500">
        <v>40</v>
      </c>
      <c r="E8" s="498" t="s">
        <v>39</v>
      </c>
    </row>
    <row r="9" spans="1:7" ht="27.6" x14ac:dyDescent="0.25">
      <c r="B9" s="496" t="s">
        <v>239</v>
      </c>
      <c r="C9" s="499">
        <v>31</v>
      </c>
      <c r="D9" s="500">
        <v>31</v>
      </c>
      <c r="E9" s="498" t="s">
        <v>42</v>
      </c>
    </row>
    <row r="10" spans="1:7" ht="14.4" thickBot="1" x14ac:dyDescent="0.3">
      <c r="B10" s="501" t="s">
        <v>240</v>
      </c>
      <c r="C10" s="502">
        <v>78</v>
      </c>
      <c r="D10" s="503">
        <v>78</v>
      </c>
      <c r="E10" s="504"/>
    </row>
    <row r="11" spans="1:7" x14ac:dyDescent="0.25">
      <c r="B11" s="837"/>
      <c r="C11" s="837"/>
      <c r="D11" s="838"/>
      <c r="E11" s="838"/>
    </row>
    <row r="12" spans="1:7" x14ac:dyDescent="0.25">
      <c r="B12" s="505"/>
      <c r="C12" s="505"/>
      <c r="D12" s="505"/>
      <c r="E12" s="505"/>
    </row>
    <row r="13" spans="1:7" x14ac:dyDescent="0.25">
      <c r="B13" s="506" t="s">
        <v>241</v>
      </c>
    </row>
    <row r="14" spans="1:7" x14ac:dyDescent="0.25">
      <c r="B14" s="507" t="s">
        <v>242</v>
      </c>
    </row>
    <row r="15" spans="1:7" x14ac:dyDescent="0.25">
      <c r="B15" s="233" t="s">
        <v>243</v>
      </c>
    </row>
    <row r="16" spans="1:7" x14ac:dyDescent="0.25">
      <c r="B16" s="233" t="s">
        <v>244</v>
      </c>
    </row>
    <row r="17" spans="2:5" x14ac:dyDescent="0.25">
      <c r="B17" s="233" t="s">
        <v>245</v>
      </c>
    </row>
    <row r="18" spans="2:5" x14ac:dyDescent="0.25">
      <c r="B18" s="233" t="s">
        <v>246</v>
      </c>
    </row>
    <row r="19" spans="2:5" x14ac:dyDescent="0.25">
      <c r="B19" s="233" t="s">
        <v>247</v>
      </c>
    </row>
    <row r="21" spans="2:5" ht="78" customHeight="1" x14ac:dyDescent="0.25"/>
    <row r="22" spans="2:5" x14ac:dyDescent="0.25">
      <c r="B22" s="836" t="s">
        <v>248</v>
      </c>
      <c r="C22" s="836"/>
      <c r="D22" s="836"/>
      <c r="E22" s="836"/>
    </row>
  </sheetData>
  <sheetProtection algorithmName="SHA-512" hashValue="T9xkT+BmHYodlkOrNLDoVX9gl7DMGFQO3jGKXJVfhj/6ZVPPgSuYGCYE289OiR1dEea2V+t4Ad9R2/KKcNZSng==" saltValue="UJQr3DxGNbeKF4LyVPaYTA==" spinCount="100000" sheet="1" objects="1" scenarios="1"/>
  <mergeCells count="3">
    <mergeCell ref="B22:E22"/>
    <mergeCell ref="B11:E11"/>
    <mergeCell ref="A1:G1"/>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8B296-2270-4B72-BCA2-90B70C7D29B4}">
  <sheetPr>
    <tabColor theme="7" tint="0.59999389629810485"/>
  </sheetPr>
  <dimension ref="A1:AT399"/>
  <sheetViews>
    <sheetView topLeftCell="K1" zoomScale="80" zoomScaleNormal="80" workbookViewId="0">
      <pane ySplit="5" topLeftCell="A6" activePane="bottomLeft" state="frozen"/>
      <selection pane="bottomLeft" activeCell="R5" sqref="R5"/>
    </sheetView>
  </sheetViews>
  <sheetFormatPr defaultColWidth="9.109375" defaultRowHeight="13.2" x14ac:dyDescent="0.25"/>
  <cols>
    <col min="1" max="1" width="14.33203125" style="509" customWidth="1"/>
    <col min="2" max="2" width="31.33203125" style="509" customWidth="1"/>
    <col min="3" max="4" width="14.33203125" style="509" customWidth="1"/>
    <col min="5" max="5" width="47.88671875" style="509" customWidth="1"/>
    <col min="6" max="6" width="23.6640625" style="508" customWidth="1"/>
    <col min="7" max="7" width="12.33203125" style="509" customWidth="1"/>
    <col min="8" max="8" width="45.5546875" style="509" bestFit="1" customWidth="1"/>
    <col min="9" max="9" width="13.33203125" style="509" customWidth="1"/>
    <col min="10" max="12" width="12.88671875" style="508" customWidth="1"/>
    <col min="13" max="14" width="12.88671875" style="473" customWidth="1"/>
    <col min="15" max="15" width="11" style="473" customWidth="1"/>
    <col min="16" max="16" width="8.109375" style="473" customWidth="1"/>
    <col min="17" max="17" width="7.44140625" style="473" customWidth="1"/>
    <col min="18" max="18" width="8.88671875" style="473" customWidth="1"/>
    <col min="19" max="19" width="9.5546875" style="473" customWidth="1"/>
    <col min="20" max="21" width="9.33203125" style="473" customWidth="1"/>
    <col min="22" max="22" width="8.44140625" style="473" customWidth="1"/>
    <col min="23" max="25" width="10" style="473" customWidth="1"/>
    <col min="26" max="26" width="11.33203125" style="473" customWidth="1"/>
    <col min="27" max="27" width="11.44140625" style="473" customWidth="1"/>
    <col min="28" max="28" width="13.88671875" style="473" customWidth="1"/>
    <col min="29" max="29" width="13.5546875" style="473" customWidth="1"/>
    <col min="30" max="30" width="19.109375" style="473" customWidth="1"/>
    <col min="31" max="31" width="8.6640625" style="473" customWidth="1"/>
    <col min="32" max="35" width="9.88671875" style="473" customWidth="1"/>
    <col min="36" max="36" width="15.109375" style="509" customWidth="1"/>
    <col min="37" max="37" width="32.109375" style="509" customWidth="1"/>
    <col min="38" max="38" width="11.5546875" style="395" bestFit="1" customWidth="1"/>
    <col min="39" max="39" width="7.6640625" style="395" bestFit="1" customWidth="1"/>
    <col min="40" max="40" width="12.6640625" style="395" bestFit="1" customWidth="1"/>
    <col min="41" max="41" width="8.6640625" style="395" bestFit="1" customWidth="1"/>
    <col min="42" max="42" width="9.109375" style="395"/>
    <col min="43" max="43" width="21" style="395" customWidth="1"/>
    <col min="44" max="44" width="9.109375" style="395"/>
    <col min="45" max="45" width="11.88671875" style="395" customWidth="1"/>
    <col min="46" max="16384" width="9.109375" style="395"/>
  </cols>
  <sheetData>
    <row r="1" spans="1:46" ht="27.6" customHeight="1" x14ac:dyDescent="0.25">
      <c r="A1" s="850" t="s">
        <v>249</v>
      </c>
      <c r="B1" s="850"/>
      <c r="C1" s="850"/>
      <c r="D1" s="850"/>
      <c r="E1" s="850"/>
    </row>
    <row r="2" spans="1:46" ht="13.8" x14ac:dyDescent="0.25">
      <c r="A2" s="510" t="s">
        <v>250</v>
      </c>
      <c r="B2" s="511"/>
      <c r="C2" s="511"/>
      <c r="D2" s="511"/>
      <c r="E2" s="511"/>
    </row>
    <row r="3" spans="1:46" ht="13.8" x14ac:dyDescent="0.25">
      <c r="A3" s="512" t="s">
        <v>251</v>
      </c>
      <c r="B3" s="511"/>
      <c r="C3" s="511"/>
      <c r="D3" s="511"/>
      <c r="E3" s="511"/>
    </row>
    <row r="4" spans="1:46" x14ac:dyDescent="0.25">
      <c r="A4" s="842" t="s">
        <v>252</v>
      </c>
      <c r="B4" s="852" t="s">
        <v>253</v>
      </c>
      <c r="C4" s="840" t="s">
        <v>254</v>
      </c>
      <c r="D4" s="840" t="s">
        <v>255</v>
      </c>
      <c r="E4" s="842" t="s">
        <v>256</v>
      </c>
      <c r="F4" s="853" t="s">
        <v>257</v>
      </c>
      <c r="G4" s="848" t="s">
        <v>258</v>
      </c>
      <c r="H4" s="842" t="s">
        <v>259</v>
      </c>
      <c r="I4" s="851" t="s">
        <v>260</v>
      </c>
      <c r="J4" s="848" t="s">
        <v>261</v>
      </c>
      <c r="K4" s="848" t="s">
        <v>262</v>
      </c>
      <c r="L4" s="848" t="s">
        <v>263</v>
      </c>
      <c r="M4" s="840" t="s">
        <v>264</v>
      </c>
      <c r="N4" s="840" t="s">
        <v>265</v>
      </c>
      <c r="O4" s="842" t="s">
        <v>266</v>
      </c>
      <c r="P4" s="843" t="s">
        <v>267</v>
      </c>
      <c r="Q4" s="844"/>
      <c r="R4" s="844"/>
      <c r="S4" s="844"/>
      <c r="T4" s="844"/>
      <c r="U4" s="844"/>
      <c r="V4" s="844"/>
      <c r="W4" s="844"/>
      <c r="X4" s="513"/>
      <c r="Y4" s="513"/>
      <c r="Z4" s="845" t="s">
        <v>268</v>
      </c>
      <c r="AA4" s="846"/>
      <c r="AB4" s="846"/>
      <c r="AC4" s="846"/>
      <c r="AD4" s="847"/>
      <c r="AE4" s="514"/>
      <c r="AF4" s="514"/>
      <c r="AG4" s="514"/>
      <c r="AH4" s="514"/>
      <c r="AI4" s="514"/>
      <c r="AJ4" s="842" t="s">
        <v>269</v>
      </c>
      <c r="AK4" s="842" t="s">
        <v>270</v>
      </c>
      <c r="AL4" s="839" t="s">
        <v>271</v>
      </c>
      <c r="AM4" s="839"/>
      <c r="AN4" s="839"/>
      <c r="AO4" s="839"/>
      <c r="AP4" s="839"/>
      <c r="AQ4" s="839"/>
      <c r="AR4" s="839"/>
      <c r="AS4" s="839"/>
      <c r="AT4" s="839"/>
    </row>
    <row r="5" spans="1:46" ht="39.6" x14ac:dyDescent="0.25">
      <c r="A5" s="842"/>
      <c r="B5" s="852"/>
      <c r="C5" s="841"/>
      <c r="D5" s="841"/>
      <c r="E5" s="842"/>
      <c r="F5" s="849"/>
      <c r="G5" s="849"/>
      <c r="H5" s="842"/>
      <c r="I5" s="841"/>
      <c r="J5" s="854"/>
      <c r="K5" s="849"/>
      <c r="L5" s="849"/>
      <c r="M5" s="841"/>
      <c r="N5" s="841"/>
      <c r="O5" s="842"/>
      <c r="P5" s="515" t="s">
        <v>272</v>
      </c>
      <c r="Q5" s="515" t="s">
        <v>273</v>
      </c>
      <c r="R5" s="515" t="s">
        <v>274</v>
      </c>
      <c r="S5" s="515" t="s">
        <v>275</v>
      </c>
      <c r="T5" s="515" t="s">
        <v>276</v>
      </c>
      <c r="U5" s="515" t="s">
        <v>277</v>
      </c>
      <c r="V5" s="515" t="s">
        <v>278</v>
      </c>
      <c r="W5" s="515" t="s">
        <v>279</v>
      </c>
      <c r="X5" s="516" t="s">
        <v>280</v>
      </c>
      <c r="Y5" s="516" t="s">
        <v>281</v>
      </c>
      <c r="Z5" s="516" t="s">
        <v>282</v>
      </c>
      <c r="AA5" s="516" t="s">
        <v>283</v>
      </c>
      <c r="AB5" s="516" t="s">
        <v>284</v>
      </c>
      <c r="AC5" s="516" t="s">
        <v>285</v>
      </c>
      <c r="AD5" s="517" t="s">
        <v>279</v>
      </c>
      <c r="AE5" s="516" t="s">
        <v>286</v>
      </c>
      <c r="AF5" s="516" t="s">
        <v>287</v>
      </c>
      <c r="AG5" s="518" t="s">
        <v>288</v>
      </c>
      <c r="AH5" s="518" t="s">
        <v>289</v>
      </c>
      <c r="AI5" s="519" t="s">
        <v>290</v>
      </c>
      <c r="AJ5" s="842"/>
      <c r="AK5" s="842"/>
      <c r="AL5" s="520" t="s">
        <v>291</v>
      </c>
      <c r="AM5" s="520" t="s">
        <v>292</v>
      </c>
      <c r="AN5" s="520" t="s">
        <v>293</v>
      </c>
      <c r="AO5" s="520" t="s">
        <v>294</v>
      </c>
      <c r="AP5" s="521"/>
      <c r="AQ5" s="520"/>
      <c r="AR5" s="520" t="s">
        <v>280</v>
      </c>
      <c r="AS5" s="520" t="s">
        <v>281</v>
      </c>
      <c r="AT5" s="520" t="s">
        <v>295</v>
      </c>
    </row>
    <row r="6" spans="1:46" ht="66" x14ac:dyDescent="0.25">
      <c r="A6" s="2">
        <v>3970550</v>
      </c>
      <c r="B6" s="522" t="s">
        <v>296</v>
      </c>
      <c r="C6" s="522">
        <v>2004</v>
      </c>
      <c r="D6" s="522" t="s">
        <v>297</v>
      </c>
      <c r="E6" s="523" t="s">
        <v>298</v>
      </c>
      <c r="F6" s="522" t="s">
        <v>299</v>
      </c>
      <c r="G6" s="522"/>
      <c r="H6" s="523" t="s">
        <v>300</v>
      </c>
      <c r="I6" s="523"/>
      <c r="J6" s="2" t="s">
        <v>301</v>
      </c>
      <c r="K6" s="522" t="s">
        <v>19</v>
      </c>
      <c r="L6" s="522" t="s">
        <v>302</v>
      </c>
      <c r="M6" s="2" t="s">
        <v>303</v>
      </c>
      <c r="N6" s="2" t="s">
        <v>304</v>
      </c>
      <c r="O6" s="2">
        <v>13</v>
      </c>
      <c r="P6" s="2"/>
      <c r="Q6" s="2"/>
      <c r="R6" s="2"/>
      <c r="S6" s="2"/>
      <c r="T6" s="2"/>
      <c r="U6" s="2"/>
      <c r="V6" s="2"/>
      <c r="W6" s="2"/>
      <c r="X6" s="2"/>
      <c r="Y6" s="2"/>
      <c r="Z6" s="2"/>
      <c r="AA6" s="2"/>
      <c r="AB6" s="2"/>
      <c r="AC6" s="2"/>
      <c r="AD6" s="524">
        <f>0.001/15.3*1000</f>
        <v>6.5359477124182996E-2</v>
      </c>
      <c r="AE6" s="525"/>
      <c r="AF6" s="525"/>
      <c r="AG6" s="525"/>
      <c r="AH6" s="525"/>
      <c r="AI6" s="525" t="str">
        <f>IF($K6="8-hr TWA", IF(I6="Y",X6*MolW/MolVol,""),"")</f>
        <v/>
      </c>
      <c r="AJ6" s="522" t="s">
        <v>305</v>
      </c>
      <c r="AK6" s="522" t="s">
        <v>306</v>
      </c>
      <c r="AL6" s="526"/>
      <c r="AM6" s="526"/>
      <c r="AN6" s="526"/>
      <c r="AO6" s="526"/>
      <c r="AQ6" s="520" t="s">
        <v>307</v>
      </c>
      <c r="AR6" s="526">
        <f>COUNTIFS($AK$12:$AK$384, "ND",$K$12:$K$384,AR$5,$J$12:$J$384,"W")</f>
        <v>91</v>
      </c>
      <c r="AS6" s="526">
        <f>COUNTIFS($AK$12:$AK$384, "ND",$K$12:$K$384,AS$5,$J$12:$J$384,"W")</f>
        <v>173</v>
      </c>
      <c r="AT6" s="526">
        <f>+AR6+AS6</f>
        <v>264</v>
      </c>
    </row>
    <row r="7" spans="1:46" ht="52.8" x14ac:dyDescent="0.25">
      <c r="A7" s="2">
        <v>3970550</v>
      </c>
      <c r="B7" s="522" t="s">
        <v>296</v>
      </c>
      <c r="C7" s="522">
        <v>2004</v>
      </c>
      <c r="D7" s="522" t="s">
        <v>297</v>
      </c>
      <c r="E7" s="523" t="s">
        <v>298</v>
      </c>
      <c r="F7" s="522" t="s">
        <v>299</v>
      </c>
      <c r="G7" s="522"/>
      <c r="H7" s="523" t="s">
        <v>300</v>
      </c>
      <c r="I7" s="523"/>
      <c r="J7" s="2" t="s">
        <v>301</v>
      </c>
      <c r="K7" s="522" t="s">
        <v>19</v>
      </c>
      <c r="L7" s="522" t="s">
        <v>302</v>
      </c>
      <c r="M7" s="2" t="s">
        <v>303</v>
      </c>
      <c r="N7" s="2" t="s">
        <v>304</v>
      </c>
      <c r="O7" s="2">
        <v>13</v>
      </c>
      <c r="P7" s="2"/>
      <c r="Q7" s="2"/>
      <c r="R7" s="2"/>
      <c r="S7" s="2"/>
      <c r="T7" s="2"/>
      <c r="U7" s="2"/>
      <c r="V7" s="2"/>
      <c r="W7" s="2"/>
      <c r="X7" s="2"/>
      <c r="Y7" s="2"/>
      <c r="Z7" s="2"/>
      <c r="AA7" s="2"/>
      <c r="AB7" s="2"/>
      <c r="AC7" s="2"/>
      <c r="AD7" s="524">
        <f>0.001/39.7*1000</f>
        <v>2.5188916876574305E-2</v>
      </c>
      <c r="AE7" s="525"/>
      <c r="AF7" s="525"/>
      <c r="AG7" s="525"/>
      <c r="AH7" s="525"/>
      <c r="AI7" s="525" t="str">
        <f>IF($K7="8-hr TWA", IF(I7="Y",W7*MolW/MolVol,""),"")</f>
        <v/>
      </c>
      <c r="AJ7" s="522"/>
      <c r="AK7" s="522" t="s">
        <v>308</v>
      </c>
      <c r="AL7" s="526"/>
      <c r="AM7" s="526"/>
      <c r="AN7" s="526"/>
      <c r="AO7" s="526"/>
      <c r="AQ7" s="520" t="s">
        <v>309</v>
      </c>
      <c r="AR7" s="526">
        <f>COUNTIFS($K$12:$K$384,AR$5, $J$12:$J$384,"W")</f>
        <v>113</v>
      </c>
      <c r="AS7" s="526">
        <f>COUNTIFS($K$12:$K$384,AS$5, $J$12:$J$384,"W")</f>
        <v>243</v>
      </c>
      <c r="AT7" s="526">
        <f>+AR7+AS7</f>
        <v>356</v>
      </c>
    </row>
    <row r="8" spans="1:46" ht="40.200000000000003" thickBot="1" x14ac:dyDescent="0.3">
      <c r="A8" s="2">
        <v>3970550</v>
      </c>
      <c r="B8" s="522" t="s">
        <v>296</v>
      </c>
      <c r="C8" s="522">
        <v>2004</v>
      </c>
      <c r="D8" s="522" t="s">
        <v>297</v>
      </c>
      <c r="E8" s="523" t="s">
        <v>298</v>
      </c>
      <c r="F8" s="522" t="s">
        <v>299</v>
      </c>
      <c r="G8" s="522"/>
      <c r="H8" s="523" t="s">
        <v>300</v>
      </c>
      <c r="I8" s="523"/>
      <c r="J8" s="2" t="s">
        <v>301</v>
      </c>
      <c r="K8" s="522" t="s">
        <v>19</v>
      </c>
      <c r="L8" s="522" t="s">
        <v>302</v>
      </c>
      <c r="M8" s="2" t="s">
        <v>303</v>
      </c>
      <c r="N8" s="2" t="s">
        <v>304</v>
      </c>
      <c r="O8" s="2">
        <v>13</v>
      </c>
      <c r="P8" s="2"/>
      <c r="Q8" s="2"/>
      <c r="R8" s="2"/>
      <c r="S8" s="2"/>
      <c r="T8" s="2"/>
      <c r="U8" s="2"/>
      <c r="V8" s="2"/>
      <c r="W8" s="2"/>
      <c r="X8" s="2"/>
      <c r="Y8" s="2"/>
      <c r="Z8" s="2"/>
      <c r="AA8" s="2"/>
      <c r="AB8" s="2"/>
      <c r="AC8" s="2"/>
      <c r="AD8" s="444">
        <v>0.18</v>
      </c>
      <c r="AE8" s="525"/>
      <c r="AF8" s="525"/>
      <c r="AG8" s="525"/>
      <c r="AH8" s="525"/>
      <c r="AI8" s="525" t="str">
        <f>IF($K8="8-hr TWA", IF(I8="Y",W8*MolW/MolVol,""),"")</f>
        <v/>
      </c>
      <c r="AJ8" s="522"/>
      <c r="AK8" s="522"/>
      <c r="AL8" s="526"/>
      <c r="AM8" s="526"/>
      <c r="AN8" s="526"/>
      <c r="AO8" s="526"/>
      <c r="AQ8" s="527" t="s">
        <v>310</v>
      </c>
      <c r="AR8" s="528">
        <f>+AR6/AR7</f>
        <v>0.80530973451327437</v>
      </c>
      <c r="AS8" s="528">
        <f>+AS6/AS7</f>
        <v>0.7119341563786008</v>
      </c>
      <c r="AT8" s="528">
        <f>+AT6/AT7</f>
        <v>0.7415730337078652</v>
      </c>
    </row>
    <row r="9" spans="1:46" ht="53.4" thickBot="1" x14ac:dyDescent="0.3">
      <c r="A9" s="2">
        <v>3970550</v>
      </c>
      <c r="B9" s="522" t="s">
        <v>296</v>
      </c>
      <c r="C9" s="522">
        <v>2004</v>
      </c>
      <c r="D9" s="522" t="s">
        <v>297</v>
      </c>
      <c r="E9" s="523" t="s">
        <v>298</v>
      </c>
      <c r="F9" s="522" t="s">
        <v>299</v>
      </c>
      <c r="G9" s="522"/>
      <c r="H9" s="523" t="s">
        <v>300</v>
      </c>
      <c r="I9" s="523"/>
      <c r="J9" s="2" t="s">
        <v>301</v>
      </c>
      <c r="K9" s="522" t="s">
        <v>19</v>
      </c>
      <c r="L9" s="522" t="s">
        <v>302</v>
      </c>
      <c r="M9" s="2" t="s">
        <v>303</v>
      </c>
      <c r="N9" s="2" t="s">
        <v>304</v>
      </c>
      <c r="O9" s="2">
        <v>13</v>
      </c>
      <c r="P9" s="2"/>
      <c r="Q9" s="2"/>
      <c r="R9" s="2"/>
      <c r="S9" s="2"/>
      <c r="T9" s="2"/>
      <c r="U9" s="2"/>
      <c r="V9" s="2"/>
      <c r="W9" s="2"/>
      <c r="X9" s="2"/>
      <c r="Y9" s="2"/>
      <c r="Z9" s="2"/>
      <c r="AA9" s="2"/>
      <c r="AB9" s="2"/>
      <c r="AC9" s="2"/>
      <c r="AD9" s="524">
        <f>0.001/32.8*1000</f>
        <v>3.0487804878048783E-2</v>
      </c>
      <c r="AE9" s="525"/>
      <c r="AF9" s="525"/>
      <c r="AG9" s="525"/>
      <c r="AH9" s="525"/>
      <c r="AI9" s="525" t="str">
        <f>IF($K9="8-hr TWA", IF(I9="Y",W9*MolW/MolVol,""),"")</f>
        <v/>
      </c>
      <c r="AJ9" s="522"/>
      <c r="AK9" s="522" t="s">
        <v>308</v>
      </c>
      <c r="AL9" s="526"/>
      <c r="AM9" s="526"/>
      <c r="AN9" s="526"/>
      <c r="AO9" s="526"/>
      <c r="AQ9" s="529" t="s">
        <v>311</v>
      </c>
      <c r="AR9" s="530">
        <f>+EXP(_xlfn.STDEV.P(AM12:AM384))</f>
        <v>2.6244119845506115</v>
      </c>
      <c r="AS9" s="530">
        <f>+EXP(_xlfn.STDEV.P(AO12:AO384))</f>
        <v>3.2569458775434841</v>
      </c>
      <c r="AT9" s="531"/>
    </row>
    <row r="10" spans="1:46" ht="52.8" x14ac:dyDescent="0.25">
      <c r="A10" s="2">
        <v>3970550</v>
      </c>
      <c r="B10" s="522" t="s">
        <v>296</v>
      </c>
      <c r="C10" s="522">
        <v>2004</v>
      </c>
      <c r="D10" s="522" t="s">
        <v>297</v>
      </c>
      <c r="E10" s="523" t="s">
        <v>298</v>
      </c>
      <c r="F10" s="522" t="s">
        <v>299</v>
      </c>
      <c r="G10" s="522"/>
      <c r="H10" s="523" t="s">
        <v>300</v>
      </c>
      <c r="I10" s="523"/>
      <c r="J10" s="2" t="s">
        <v>301</v>
      </c>
      <c r="K10" s="522" t="s">
        <v>19</v>
      </c>
      <c r="L10" s="522" t="s">
        <v>302</v>
      </c>
      <c r="M10" s="2" t="s">
        <v>303</v>
      </c>
      <c r="N10" s="2" t="s">
        <v>304</v>
      </c>
      <c r="O10" s="2">
        <v>13</v>
      </c>
      <c r="P10" s="2"/>
      <c r="Q10" s="2"/>
      <c r="R10" s="2"/>
      <c r="S10" s="2"/>
      <c r="T10" s="2"/>
      <c r="U10" s="2"/>
      <c r="V10" s="2"/>
      <c r="W10" s="2"/>
      <c r="X10" s="2"/>
      <c r="Y10" s="2"/>
      <c r="Z10" s="2"/>
      <c r="AA10" s="2"/>
      <c r="AB10" s="2"/>
      <c r="AC10" s="2"/>
      <c r="AD10" s="532">
        <f>0.001/23.5*1000</f>
        <v>4.2553191489361701E-2</v>
      </c>
      <c r="AE10" s="533"/>
      <c r="AF10" s="533"/>
      <c r="AG10" s="533"/>
      <c r="AH10" s="533"/>
      <c r="AI10" s="525" t="str">
        <f>IF($K10="8-hr TWA", IF(I10="Y",W10*MolW/MolVol,""),"")</f>
        <v/>
      </c>
      <c r="AJ10" s="522"/>
      <c r="AK10" s="522" t="s">
        <v>308</v>
      </c>
      <c r="AL10" s="526"/>
      <c r="AM10" s="526"/>
      <c r="AN10" s="526"/>
      <c r="AO10" s="526"/>
    </row>
    <row r="11" spans="1:46" ht="52.8" x14ac:dyDescent="0.25">
      <c r="A11" s="2">
        <v>3970550</v>
      </c>
      <c r="B11" s="522" t="s">
        <v>296</v>
      </c>
      <c r="C11" s="522">
        <v>2004</v>
      </c>
      <c r="D11" s="522" t="s">
        <v>297</v>
      </c>
      <c r="E11" s="523" t="s">
        <v>298</v>
      </c>
      <c r="F11" s="522" t="s">
        <v>299</v>
      </c>
      <c r="G11" s="522"/>
      <c r="H11" s="523" t="s">
        <v>300</v>
      </c>
      <c r="I11" s="523"/>
      <c r="J11" s="2" t="s">
        <v>301</v>
      </c>
      <c r="K11" s="522" t="s">
        <v>19</v>
      </c>
      <c r="L11" s="522" t="s">
        <v>302</v>
      </c>
      <c r="M11" s="2" t="s">
        <v>303</v>
      </c>
      <c r="N11" s="2" t="s">
        <v>304</v>
      </c>
      <c r="O11" s="2">
        <v>13</v>
      </c>
      <c r="P11" s="2"/>
      <c r="Q11" s="2"/>
      <c r="R11" s="2"/>
      <c r="S11" s="2"/>
      <c r="T11" s="2"/>
      <c r="U11" s="2"/>
      <c r="V11" s="2"/>
      <c r="W11" s="2"/>
      <c r="X11" s="2"/>
      <c r="Y11" s="2"/>
      <c r="Z11" s="2"/>
      <c r="AA11" s="2"/>
      <c r="AB11" s="2"/>
      <c r="AC11" s="2"/>
      <c r="AD11" s="532">
        <f>0.001/23.9*1000</f>
        <v>4.1841004184100423E-2</v>
      </c>
      <c r="AE11" s="533"/>
      <c r="AF11" s="533"/>
      <c r="AG11" s="533"/>
      <c r="AH11" s="533"/>
      <c r="AI11" s="525" t="str">
        <f>IF($K11="8-hr TWA", IF(I11="Y",W11*MolW/MolVol,""),"")</f>
        <v/>
      </c>
      <c r="AJ11" s="522"/>
      <c r="AK11" s="522" t="s">
        <v>308</v>
      </c>
      <c r="AL11" s="526"/>
      <c r="AM11" s="526"/>
      <c r="AN11" s="526"/>
      <c r="AO11" s="526"/>
    </row>
    <row r="12" spans="1:46" x14ac:dyDescent="0.25">
      <c r="A12" s="5">
        <v>5926010</v>
      </c>
      <c r="B12" s="522" t="s">
        <v>312</v>
      </c>
      <c r="C12" s="522">
        <v>2018</v>
      </c>
      <c r="D12" s="522" t="s">
        <v>297</v>
      </c>
      <c r="E12" s="522" t="s">
        <v>313</v>
      </c>
      <c r="F12" s="522" t="s">
        <v>299</v>
      </c>
      <c r="G12" s="522"/>
      <c r="H12" s="522" t="s">
        <v>314</v>
      </c>
      <c r="I12" s="522"/>
      <c r="J12" s="534" t="s">
        <v>301</v>
      </c>
      <c r="K12" s="522" t="str">
        <f>+IF(N12&lt;=540, "8-hr TWA", IF(N12&gt;540, "12-hr TWA", "Error"))</f>
        <v>8-hr TWA</v>
      </c>
      <c r="L12" s="522" t="s">
        <v>302</v>
      </c>
      <c r="M12" s="535">
        <v>43215</v>
      </c>
      <c r="N12" s="2">
        <v>506</v>
      </c>
      <c r="O12" s="2">
        <v>1</v>
      </c>
      <c r="P12" s="2"/>
      <c r="Q12" s="2"/>
      <c r="R12" s="2"/>
      <c r="S12" s="2"/>
      <c r="T12" s="2"/>
      <c r="U12" s="2"/>
      <c r="V12" s="2"/>
      <c r="W12" s="2">
        <v>6.5000000000000002E-2</v>
      </c>
      <c r="X12" s="524">
        <f t="shared" ref="X12:X59" si="0">IF($K12="8-hr TWA", IF($N12&lt;480,IF($AK12="ND",IF($AR$9&lt;3,($W12/SQRT(2))*$N12/480, ($W12/2)*$N12/480),$W12*$N12/480),IF($AK12="ND",IF($AR$9&lt;3,($W12/SQRT(2)), ($W12/2)),$W12)),"")</f>
        <v>4.5961940777125586E-2</v>
      </c>
      <c r="Y12" s="2" t="str">
        <f t="shared" ref="Y12:Y59" si="1">IF($K12="12-hr TWA", IF($N12&lt;720,IF($AK12="ND",IF($AS$9&lt;3,($W12/SQRT(2))*$N12/720, ($W12/2)*$N12/720),$W12*$N12/720),IF($AK12="ND",IF($AS$9&lt;3,($W12/SQRT(2)), ($W12/2)),$W12)),"")</f>
        <v/>
      </c>
      <c r="Z12" s="534"/>
      <c r="AA12" s="534"/>
      <c r="AB12" s="534"/>
      <c r="AC12" s="534"/>
      <c r="AD12" s="536">
        <f t="shared" ref="AD12:AD19" si="2">+W12*MolW/MolVol</f>
        <v>0.40892842535787322</v>
      </c>
      <c r="AE12" s="536">
        <f t="shared" ref="AE12:AE59" si="3">+IFERROR(X12*MolW/MolVol,"")</f>
        <v>0.28915606259048904</v>
      </c>
      <c r="AF12" s="537" t="str">
        <f t="shared" ref="AF12:AF59" si="4">+IFERROR(Y12*MolW/MolVol,"")</f>
        <v/>
      </c>
      <c r="AG12" s="537" t="str">
        <f t="shared" ref="AG12:AG75" si="5">IF($K12="8-hr TWA", IF(J12="ONU",W12*MolW/MolVol,""),"")</f>
        <v/>
      </c>
      <c r="AH12" s="537" t="str">
        <f t="shared" ref="AH12:AH75" si="6">IF($K12="12-hr TWA", IF(J12="ONU",W12*MolW/MolVol,""),"")</f>
        <v/>
      </c>
      <c r="AI12" s="525" t="str">
        <f t="shared" ref="AI12:AI75" si="7">IF($K12="8-hr TWA", IF(I12="Y",X12*MolW/MolVol,""),"")</f>
        <v/>
      </c>
      <c r="AJ12" s="522"/>
      <c r="AK12" s="522" t="s">
        <v>315</v>
      </c>
      <c r="AL12" s="526" t="str">
        <f t="shared" ref="AL12:AL59" si="8">IF($K12="8-hr TWA", IF($AK12&lt;&gt;"ND", IF($N12&lt;480, $W12*$N12/480,$W12),""),"")</f>
        <v/>
      </c>
      <c r="AM12" s="526" t="str">
        <f t="shared" ref="AM12:AM58" si="9">+IFERROR(LN(AL12), "")</f>
        <v/>
      </c>
      <c r="AN12" s="526" t="str">
        <f t="shared" ref="AN12:AN59" si="10">IF($K12="12-hr TWA", IF($AK12&lt;&gt;"ND", IF($N12&lt;720, $W12*$N12/720,$W12),""),"")</f>
        <v/>
      </c>
      <c r="AO12" s="526" t="str">
        <f t="shared" ref="AO12:AO59" si="11">+IFERROR(LN(AN12), "")</f>
        <v/>
      </c>
    </row>
    <row r="13" spans="1:46" x14ac:dyDescent="0.25">
      <c r="A13" s="5">
        <v>5926010</v>
      </c>
      <c r="B13" s="522" t="s">
        <v>312</v>
      </c>
      <c r="C13" s="522">
        <v>2018</v>
      </c>
      <c r="D13" s="522" t="s">
        <v>297</v>
      </c>
      <c r="E13" s="522" t="s">
        <v>313</v>
      </c>
      <c r="F13" s="522" t="s">
        <v>299</v>
      </c>
      <c r="G13" s="522"/>
      <c r="H13" s="522" t="s">
        <v>314</v>
      </c>
      <c r="I13" s="522"/>
      <c r="J13" s="2" t="s">
        <v>301</v>
      </c>
      <c r="K13" s="522" t="str">
        <f>+IF(N13&lt;=540, "8-hr TWA", IF(N13&gt;540, "12-hr TWA", "Error"))</f>
        <v>8-hr TWA</v>
      </c>
      <c r="L13" s="522" t="s">
        <v>302</v>
      </c>
      <c r="M13" s="535">
        <v>43215</v>
      </c>
      <c r="N13" s="2">
        <v>511</v>
      </c>
      <c r="O13" s="2">
        <v>1</v>
      </c>
      <c r="P13" s="2"/>
      <c r="Q13" s="2"/>
      <c r="R13" s="2"/>
      <c r="S13" s="2"/>
      <c r="T13" s="2"/>
      <c r="U13" s="2"/>
      <c r="V13" s="2"/>
      <c r="W13" s="2">
        <v>6.6000000000000003E-2</v>
      </c>
      <c r="X13" s="524">
        <f t="shared" si="0"/>
        <v>4.6669047558312138E-2</v>
      </c>
      <c r="Y13" s="2" t="str">
        <f t="shared" si="1"/>
        <v/>
      </c>
      <c r="Z13" s="534"/>
      <c r="AA13" s="534"/>
      <c r="AB13" s="534"/>
      <c r="AC13" s="534"/>
      <c r="AD13" s="536">
        <f t="shared" si="2"/>
        <v>0.41521963190184052</v>
      </c>
      <c r="AE13" s="536">
        <f t="shared" si="3"/>
        <v>0.29360461739957355</v>
      </c>
      <c r="AF13" s="537" t="str">
        <f t="shared" si="4"/>
        <v/>
      </c>
      <c r="AG13" s="537" t="str">
        <f t="shared" si="5"/>
        <v/>
      </c>
      <c r="AH13" s="537" t="str">
        <f t="shared" si="6"/>
        <v/>
      </c>
      <c r="AI13" s="525" t="str">
        <f t="shared" si="7"/>
        <v/>
      </c>
      <c r="AJ13" s="522"/>
      <c r="AK13" s="522" t="s">
        <v>315</v>
      </c>
      <c r="AL13" s="526" t="str">
        <f t="shared" si="8"/>
        <v/>
      </c>
      <c r="AM13" s="526" t="str">
        <f t="shared" si="9"/>
        <v/>
      </c>
      <c r="AN13" s="526" t="str">
        <f t="shared" si="10"/>
        <v/>
      </c>
      <c r="AO13" s="526" t="str">
        <f t="shared" si="11"/>
        <v/>
      </c>
    </row>
    <row r="14" spans="1:46" x14ac:dyDescent="0.25">
      <c r="A14" s="5">
        <v>5926010</v>
      </c>
      <c r="B14" s="522" t="s">
        <v>312</v>
      </c>
      <c r="C14" s="522">
        <v>2018</v>
      </c>
      <c r="D14" s="522" t="s">
        <v>297</v>
      </c>
      <c r="E14" s="522" t="s">
        <v>313</v>
      </c>
      <c r="F14" s="522" t="s">
        <v>299</v>
      </c>
      <c r="G14" s="522"/>
      <c r="H14" s="522" t="s">
        <v>316</v>
      </c>
      <c r="I14" s="522"/>
      <c r="J14" s="2" t="s">
        <v>301</v>
      </c>
      <c r="K14" s="522" t="str">
        <f>+IF(N14&lt;=540, "8-hr TWA", IF(N14&gt;540, "12-hr TWA", "Error"))</f>
        <v>8-hr TWA</v>
      </c>
      <c r="L14" s="522" t="s">
        <v>302</v>
      </c>
      <c r="M14" s="535">
        <v>43212</v>
      </c>
      <c r="N14" s="2">
        <v>525</v>
      </c>
      <c r="O14" s="2">
        <v>1</v>
      </c>
      <c r="P14" s="2"/>
      <c r="Q14" s="2"/>
      <c r="R14" s="2"/>
      <c r="S14" s="2"/>
      <c r="T14" s="2"/>
      <c r="U14" s="2"/>
      <c r="V14" s="2"/>
      <c r="W14" s="2">
        <v>0.63</v>
      </c>
      <c r="X14" s="2">
        <f t="shared" si="0"/>
        <v>0.63</v>
      </c>
      <c r="Y14" s="2" t="str">
        <f t="shared" si="1"/>
        <v/>
      </c>
      <c r="Z14" s="534"/>
      <c r="AA14" s="534"/>
      <c r="AB14" s="534"/>
      <c r="AC14" s="534"/>
      <c r="AD14" s="537">
        <f t="shared" si="2"/>
        <v>3.9634601226993866</v>
      </c>
      <c r="AE14" s="537">
        <f t="shared" si="3"/>
        <v>3.9634601226993866</v>
      </c>
      <c r="AF14" s="537" t="str">
        <f t="shared" si="4"/>
        <v/>
      </c>
      <c r="AG14" s="537" t="str">
        <f t="shared" si="5"/>
        <v/>
      </c>
      <c r="AH14" s="537" t="str">
        <f t="shared" si="6"/>
        <v/>
      </c>
      <c r="AI14" s="525" t="str">
        <f t="shared" si="7"/>
        <v/>
      </c>
      <c r="AJ14" s="522"/>
      <c r="AK14" s="522"/>
      <c r="AL14" s="526">
        <f t="shared" si="8"/>
        <v>0.63</v>
      </c>
      <c r="AM14" s="526">
        <f t="shared" si="9"/>
        <v>-0.46203545959655867</v>
      </c>
      <c r="AN14" s="526" t="str">
        <f t="shared" si="10"/>
        <v/>
      </c>
      <c r="AO14" s="526" t="str">
        <f t="shared" si="11"/>
        <v/>
      </c>
    </row>
    <row r="15" spans="1:46" x14ac:dyDescent="0.25">
      <c r="A15" s="5">
        <v>5926010</v>
      </c>
      <c r="B15" s="522" t="s">
        <v>312</v>
      </c>
      <c r="C15" s="522">
        <v>2018</v>
      </c>
      <c r="D15" s="522" t="s">
        <v>297</v>
      </c>
      <c r="E15" s="522" t="s">
        <v>313</v>
      </c>
      <c r="F15" s="522" t="s">
        <v>299</v>
      </c>
      <c r="G15" s="522"/>
      <c r="H15" s="522" t="s">
        <v>316</v>
      </c>
      <c r="I15" s="522"/>
      <c r="J15" s="2" t="s">
        <v>301</v>
      </c>
      <c r="K15" s="538" t="s">
        <v>281</v>
      </c>
      <c r="L15" s="522" t="s">
        <v>302</v>
      </c>
      <c r="M15" s="535">
        <v>43212</v>
      </c>
      <c r="N15" s="2">
        <v>570</v>
      </c>
      <c r="O15" s="2">
        <v>1</v>
      </c>
      <c r="P15" s="2"/>
      <c r="Q15" s="2"/>
      <c r="R15" s="2"/>
      <c r="S15" s="2"/>
      <c r="T15" s="2"/>
      <c r="U15" s="2"/>
      <c r="V15" s="2"/>
      <c r="W15" s="2">
        <v>2.7</v>
      </c>
      <c r="X15" s="2" t="str">
        <f t="shared" si="0"/>
        <v/>
      </c>
      <c r="Y15" s="539">
        <f t="shared" si="1"/>
        <v>2.1375000000000002</v>
      </c>
      <c r="Z15" s="2"/>
      <c r="AA15" s="2"/>
      <c r="AB15" s="2"/>
      <c r="AC15" s="2"/>
      <c r="AD15" s="540">
        <f t="shared" si="2"/>
        <v>16.986257668711659</v>
      </c>
      <c r="AE15" s="537" t="str">
        <f t="shared" si="3"/>
        <v/>
      </c>
      <c r="AF15" s="540">
        <f t="shared" si="4"/>
        <v>13.447453987730063</v>
      </c>
      <c r="AG15" s="537" t="str">
        <f t="shared" si="5"/>
        <v/>
      </c>
      <c r="AH15" s="537" t="str">
        <f t="shared" si="6"/>
        <v/>
      </c>
      <c r="AI15" s="525" t="str">
        <f t="shared" si="7"/>
        <v/>
      </c>
      <c r="AJ15" s="522"/>
      <c r="AK15" s="522"/>
      <c r="AL15" s="526" t="str">
        <f t="shared" si="8"/>
        <v/>
      </c>
      <c r="AM15" s="526" t="str">
        <f t="shared" si="9"/>
        <v/>
      </c>
      <c r="AN15" s="526">
        <f t="shared" si="10"/>
        <v>2.1375000000000002</v>
      </c>
      <c r="AO15" s="526">
        <f t="shared" si="11"/>
        <v>0.75963692182877829</v>
      </c>
    </row>
    <row r="16" spans="1:46" x14ac:dyDescent="0.25">
      <c r="A16" s="5">
        <v>5926010</v>
      </c>
      <c r="B16" s="522" t="s">
        <v>312</v>
      </c>
      <c r="C16" s="522">
        <v>2018</v>
      </c>
      <c r="D16" s="522" t="s">
        <v>297</v>
      </c>
      <c r="E16" s="522" t="s">
        <v>313</v>
      </c>
      <c r="F16" s="522" t="s">
        <v>299</v>
      </c>
      <c r="G16" s="522"/>
      <c r="H16" s="522" t="s">
        <v>314</v>
      </c>
      <c r="I16" s="522"/>
      <c r="J16" s="2" t="s">
        <v>301</v>
      </c>
      <c r="K16" s="538" t="s">
        <v>281</v>
      </c>
      <c r="L16" s="522" t="s">
        <v>302</v>
      </c>
      <c r="M16" s="535">
        <v>43216</v>
      </c>
      <c r="N16" s="2">
        <v>660</v>
      </c>
      <c r="O16" s="2">
        <v>1</v>
      </c>
      <c r="P16" s="2"/>
      <c r="Q16" s="2"/>
      <c r="R16" s="2"/>
      <c r="S16" s="2"/>
      <c r="T16" s="2"/>
      <c r="U16" s="2"/>
      <c r="V16" s="2"/>
      <c r="W16" s="2">
        <v>6.6000000000000003E-2</v>
      </c>
      <c r="X16" s="2" t="str">
        <f t="shared" si="0"/>
        <v/>
      </c>
      <c r="Y16" s="524">
        <f t="shared" si="1"/>
        <v>3.0250000000000003E-2</v>
      </c>
      <c r="Z16" s="2"/>
      <c r="AA16" s="2"/>
      <c r="AB16" s="2"/>
      <c r="AC16" s="2"/>
      <c r="AD16" s="536">
        <f t="shared" si="2"/>
        <v>0.41521963190184052</v>
      </c>
      <c r="AE16" s="537" t="str">
        <f t="shared" si="3"/>
        <v/>
      </c>
      <c r="AF16" s="536">
        <f t="shared" si="4"/>
        <v>0.19030899795501025</v>
      </c>
      <c r="AG16" s="537" t="str">
        <f t="shared" si="5"/>
        <v/>
      </c>
      <c r="AH16" s="537" t="str">
        <f t="shared" si="6"/>
        <v/>
      </c>
      <c r="AI16" s="525" t="str">
        <f t="shared" si="7"/>
        <v/>
      </c>
      <c r="AJ16" s="522"/>
      <c r="AK16" s="522" t="s">
        <v>315</v>
      </c>
      <c r="AL16" s="526" t="str">
        <f t="shared" si="8"/>
        <v/>
      </c>
      <c r="AM16" s="526" t="str">
        <f t="shared" si="9"/>
        <v/>
      </c>
      <c r="AN16" s="526" t="str">
        <f t="shared" si="10"/>
        <v/>
      </c>
      <c r="AO16" s="526" t="str">
        <f t="shared" si="11"/>
        <v/>
      </c>
    </row>
    <row r="17" spans="1:41" x14ac:dyDescent="0.25">
      <c r="A17" s="5">
        <v>5926010</v>
      </c>
      <c r="B17" s="522" t="s">
        <v>312</v>
      </c>
      <c r="C17" s="522">
        <v>2018</v>
      </c>
      <c r="D17" s="522" t="s">
        <v>297</v>
      </c>
      <c r="E17" s="522" t="s">
        <v>313</v>
      </c>
      <c r="F17" s="522" t="s">
        <v>299</v>
      </c>
      <c r="G17" s="522"/>
      <c r="H17" s="522" t="s">
        <v>314</v>
      </c>
      <c r="I17" s="522"/>
      <c r="J17" s="2" t="s">
        <v>301</v>
      </c>
      <c r="K17" s="538" t="s">
        <v>281</v>
      </c>
      <c r="L17" s="522" t="s">
        <v>302</v>
      </c>
      <c r="M17" s="535">
        <v>43216</v>
      </c>
      <c r="N17" s="541">
        <v>660</v>
      </c>
      <c r="O17" s="2">
        <v>1</v>
      </c>
      <c r="P17" s="2"/>
      <c r="Q17" s="2"/>
      <c r="R17" s="2"/>
      <c r="S17" s="2"/>
      <c r="T17" s="2"/>
      <c r="U17" s="2"/>
      <c r="V17" s="2"/>
      <c r="W17" s="2">
        <v>6.6000000000000003E-2</v>
      </c>
      <c r="X17" s="2" t="str">
        <f t="shared" si="0"/>
        <v/>
      </c>
      <c r="Y17" s="524">
        <f t="shared" si="1"/>
        <v>3.0250000000000003E-2</v>
      </c>
      <c r="Z17" s="2"/>
      <c r="AA17" s="2"/>
      <c r="AB17" s="2"/>
      <c r="AC17" s="2"/>
      <c r="AD17" s="536">
        <f t="shared" si="2"/>
        <v>0.41521963190184052</v>
      </c>
      <c r="AE17" s="537" t="str">
        <f t="shared" si="3"/>
        <v/>
      </c>
      <c r="AF17" s="536">
        <f t="shared" si="4"/>
        <v>0.19030899795501025</v>
      </c>
      <c r="AG17" s="537" t="str">
        <f t="shared" si="5"/>
        <v/>
      </c>
      <c r="AH17" s="537" t="str">
        <f t="shared" si="6"/>
        <v/>
      </c>
      <c r="AI17" s="525" t="str">
        <f t="shared" si="7"/>
        <v/>
      </c>
      <c r="AJ17" s="522"/>
      <c r="AK17" s="522" t="s">
        <v>315</v>
      </c>
      <c r="AL17" s="526" t="str">
        <f t="shared" si="8"/>
        <v/>
      </c>
      <c r="AM17" s="526" t="str">
        <f t="shared" si="9"/>
        <v/>
      </c>
      <c r="AN17" s="526" t="str">
        <f t="shared" si="10"/>
        <v/>
      </c>
      <c r="AO17" s="526" t="str">
        <f t="shared" si="11"/>
        <v/>
      </c>
    </row>
    <row r="18" spans="1:41" x14ac:dyDescent="0.25">
      <c r="A18" s="5">
        <v>5926010</v>
      </c>
      <c r="B18" s="522" t="s">
        <v>312</v>
      </c>
      <c r="C18" s="522">
        <v>2018</v>
      </c>
      <c r="D18" s="522" t="s">
        <v>297</v>
      </c>
      <c r="E18" s="522" t="s">
        <v>313</v>
      </c>
      <c r="F18" s="522" t="s">
        <v>299</v>
      </c>
      <c r="G18" s="522"/>
      <c r="H18" s="542" t="s">
        <v>314</v>
      </c>
      <c r="I18" s="542"/>
      <c r="J18" s="2" t="s">
        <v>301</v>
      </c>
      <c r="K18" s="538" t="s">
        <v>281</v>
      </c>
      <c r="L18" s="522" t="s">
        <v>302</v>
      </c>
      <c r="M18" s="535">
        <v>43264</v>
      </c>
      <c r="N18" s="541">
        <v>720</v>
      </c>
      <c r="O18" s="2">
        <v>1</v>
      </c>
      <c r="P18" s="2"/>
      <c r="Q18" s="2"/>
      <c r="R18" s="2"/>
      <c r="S18" s="2"/>
      <c r="T18" s="2"/>
      <c r="U18" s="2"/>
      <c r="V18" s="2"/>
      <c r="W18" s="2">
        <v>6.6000000000000003E-2</v>
      </c>
      <c r="X18" s="2" t="str">
        <f t="shared" si="0"/>
        <v/>
      </c>
      <c r="Y18" s="2">
        <f t="shared" si="1"/>
        <v>3.3000000000000002E-2</v>
      </c>
      <c r="Z18" s="2"/>
      <c r="AA18" s="2"/>
      <c r="AB18" s="2"/>
      <c r="AC18" s="2"/>
      <c r="AD18" s="536">
        <f t="shared" si="2"/>
        <v>0.41521963190184052</v>
      </c>
      <c r="AE18" s="537" t="str">
        <f t="shared" si="3"/>
        <v/>
      </c>
      <c r="AF18" s="536">
        <f t="shared" si="4"/>
        <v>0.20760981595092026</v>
      </c>
      <c r="AG18" s="537" t="str">
        <f t="shared" si="5"/>
        <v/>
      </c>
      <c r="AH18" s="537" t="str">
        <f t="shared" si="6"/>
        <v/>
      </c>
      <c r="AI18" s="525" t="str">
        <f t="shared" si="7"/>
        <v/>
      </c>
      <c r="AJ18" s="522"/>
      <c r="AK18" s="522" t="s">
        <v>315</v>
      </c>
      <c r="AL18" s="526" t="str">
        <f t="shared" si="8"/>
        <v/>
      </c>
      <c r="AM18" s="526" t="str">
        <f t="shared" si="9"/>
        <v/>
      </c>
      <c r="AN18" s="526" t="str">
        <f t="shared" si="10"/>
        <v/>
      </c>
      <c r="AO18" s="526" t="str">
        <f t="shared" si="11"/>
        <v/>
      </c>
    </row>
    <row r="19" spans="1:41" x14ac:dyDescent="0.25">
      <c r="A19" s="5">
        <v>5926010</v>
      </c>
      <c r="B19" s="522" t="s">
        <v>312</v>
      </c>
      <c r="C19" s="522">
        <v>2018</v>
      </c>
      <c r="D19" s="522" t="s">
        <v>297</v>
      </c>
      <c r="E19" s="522" t="s">
        <v>313</v>
      </c>
      <c r="F19" s="522" t="s">
        <v>299</v>
      </c>
      <c r="G19" s="522"/>
      <c r="H19" s="542" t="s">
        <v>314</v>
      </c>
      <c r="I19" s="542"/>
      <c r="J19" s="2" t="s">
        <v>301</v>
      </c>
      <c r="K19" s="538" t="s">
        <v>281</v>
      </c>
      <c r="L19" s="522" t="s">
        <v>302</v>
      </c>
      <c r="M19" s="535">
        <v>43264</v>
      </c>
      <c r="N19" s="2">
        <v>720</v>
      </c>
      <c r="O19" s="2">
        <v>1</v>
      </c>
      <c r="P19" s="2"/>
      <c r="Q19" s="2"/>
      <c r="R19" s="2"/>
      <c r="S19" s="2"/>
      <c r="T19" s="2"/>
      <c r="U19" s="2"/>
      <c r="V19" s="2"/>
      <c r="W19" s="2">
        <v>6.6000000000000003E-2</v>
      </c>
      <c r="X19" s="2" t="str">
        <f t="shared" si="0"/>
        <v/>
      </c>
      <c r="Y19" s="2">
        <f t="shared" si="1"/>
        <v>3.3000000000000002E-2</v>
      </c>
      <c r="Z19" s="2"/>
      <c r="AA19" s="2"/>
      <c r="AB19" s="2"/>
      <c r="AC19" s="2"/>
      <c r="AD19" s="536">
        <f t="shared" si="2"/>
        <v>0.41521963190184052</v>
      </c>
      <c r="AE19" s="537" t="str">
        <f t="shared" si="3"/>
        <v/>
      </c>
      <c r="AF19" s="536">
        <f t="shared" si="4"/>
        <v>0.20760981595092026</v>
      </c>
      <c r="AG19" s="537" t="str">
        <f t="shared" si="5"/>
        <v/>
      </c>
      <c r="AH19" s="537" t="str">
        <f t="shared" si="6"/>
        <v/>
      </c>
      <c r="AI19" s="525" t="str">
        <f t="shared" si="7"/>
        <v/>
      </c>
      <c r="AJ19" s="522"/>
      <c r="AK19" s="522" t="s">
        <v>315</v>
      </c>
      <c r="AL19" s="526" t="str">
        <f t="shared" si="8"/>
        <v/>
      </c>
      <c r="AM19" s="526" t="str">
        <f t="shared" si="9"/>
        <v/>
      </c>
      <c r="AN19" s="526" t="str">
        <f t="shared" si="10"/>
        <v/>
      </c>
      <c r="AO19" s="526" t="str">
        <f t="shared" si="11"/>
        <v/>
      </c>
    </row>
    <row r="20" spans="1:41" x14ac:dyDescent="0.25">
      <c r="A20" s="5">
        <v>5926010</v>
      </c>
      <c r="B20" s="543" t="s">
        <v>312</v>
      </c>
      <c r="C20" s="543">
        <v>2018</v>
      </c>
      <c r="D20" s="543" t="s">
        <v>297</v>
      </c>
      <c r="E20" s="543" t="s">
        <v>313</v>
      </c>
      <c r="F20" s="543" t="s">
        <v>299</v>
      </c>
      <c r="G20" s="543"/>
      <c r="H20" s="544" t="s">
        <v>317</v>
      </c>
      <c r="I20" s="544"/>
      <c r="J20" s="545" t="s">
        <v>301</v>
      </c>
      <c r="K20" s="543" t="str">
        <f t="shared" ref="K20:K83" si="12">+IF(N20&lt;=540, "8-hr TWA", IF(N20&gt;540, "12-hr TWA", "Error"))</f>
        <v>8-hr TWA</v>
      </c>
      <c r="L20" s="543" t="s">
        <v>302</v>
      </c>
      <c r="M20" s="546" t="s">
        <v>318</v>
      </c>
      <c r="N20" s="546">
        <v>510</v>
      </c>
      <c r="O20" s="547">
        <v>1</v>
      </c>
      <c r="P20" s="547"/>
      <c r="Q20" s="547"/>
      <c r="R20" s="547"/>
      <c r="S20" s="547"/>
      <c r="T20" s="547"/>
      <c r="U20" s="547"/>
      <c r="V20" s="547"/>
      <c r="W20" s="547">
        <v>0.01</v>
      </c>
      <c r="X20" s="548">
        <f t="shared" si="0"/>
        <v>7.0710678118654745E-3</v>
      </c>
      <c r="Y20" s="547" t="str">
        <f t="shared" si="1"/>
        <v/>
      </c>
      <c r="Z20" s="547"/>
      <c r="AA20" s="547"/>
      <c r="AB20" s="547"/>
      <c r="AC20" s="547"/>
      <c r="AD20" s="549">
        <v>0.01</v>
      </c>
      <c r="AE20" s="549">
        <f t="shared" si="3"/>
        <v>4.4485548090844471E-2</v>
      </c>
      <c r="AF20" s="550" t="str">
        <f t="shared" si="4"/>
        <v/>
      </c>
      <c r="AG20" s="537" t="str">
        <f t="shared" si="5"/>
        <v/>
      </c>
      <c r="AH20" s="537" t="str">
        <f t="shared" si="6"/>
        <v/>
      </c>
      <c r="AI20" s="525" t="str">
        <f t="shared" si="7"/>
        <v/>
      </c>
      <c r="AJ20" s="543"/>
      <c r="AK20" s="543" t="s">
        <v>315</v>
      </c>
      <c r="AL20" s="551" t="str">
        <f t="shared" si="8"/>
        <v/>
      </c>
      <c r="AM20" s="551" t="str">
        <f t="shared" si="9"/>
        <v/>
      </c>
      <c r="AN20" s="551" t="str">
        <f t="shared" si="10"/>
        <v/>
      </c>
      <c r="AO20" s="551" t="str">
        <f t="shared" si="11"/>
        <v/>
      </c>
    </row>
    <row r="21" spans="1:41" x14ac:dyDescent="0.25">
      <c r="A21" s="5">
        <v>5926010</v>
      </c>
      <c r="B21" s="522" t="s">
        <v>312</v>
      </c>
      <c r="C21" s="522">
        <v>2018</v>
      </c>
      <c r="D21" s="522" t="s">
        <v>297</v>
      </c>
      <c r="E21" s="543" t="s">
        <v>313</v>
      </c>
      <c r="F21" s="522" t="s">
        <v>299</v>
      </c>
      <c r="G21" s="522"/>
      <c r="H21" s="552" t="s">
        <v>317</v>
      </c>
      <c r="I21" s="552"/>
      <c r="J21" s="534" t="s">
        <v>301</v>
      </c>
      <c r="K21" s="522" t="str">
        <f t="shared" si="12"/>
        <v>12-hr TWA</v>
      </c>
      <c r="L21" s="522" t="s">
        <v>302</v>
      </c>
      <c r="M21" s="447" t="s">
        <v>318</v>
      </c>
      <c r="N21" s="447">
        <v>600</v>
      </c>
      <c r="O21" s="2">
        <v>1</v>
      </c>
      <c r="P21" s="2"/>
      <c r="Q21" s="2"/>
      <c r="R21" s="2"/>
      <c r="S21" s="2"/>
      <c r="T21" s="2"/>
      <c r="U21" s="2"/>
      <c r="V21" s="2"/>
      <c r="W21" s="2">
        <v>0.01</v>
      </c>
      <c r="X21" s="547" t="str">
        <f t="shared" si="0"/>
        <v/>
      </c>
      <c r="Y21" s="548">
        <f t="shared" si="1"/>
        <v>4.1666666666666666E-3</v>
      </c>
      <c r="Z21" s="2"/>
      <c r="AA21" s="2"/>
      <c r="AB21" s="2"/>
      <c r="AC21" s="2"/>
      <c r="AD21" s="553">
        <v>0.01</v>
      </c>
      <c r="AE21" s="537" t="str">
        <f t="shared" si="3"/>
        <v/>
      </c>
      <c r="AF21" s="537">
        <f t="shared" si="4"/>
        <v>2.6213360599863664E-2</v>
      </c>
      <c r="AG21" s="537" t="str">
        <f t="shared" si="5"/>
        <v/>
      </c>
      <c r="AH21" s="537" t="str">
        <f t="shared" si="6"/>
        <v/>
      </c>
      <c r="AI21" s="525" t="str">
        <f t="shared" si="7"/>
        <v/>
      </c>
      <c r="AJ21" s="522"/>
      <c r="AK21" s="522" t="s">
        <v>315</v>
      </c>
      <c r="AL21" s="526" t="str">
        <f t="shared" si="8"/>
        <v/>
      </c>
      <c r="AM21" s="526" t="str">
        <f t="shared" si="9"/>
        <v/>
      </c>
      <c r="AN21" s="526" t="str">
        <f t="shared" si="10"/>
        <v/>
      </c>
      <c r="AO21" s="526" t="str">
        <f t="shared" si="11"/>
        <v/>
      </c>
    </row>
    <row r="22" spans="1:41" x14ac:dyDescent="0.25">
      <c r="A22" s="6">
        <v>5926010</v>
      </c>
      <c r="B22" s="554" t="s">
        <v>312</v>
      </c>
      <c r="C22" s="554">
        <v>2018</v>
      </c>
      <c r="D22" s="554" t="s">
        <v>297</v>
      </c>
      <c r="E22" s="555" t="s">
        <v>313</v>
      </c>
      <c r="F22" s="554" t="s">
        <v>299</v>
      </c>
      <c r="G22" s="554"/>
      <c r="H22" s="556" t="s">
        <v>319</v>
      </c>
      <c r="I22" s="557" t="s">
        <v>320</v>
      </c>
      <c r="J22" s="4" t="s">
        <v>301</v>
      </c>
      <c r="K22" s="554" t="str">
        <f t="shared" si="12"/>
        <v>8-hr TWA</v>
      </c>
      <c r="L22" s="554" t="s">
        <v>302</v>
      </c>
      <c r="M22" s="557" t="s">
        <v>321</v>
      </c>
      <c r="N22" s="557">
        <v>480</v>
      </c>
      <c r="O22" s="4">
        <v>1</v>
      </c>
      <c r="P22" s="4"/>
      <c r="Q22" s="4"/>
      <c r="R22" s="4"/>
      <c r="S22" s="4"/>
      <c r="T22" s="4"/>
      <c r="U22" s="4"/>
      <c r="V22" s="4"/>
      <c r="W22" s="4">
        <v>0.18</v>
      </c>
      <c r="X22" s="558">
        <f t="shared" si="0"/>
        <v>0.18</v>
      </c>
      <c r="Y22" s="558" t="str">
        <f t="shared" si="1"/>
        <v/>
      </c>
      <c r="Z22" s="4"/>
      <c r="AA22" s="4"/>
      <c r="AB22" s="4"/>
      <c r="AC22" s="4"/>
      <c r="AD22" s="559">
        <f t="shared" ref="AD22:AD85" si="13">+W22*MolW/MolVol</f>
        <v>1.1324171779141103</v>
      </c>
      <c r="AE22" s="559">
        <f t="shared" si="3"/>
        <v>1.1324171779141103</v>
      </c>
      <c r="AF22" s="559" t="str">
        <f t="shared" si="4"/>
        <v/>
      </c>
      <c r="AG22" s="537" t="str">
        <f t="shared" si="5"/>
        <v/>
      </c>
      <c r="AH22" s="537" t="str">
        <f t="shared" si="6"/>
        <v/>
      </c>
      <c r="AI22" s="525">
        <f t="shared" si="7"/>
        <v>1.1324171779141103</v>
      </c>
      <c r="AJ22" s="554"/>
      <c r="AK22" s="554"/>
      <c r="AL22" s="560">
        <f t="shared" si="8"/>
        <v>0.18</v>
      </c>
      <c r="AM22" s="560">
        <f t="shared" si="9"/>
        <v>-1.7147984280919266</v>
      </c>
      <c r="AN22" s="560" t="str">
        <f t="shared" si="10"/>
        <v/>
      </c>
      <c r="AO22" s="560" t="str">
        <f t="shared" si="11"/>
        <v/>
      </c>
    </row>
    <row r="23" spans="1:41" x14ac:dyDescent="0.25">
      <c r="A23" s="6">
        <v>5926010</v>
      </c>
      <c r="B23" s="554" t="s">
        <v>312</v>
      </c>
      <c r="C23" s="554">
        <v>2018</v>
      </c>
      <c r="D23" s="554" t="s">
        <v>297</v>
      </c>
      <c r="E23" s="555" t="s">
        <v>313</v>
      </c>
      <c r="F23" s="554" t="s">
        <v>299</v>
      </c>
      <c r="G23" s="554"/>
      <c r="H23" s="556" t="s">
        <v>319</v>
      </c>
      <c r="I23" s="557" t="s">
        <v>320</v>
      </c>
      <c r="J23" s="4" t="s">
        <v>301</v>
      </c>
      <c r="K23" s="554" t="str">
        <f t="shared" si="12"/>
        <v>8-hr TWA</v>
      </c>
      <c r="L23" s="554" t="s">
        <v>302</v>
      </c>
      <c r="M23" s="557" t="s">
        <v>322</v>
      </c>
      <c r="N23" s="557">
        <v>490</v>
      </c>
      <c r="O23" s="4">
        <v>1</v>
      </c>
      <c r="P23" s="4"/>
      <c r="Q23" s="4"/>
      <c r="R23" s="4"/>
      <c r="S23" s="4"/>
      <c r="T23" s="4"/>
      <c r="U23" s="4"/>
      <c r="V23" s="4"/>
      <c r="W23" s="4">
        <v>0.21</v>
      </c>
      <c r="X23" s="558">
        <f t="shared" si="0"/>
        <v>0.21</v>
      </c>
      <c r="Y23" s="558" t="str">
        <f t="shared" si="1"/>
        <v/>
      </c>
      <c r="Z23" s="4"/>
      <c r="AA23" s="4"/>
      <c r="AB23" s="4"/>
      <c r="AC23" s="4"/>
      <c r="AD23" s="559">
        <f t="shared" si="13"/>
        <v>1.3211533742331287</v>
      </c>
      <c r="AE23" s="559">
        <f t="shared" si="3"/>
        <v>1.3211533742331287</v>
      </c>
      <c r="AF23" s="559" t="str">
        <f t="shared" si="4"/>
        <v/>
      </c>
      <c r="AG23" s="537" t="str">
        <f t="shared" si="5"/>
        <v/>
      </c>
      <c r="AH23" s="537" t="str">
        <f t="shared" si="6"/>
        <v/>
      </c>
      <c r="AI23" s="525">
        <f t="shared" si="7"/>
        <v>1.3211533742331287</v>
      </c>
      <c r="AJ23" s="554"/>
      <c r="AK23" s="554"/>
      <c r="AL23" s="560">
        <f t="shared" si="8"/>
        <v>0.21</v>
      </c>
      <c r="AM23" s="560">
        <f t="shared" si="9"/>
        <v>-1.5606477482646683</v>
      </c>
      <c r="AN23" s="560" t="str">
        <f t="shared" si="10"/>
        <v/>
      </c>
      <c r="AO23" s="560" t="str">
        <f t="shared" si="11"/>
        <v/>
      </c>
    </row>
    <row r="24" spans="1:41" x14ac:dyDescent="0.25">
      <c r="A24" s="6">
        <v>5926010</v>
      </c>
      <c r="B24" s="554" t="s">
        <v>312</v>
      </c>
      <c r="C24" s="554">
        <v>2018</v>
      </c>
      <c r="D24" s="554" t="s">
        <v>297</v>
      </c>
      <c r="E24" s="555" t="s">
        <v>313</v>
      </c>
      <c r="F24" s="554" t="s">
        <v>299</v>
      </c>
      <c r="G24" s="554"/>
      <c r="H24" s="556" t="s">
        <v>319</v>
      </c>
      <c r="I24" s="557" t="s">
        <v>320</v>
      </c>
      <c r="J24" s="4" t="s">
        <v>301</v>
      </c>
      <c r="K24" s="554" t="str">
        <f t="shared" si="12"/>
        <v>8-hr TWA</v>
      </c>
      <c r="L24" s="554" t="s">
        <v>302</v>
      </c>
      <c r="M24" s="557" t="s">
        <v>323</v>
      </c>
      <c r="N24" s="557">
        <v>470</v>
      </c>
      <c r="O24" s="4">
        <v>1</v>
      </c>
      <c r="P24" s="4"/>
      <c r="Q24" s="4"/>
      <c r="R24" s="4"/>
      <c r="S24" s="4"/>
      <c r="T24" s="4"/>
      <c r="U24" s="4"/>
      <c r="V24" s="4"/>
      <c r="W24" s="4">
        <v>0.21</v>
      </c>
      <c r="X24" s="561">
        <f t="shared" si="0"/>
        <v>0.205625</v>
      </c>
      <c r="Y24" s="558" t="str">
        <f t="shared" si="1"/>
        <v/>
      </c>
      <c r="Z24" s="4"/>
      <c r="AA24" s="4"/>
      <c r="AB24" s="4"/>
      <c r="AC24" s="4"/>
      <c r="AD24" s="559">
        <f t="shared" si="13"/>
        <v>1.3211533742331287</v>
      </c>
      <c r="AE24" s="559">
        <f t="shared" si="3"/>
        <v>1.2936293456032719</v>
      </c>
      <c r="AF24" s="559" t="str">
        <f t="shared" si="4"/>
        <v/>
      </c>
      <c r="AG24" s="537" t="str">
        <f t="shared" si="5"/>
        <v/>
      </c>
      <c r="AH24" s="537" t="str">
        <f t="shared" si="6"/>
        <v/>
      </c>
      <c r="AI24" s="525">
        <f t="shared" si="7"/>
        <v>1.2936293456032719</v>
      </c>
      <c r="AJ24" s="554"/>
      <c r="AK24" s="554"/>
      <c r="AL24" s="560">
        <f t="shared" si="8"/>
        <v>0.205625</v>
      </c>
      <c r="AM24" s="560">
        <f t="shared" si="9"/>
        <v>-1.5817011574625006</v>
      </c>
      <c r="AN24" s="560" t="str">
        <f t="shared" si="10"/>
        <v/>
      </c>
      <c r="AO24" s="560" t="str">
        <f t="shared" si="11"/>
        <v/>
      </c>
    </row>
    <row r="25" spans="1:41" x14ac:dyDescent="0.25">
      <c r="A25" s="6">
        <v>5926010</v>
      </c>
      <c r="B25" s="554" t="s">
        <v>312</v>
      </c>
      <c r="C25" s="554">
        <v>2018</v>
      </c>
      <c r="D25" s="554" t="s">
        <v>297</v>
      </c>
      <c r="E25" s="555" t="s">
        <v>313</v>
      </c>
      <c r="F25" s="554" t="s">
        <v>299</v>
      </c>
      <c r="G25" s="554"/>
      <c r="H25" s="556" t="s">
        <v>319</v>
      </c>
      <c r="I25" s="557" t="s">
        <v>320</v>
      </c>
      <c r="J25" s="4" t="s">
        <v>301</v>
      </c>
      <c r="K25" s="554" t="str">
        <f t="shared" si="12"/>
        <v>8-hr TWA</v>
      </c>
      <c r="L25" s="554" t="s">
        <v>302</v>
      </c>
      <c r="M25" s="557" t="s">
        <v>324</v>
      </c>
      <c r="N25" s="557">
        <v>475</v>
      </c>
      <c r="O25" s="4">
        <v>1</v>
      </c>
      <c r="P25" s="4"/>
      <c r="Q25" s="4"/>
      <c r="R25" s="4"/>
      <c r="S25" s="4"/>
      <c r="T25" s="4"/>
      <c r="U25" s="4"/>
      <c r="V25" s="4"/>
      <c r="W25" s="4">
        <v>0.24</v>
      </c>
      <c r="X25" s="561">
        <f t="shared" si="0"/>
        <v>0.23749999999999999</v>
      </c>
      <c r="Y25" s="558" t="str">
        <f t="shared" si="1"/>
        <v/>
      </c>
      <c r="Z25" s="4"/>
      <c r="AA25" s="4"/>
      <c r="AB25" s="4"/>
      <c r="AC25" s="4"/>
      <c r="AD25" s="559">
        <f t="shared" si="13"/>
        <v>1.5098895705521471</v>
      </c>
      <c r="AE25" s="559">
        <f t="shared" si="3"/>
        <v>1.4941615541922291</v>
      </c>
      <c r="AF25" s="559" t="str">
        <f t="shared" si="4"/>
        <v/>
      </c>
      <c r="AG25" s="537" t="str">
        <f t="shared" si="5"/>
        <v/>
      </c>
      <c r="AH25" s="537" t="str">
        <f t="shared" si="6"/>
        <v/>
      </c>
      <c r="AI25" s="525">
        <f t="shared" si="7"/>
        <v>1.4941615541922291</v>
      </c>
      <c r="AJ25" s="554"/>
      <c r="AK25" s="554"/>
      <c r="AL25" s="560">
        <f t="shared" si="8"/>
        <v>0.23749999999999999</v>
      </c>
      <c r="AM25" s="560">
        <f t="shared" si="9"/>
        <v>-1.4375876555074412</v>
      </c>
      <c r="AN25" s="560" t="str">
        <f t="shared" si="10"/>
        <v/>
      </c>
      <c r="AO25" s="560" t="str">
        <f t="shared" si="11"/>
        <v/>
      </c>
    </row>
    <row r="26" spans="1:41" x14ac:dyDescent="0.25">
      <c r="A26" s="6">
        <v>5926010</v>
      </c>
      <c r="B26" s="554" t="s">
        <v>312</v>
      </c>
      <c r="C26" s="554">
        <v>2018</v>
      </c>
      <c r="D26" s="554" t="s">
        <v>297</v>
      </c>
      <c r="E26" s="555" t="s">
        <v>313</v>
      </c>
      <c r="F26" s="554" t="s">
        <v>299</v>
      </c>
      <c r="G26" s="554"/>
      <c r="H26" s="556" t="s">
        <v>319</v>
      </c>
      <c r="I26" s="557" t="s">
        <v>320</v>
      </c>
      <c r="J26" s="4" t="s">
        <v>301</v>
      </c>
      <c r="K26" s="554" t="str">
        <f t="shared" si="12"/>
        <v>8-hr TWA</v>
      </c>
      <c r="L26" s="554" t="s">
        <v>302</v>
      </c>
      <c r="M26" s="562" t="s">
        <v>325</v>
      </c>
      <c r="N26" s="557">
        <v>540</v>
      </c>
      <c r="O26" s="4">
        <v>1</v>
      </c>
      <c r="P26" s="4"/>
      <c r="Q26" s="4"/>
      <c r="R26" s="4"/>
      <c r="S26" s="4"/>
      <c r="T26" s="4"/>
      <c r="U26" s="4"/>
      <c r="V26" s="4"/>
      <c r="W26" s="4">
        <v>0.39</v>
      </c>
      <c r="X26" s="558">
        <f t="shared" si="0"/>
        <v>0.39</v>
      </c>
      <c r="Y26" s="558" t="str">
        <f t="shared" si="1"/>
        <v/>
      </c>
      <c r="Z26" s="4"/>
      <c r="AA26" s="4"/>
      <c r="AB26" s="4"/>
      <c r="AC26" s="4"/>
      <c r="AD26" s="559">
        <f t="shared" si="13"/>
        <v>2.4535705521472395</v>
      </c>
      <c r="AE26" s="559">
        <f t="shared" si="3"/>
        <v>2.4535705521472395</v>
      </c>
      <c r="AF26" s="559" t="str">
        <f t="shared" si="4"/>
        <v/>
      </c>
      <c r="AG26" s="537" t="str">
        <f t="shared" si="5"/>
        <v/>
      </c>
      <c r="AH26" s="537" t="str">
        <f t="shared" si="6"/>
        <v/>
      </c>
      <c r="AI26" s="525">
        <f t="shared" si="7"/>
        <v>2.4535705521472395</v>
      </c>
      <c r="AJ26" s="554"/>
      <c r="AK26" s="554"/>
      <c r="AL26" s="560">
        <f t="shared" si="8"/>
        <v>0.39</v>
      </c>
      <c r="AM26" s="560">
        <f t="shared" si="9"/>
        <v>-0.94160853985844495</v>
      </c>
      <c r="AN26" s="560" t="str">
        <f t="shared" si="10"/>
        <v/>
      </c>
      <c r="AO26" s="560" t="str">
        <f t="shared" si="11"/>
        <v/>
      </c>
    </row>
    <row r="27" spans="1:41" x14ac:dyDescent="0.25">
      <c r="A27" s="5">
        <v>5926010</v>
      </c>
      <c r="B27" s="522" t="s">
        <v>312</v>
      </c>
      <c r="C27" s="522">
        <v>2018</v>
      </c>
      <c r="D27" s="522" t="s">
        <v>297</v>
      </c>
      <c r="E27" s="543" t="s">
        <v>313</v>
      </c>
      <c r="F27" s="522" t="s">
        <v>299</v>
      </c>
      <c r="G27" s="522"/>
      <c r="H27" s="552" t="s">
        <v>326</v>
      </c>
      <c r="I27" s="552"/>
      <c r="J27" s="534" t="s">
        <v>301</v>
      </c>
      <c r="K27" s="522" t="str">
        <f t="shared" si="12"/>
        <v>12-hr TWA</v>
      </c>
      <c r="L27" s="522" t="s">
        <v>302</v>
      </c>
      <c r="M27" s="447" t="s">
        <v>327</v>
      </c>
      <c r="N27" s="447">
        <v>675</v>
      </c>
      <c r="O27" s="2">
        <v>1</v>
      </c>
      <c r="P27" s="2"/>
      <c r="Q27" s="2"/>
      <c r="R27" s="2"/>
      <c r="S27" s="2"/>
      <c r="T27" s="2"/>
      <c r="U27" s="2"/>
      <c r="V27" s="2"/>
      <c r="W27" s="2">
        <v>0.53</v>
      </c>
      <c r="X27" s="547" t="str">
        <f t="shared" si="0"/>
        <v/>
      </c>
      <c r="Y27" s="563">
        <f t="shared" si="1"/>
        <v>0.49687500000000001</v>
      </c>
      <c r="Z27" s="2"/>
      <c r="AA27" s="2"/>
      <c r="AB27" s="2"/>
      <c r="AC27" s="2"/>
      <c r="AD27" s="537">
        <f t="shared" si="13"/>
        <v>3.3343394683026588</v>
      </c>
      <c r="AE27" s="537" t="str">
        <f t="shared" si="3"/>
        <v/>
      </c>
      <c r="AF27" s="537">
        <f t="shared" si="4"/>
        <v>3.1259432515337422</v>
      </c>
      <c r="AG27" s="537" t="str">
        <f t="shared" si="5"/>
        <v/>
      </c>
      <c r="AH27" s="537" t="str">
        <f t="shared" si="6"/>
        <v/>
      </c>
      <c r="AI27" s="525" t="str">
        <f t="shared" si="7"/>
        <v/>
      </c>
      <c r="AJ27" s="522"/>
      <c r="AK27" s="522"/>
      <c r="AL27" s="526" t="str">
        <f t="shared" si="8"/>
        <v/>
      </c>
      <c r="AM27" s="526" t="str">
        <f t="shared" si="9"/>
        <v/>
      </c>
      <c r="AN27" s="526">
        <f t="shared" si="10"/>
        <v>0.49687500000000001</v>
      </c>
      <c r="AO27" s="526">
        <f t="shared" si="11"/>
        <v>-0.6994167935735407</v>
      </c>
    </row>
    <row r="28" spans="1:41" x14ac:dyDescent="0.25">
      <c r="A28" s="6">
        <v>5926010</v>
      </c>
      <c r="B28" s="554" t="s">
        <v>312</v>
      </c>
      <c r="C28" s="554">
        <v>2018</v>
      </c>
      <c r="D28" s="554" t="s">
        <v>297</v>
      </c>
      <c r="E28" s="555" t="s">
        <v>313</v>
      </c>
      <c r="F28" s="554" t="s">
        <v>299</v>
      </c>
      <c r="G28" s="554"/>
      <c r="H28" s="556" t="s">
        <v>319</v>
      </c>
      <c r="I28" s="557" t="s">
        <v>320</v>
      </c>
      <c r="J28" s="4" t="s">
        <v>301</v>
      </c>
      <c r="K28" s="554" t="str">
        <f t="shared" si="12"/>
        <v>8-hr TWA</v>
      </c>
      <c r="L28" s="554" t="s">
        <v>302</v>
      </c>
      <c r="M28" s="557" t="s">
        <v>328</v>
      </c>
      <c r="N28" s="557">
        <v>480</v>
      </c>
      <c r="O28" s="4">
        <v>1</v>
      </c>
      <c r="P28" s="4"/>
      <c r="Q28" s="4"/>
      <c r="R28" s="4"/>
      <c r="S28" s="4"/>
      <c r="T28" s="4"/>
      <c r="U28" s="4"/>
      <c r="V28" s="4"/>
      <c r="W28" s="564">
        <v>0.01</v>
      </c>
      <c r="X28" s="565">
        <f t="shared" si="0"/>
        <v>7.0710678118654745E-3</v>
      </c>
      <c r="Y28" s="565" t="str">
        <f t="shared" si="1"/>
        <v/>
      </c>
      <c r="Z28" s="4"/>
      <c r="AA28" s="4"/>
      <c r="AB28" s="4"/>
      <c r="AC28" s="4"/>
      <c r="AD28" s="566">
        <f t="shared" si="13"/>
        <v>6.2912065439672801E-2</v>
      </c>
      <c r="AE28" s="564">
        <f t="shared" si="3"/>
        <v>4.4485548090844471E-2</v>
      </c>
      <c r="AF28" s="559" t="str">
        <f t="shared" si="4"/>
        <v/>
      </c>
      <c r="AG28" s="537" t="str">
        <f t="shared" si="5"/>
        <v/>
      </c>
      <c r="AH28" s="537" t="str">
        <f t="shared" si="6"/>
        <v/>
      </c>
      <c r="AI28" s="525">
        <f t="shared" si="7"/>
        <v>4.4485548090844471E-2</v>
      </c>
      <c r="AJ28" s="554"/>
      <c r="AK28" s="554" t="s">
        <v>315</v>
      </c>
      <c r="AL28" s="560" t="str">
        <f t="shared" si="8"/>
        <v/>
      </c>
      <c r="AM28" s="560" t="str">
        <f t="shared" si="9"/>
        <v/>
      </c>
      <c r="AN28" s="560" t="str">
        <f t="shared" si="10"/>
        <v/>
      </c>
      <c r="AO28" s="560" t="str">
        <f t="shared" si="11"/>
        <v/>
      </c>
    </row>
    <row r="29" spans="1:41" x14ac:dyDescent="0.25">
      <c r="A29" s="5">
        <v>5926010</v>
      </c>
      <c r="B29" s="522" t="s">
        <v>312</v>
      </c>
      <c r="C29" s="522">
        <v>2018</v>
      </c>
      <c r="D29" s="522" t="s">
        <v>297</v>
      </c>
      <c r="E29" s="543" t="s">
        <v>313</v>
      </c>
      <c r="F29" s="522" t="s">
        <v>299</v>
      </c>
      <c r="G29" s="522"/>
      <c r="H29" s="552" t="s">
        <v>317</v>
      </c>
      <c r="I29" s="552"/>
      <c r="J29" s="534" t="s">
        <v>301</v>
      </c>
      <c r="K29" s="522" t="str">
        <f t="shared" si="12"/>
        <v>12-hr TWA</v>
      </c>
      <c r="L29" s="522" t="s">
        <v>302</v>
      </c>
      <c r="M29" s="447" t="s">
        <v>329</v>
      </c>
      <c r="N29" s="447">
        <v>585</v>
      </c>
      <c r="O29" s="2">
        <v>1</v>
      </c>
      <c r="P29" s="2"/>
      <c r="Q29" s="2"/>
      <c r="R29" s="2"/>
      <c r="S29" s="2"/>
      <c r="T29" s="2"/>
      <c r="U29" s="2"/>
      <c r="V29" s="2"/>
      <c r="W29" s="524">
        <v>0.01</v>
      </c>
      <c r="X29" s="547" t="str">
        <f t="shared" si="0"/>
        <v/>
      </c>
      <c r="Y29" s="548">
        <f t="shared" si="1"/>
        <v>4.0625000000000001E-3</v>
      </c>
      <c r="Z29" s="2"/>
      <c r="AA29" s="2"/>
      <c r="AB29" s="2"/>
      <c r="AC29" s="2"/>
      <c r="AD29" s="536">
        <f t="shared" si="13"/>
        <v>6.2912065439672801E-2</v>
      </c>
      <c r="AE29" s="537" t="str">
        <f t="shared" si="3"/>
        <v/>
      </c>
      <c r="AF29" s="553">
        <f t="shared" si="4"/>
        <v>2.5558026584867076E-2</v>
      </c>
      <c r="AG29" s="537" t="str">
        <f t="shared" si="5"/>
        <v/>
      </c>
      <c r="AH29" s="537" t="str">
        <f t="shared" si="6"/>
        <v/>
      </c>
      <c r="AI29" s="525" t="str">
        <f t="shared" si="7"/>
        <v/>
      </c>
      <c r="AJ29" s="522"/>
      <c r="AK29" s="522" t="s">
        <v>315</v>
      </c>
      <c r="AL29" s="526" t="str">
        <f t="shared" si="8"/>
        <v/>
      </c>
      <c r="AM29" s="526" t="str">
        <f t="shared" si="9"/>
        <v/>
      </c>
      <c r="AN29" s="526" t="str">
        <f t="shared" si="10"/>
        <v/>
      </c>
      <c r="AO29" s="526" t="str">
        <f t="shared" si="11"/>
        <v/>
      </c>
    </row>
    <row r="30" spans="1:41" x14ac:dyDescent="0.25">
      <c r="A30" s="5">
        <v>5926010</v>
      </c>
      <c r="B30" s="522" t="s">
        <v>312</v>
      </c>
      <c r="C30" s="522">
        <v>2018</v>
      </c>
      <c r="D30" s="522" t="s">
        <v>297</v>
      </c>
      <c r="E30" s="543" t="s">
        <v>313</v>
      </c>
      <c r="F30" s="522" t="s">
        <v>299</v>
      </c>
      <c r="G30" s="522"/>
      <c r="H30" s="552" t="s">
        <v>317</v>
      </c>
      <c r="I30" s="552"/>
      <c r="J30" s="534" t="s">
        <v>301</v>
      </c>
      <c r="K30" s="522" t="str">
        <f t="shared" si="12"/>
        <v>12-hr TWA</v>
      </c>
      <c r="L30" s="522" t="s">
        <v>302</v>
      </c>
      <c r="M30" s="447" t="s">
        <v>330</v>
      </c>
      <c r="N30" s="447">
        <v>600</v>
      </c>
      <c r="O30" s="2">
        <v>1</v>
      </c>
      <c r="P30" s="2"/>
      <c r="Q30" s="2"/>
      <c r="R30" s="2"/>
      <c r="S30" s="2"/>
      <c r="T30" s="2"/>
      <c r="U30" s="2"/>
      <c r="V30" s="2"/>
      <c r="W30" s="524">
        <v>0.02</v>
      </c>
      <c r="X30" s="547" t="str">
        <f t="shared" si="0"/>
        <v/>
      </c>
      <c r="Y30" s="548">
        <f t="shared" si="1"/>
        <v>8.3333333333333332E-3</v>
      </c>
      <c r="Z30" s="2"/>
      <c r="AA30" s="2"/>
      <c r="AB30" s="2"/>
      <c r="AC30" s="2"/>
      <c r="AD30" s="536">
        <f t="shared" si="13"/>
        <v>0.1258241308793456</v>
      </c>
      <c r="AE30" s="537" t="str">
        <f t="shared" si="3"/>
        <v/>
      </c>
      <c r="AF30" s="553">
        <f t="shared" si="4"/>
        <v>5.2426721199727327E-2</v>
      </c>
      <c r="AG30" s="537" t="str">
        <f t="shared" si="5"/>
        <v/>
      </c>
      <c r="AH30" s="537" t="str">
        <f t="shared" si="6"/>
        <v/>
      </c>
      <c r="AI30" s="525" t="str">
        <f t="shared" si="7"/>
        <v/>
      </c>
      <c r="AJ30" s="522"/>
      <c r="AK30" s="522" t="s">
        <v>315</v>
      </c>
      <c r="AL30" s="526" t="str">
        <f t="shared" si="8"/>
        <v/>
      </c>
      <c r="AM30" s="526" t="str">
        <f t="shared" si="9"/>
        <v/>
      </c>
      <c r="AN30" s="526" t="str">
        <f t="shared" si="10"/>
        <v/>
      </c>
      <c r="AO30" s="526" t="str">
        <f t="shared" si="11"/>
        <v/>
      </c>
    </row>
    <row r="31" spans="1:41" x14ac:dyDescent="0.25">
      <c r="A31" s="5">
        <v>5926010</v>
      </c>
      <c r="B31" s="522" t="s">
        <v>312</v>
      </c>
      <c r="C31" s="522">
        <v>2018</v>
      </c>
      <c r="D31" s="522" t="s">
        <v>297</v>
      </c>
      <c r="E31" s="543" t="s">
        <v>313</v>
      </c>
      <c r="F31" s="522" t="s">
        <v>299</v>
      </c>
      <c r="G31" s="522"/>
      <c r="H31" s="552" t="s">
        <v>317</v>
      </c>
      <c r="I31" s="552"/>
      <c r="J31" s="534" t="s">
        <v>301</v>
      </c>
      <c r="K31" s="522" t="str">
        <f t="shared" si="12"/>
        <v>12-hr TWA</v>
      </c>
      <c r="L31" s="522" t="s">
        <v>302</v>
      </c>
      <c r="M31" s="447" t="s">
        <v>330</v>
      </c>
      <c r="N31" s="447">
        <v>600</v>
      </c>
      <c r="O31" s="2">
        <v>1</v>
      </c>
      <c r="P31" s="2"/>
      <c r="Q31" s="2"/>
      <c r="R31" s="2"/>
      <c r="S31" s="2"/>
      <c r="T31" s="2"/>
      <c r="U31" s="2"/>
      <c r="V31" s="2"/>
      <c r="W31" s="524">
        <v>0.02</v>
      </c>
      <c r="X31" s="547" t="str">
        <f t="shared" si="0"/>
        <v/>
      </c>
      <c r="Y31" s="548">
        <f t="shared" si="1"/>
        <v>8.3333333333333332E-3</v>
      </c>
      <c r="Z31" s="2"/>
      <c r="AA31" s="2"/>
      <c r="AB31" s="2"/>
      <c r="AC31" s="2"/>
      <c r="AD31" s="536">
        <f t="shared" si="13"/>
        <v>0.1258241308793456</v>
      </c>
      <c r="AE31" s="537" t="str">
        <f t="shared" si="3"/>
        <v/>
      </c>
      <c r="AF31" s="553">
        <f t="shared" si="4"/>
        <v>5.2426721199727327E-2</v>
      </c>
      <c r="AG31" s="537" t="str">
        <f t="shared" si="5"/>
        <v/>
      </c>
      <c r="AH31" s="537" t="str">
        <f t="shared" si="6"/>
        <v/>
      </c>
      <c r="AI31" s="525" t="str">
        <f t="shared" si="7"/>
        <v/>
      </c>
      <c r="AJ31" s="522"/>
      <c r="AK31" s="522" t="s">
        <v>315</v>
      </c>
      <c r="AL31" s="526" t="str">
        <f t="shared" si="8"/>
        <v/>
      </c>
      <c r="AM31" s="526" t="str">
        <f t="shared" si="9"/>
        <v/>
      </c>
      <c r="AN31" s="526" t="str">
        <f t="shared" si="10"/>
        <v/>
      </c>
      <c r="AO31" s="526" t="str">
        <f t="shared" si="11"/>
        <v/>
      </c>
    </row>
    <row r="32" spans="1:41" x14ac:dyDescent="0.25">
      <c r="A32" s="5">
        <v>5926010</v>
      </c>
      <c r="B32" s="522" t="s">
        <v>312</v>
      </c>
      <c r="C32" s="522">
        <v>2018</v>
      </c>
      <c r="D32" s="522" t="s">
        <v>297</v>
      </c>
      <c r="E32" s="543" t="s">
        <v>313</v>
      </c>
      <c r="F32" s="522" t="s">
        <v>299</v>
      </c>
      <c r="G32" s="522"/>
      <c r="H32" s="552" t="s">
        <v>317</v>
      </c>
      <c r="I32" s="552"/>
      <c r="J32" s="534" t="s">
        <v>301</v>
      </c>
      <c r="K32" s="522" t="str">
        <f t="shared" si="12"/>
        <v>12-hr TWA</v>
      </c>
      <c r="L32" s="522" t="s">
        <v>302</v>
      </c>
      <c r="M32" s="447" t="s">
        <v>330</v>
      </c>
      <c r="N32" s="447">
        <v>600</v>
      </c>
      <c r="O32" s="2">
        <v>1</v>
      </c>
      <c r="P32" s="2"/>
      <c r="Q32" s="2"/>
      <c r="R32" s="2"/>
      <c r="S32" s="2"/>
      <c r="T32" s="2"/>
      <c r="U32" s="2"/>
      <c r="V32" s="2"/>
      <c r="W32" s="539">
        <v>2</v>
      </c>
      <c r="X32" s="547" t="str">
        <f t="shared" si="0"/>
        <v/>
      </c>
      <c r="Y32" s="567">
        <f t="shared" si="1"/>
        <v>1.6666666666666667</v>
      </c>
      <c r="Z32" s="2"/>
      <c r="AA32" s="2"/>
      <c r="AB32" s="2"/>
      <c r="AC32" s="2"/>
      <c r="AD32" s="540">
        <f t="shared" si="13"/>
        <v>12.58241308793456</v>
      </c>
      <c r="AE32" s="537" t="str">
        <f t="shared" si="3"/>
        <v/>
      </c>
      <c r="AF32" s="540">
        <f t="shared" si="4"/>
        <v>10.485344239945467</v>
      </c>
      <c r="AG32" s="537" t="str">
        <f t="shared" si="5"/>
        <v/>
      </c>
      <c r="AH32" s="537" t="str">
        <f t="shared" si="6"/>
        <v/>
      </c>
      <c r="AI32" s="525" t="str">
        <f t="shared" si="7"/>
        <v/>
      </c>
      <c r="AJ32" s="522"/>
      <c r="AK32" s="522"/>
      <c r="AL32" s="526" t="str">
        <f t="shared" si="8"/>
        <v/>
      </c>
      <c r="AM32" s="526" t="str">
        <f t="shared" si="9"/>
        <v/>
      </c>
      <c r="AN32" s="526">
        <f t="shared" si="10"/>
        <v>1.6666666666666667</v>
      </c>
      <c r="AO32" s="526">
        <f t="shared" si="11"/>
        <v>0.51082562376599072</v>
      </c>
    </row>
    <row r="33" spans="1:41" x14ac:dyDescent="0.25">
      <c r="A33" s="5">
        <v>5926010</v>
      </c>
      <c r="B33" s="522" t="s">
        <v>312</v>
      </c>
      <c r="C33" s="522">
        <v>2018</v>
      </c>
      <c r="D33" s="522" t="s">
        <v>297</v>
      </c>
      <c r="E33" s="543" t="s">
        <v>313</v>
      </c>
      <c r="F33" s="522" t="s">
        <v>299</v>
      </c>
      <c r="G33" s="522"/>
      <c r="H33" s="552" t="s">
        <v>317</v>
      </c>
      <c r="I33" s="552"/>
      <c r="J33" s="534" t="s">
        <v>301</v>
      </c>
      <c r="K33" s="522" t="str">
        <f t="shared" si="12"/>
        <v>12-hr TWA</v>
      </c>
      <c r="L33" s="522" t="s">
        <v>302</v>
      </c>
      <c r="M33" s="447" t="s">
        <v>318</v>
      </c>
      <c r="N33" s="447">
        <v>690</v>
      </c>
      <c r="O33" s="2">
        <v>1</v>
      </c>
      <c r="P33" s="2"/>
      <c r="Q33" s="2"/>
      <c r="R33" s="2"/>
      <c r="S33" s="2"/>
      <c r="T33" s="2"/>
      <c r="U33" s="2"/>
      <c r="V33" s="2"/>
      <c r="W33" s="525">
        <v>5.0000000000000001E-3</v>
      </c>
      <c r="X33" s="547" t="str">
        <f t="shared" si="0"/>
        <v/>
      </c>
      <c r="Y33" s="548">
        <f t="shared" si="1"/>
        <v>2.3958333333333336E-3</v>
      </c>
      <c r="Z33" s="2"/>
      <c r="AA33" s="2"/>
      <c r="AB33" s="2"/>
      <c r="AC33" s="2"/>
      <c r="AD33" s="553">
        <f t="shared" si="13"/>
        <v>3.1456032719836401E-2</v>
      </c>
      <c r="AE33" s="537" t="str">
        <f t="shared" si="3"/>
        <v/>
      </c>
      <c r="AF33" s="553">
        <f t="shared" si="4"/>
        <v>1.5072682344921609E-2</v>
      </c>
      <c r="AG33" s="537" t="str">
        <f t="shared" si="5"/>
        <v/>
      </c>
      <c r="AH33" s="537" t="str">
        <f t="shared" si="6"/>
        <v/>
      </c>
      <c r="AI33" s="525" t="str">
        <f t="shared" si="7"/>
        <v/>
      </c>
      <c r="AJ33" s="522"/>
      <c r="AK33" s="522" t="s">
        <v>315</v>
      </c>
      <c r="AL33" s="526" t="str">
        <f t="shared" si="8"/>
        <v/>
      </c>
      <c r="AM33" s="526" t="str">
        <f t="shared" si="9"/>
        <v/>
      </c>
      <c r="AN33" s="526" t="str">
        <f t="shared" si="10"/>
        <v/>
      </c>
      <c r="AO33" s="526" t="str">
        <f t="shared" si="11"/>
        <v/>
      </c>
    </row>
    <row r="34" spans="1:41" x14ac:dyDescent="0.25">
      <c r="A34" s="5">
        <v>5926010</v>
      </c>
      <c r="B34" s="522" t="s">
        <v>312</v>
      </c>
      <c r="C34" s="522">
        <v>2018</v>
      </c>
      <c r="D34" s="522" t="s">
        <v>297</v>
      </c>
      <c r="E34" s="543" t="s">
        <v>313</v>
      </c>
      <c r="F34" s="522" t="s">
        <v>299</v>
      </c>
      <c r="G34" s="522"/>
      <c r="H34" s="552" t="s">
        <v>317</v>
      </c>
      <c r="I34" s="552"/>
      <c r="J34" s="534" t="s">
        <v>301</v>
      </c>
      <c r="K34" s="522" t="str">
        <f t="shared" si="12"/>
        <v>12-hr TWA</v>
      </c>
      <c r="L34" s="522" t="s">
        <v>302</v>
      </c>
      <c r="M34" s="447" t="s">
        <v>318</v>
      </c>
      <c r="N34" s="447">
        <v>690</v>
      </c>
      <c r="O34" s="2">
        <v>1</v>
      </c>
      <c r="P34" s="2"/>
      <c r="Q34" s="2"/>
      <c r="R34" s="2"/>
      <c r="S34" s="2"/>
      <c r="T34" s="2"/>
      <c r="U34" s="2"/>
      <c r="V34" s="2"/>
      <c r="W34" s="525">
        <v>5.0000000000000001E-3</v>
      </c>
      <c r="X34" s="547" t="str">
        <f t="shared" si="0"/>
        <v/>
      </c>
      <c r="Y34" s="548">
        <f t="shared" si="1"/>
        <v>2.3958333333333336E-3</v>
      </c>
      <c r="Z34" s="2"/>
      <c r="AA34" s="2"/>
      <c r="AB34" s="2"/>
      <c r="AC34" s="2"/>
      <c r="AD34" s="553">
        <f t="shared" si="13"/>
        <v>3.1456032719836401E-2</v>
      </c>
      <c r="AE34" s="537" t="str">
        <f t="shared" si="3"/>
        <v/>
      </c>
      <c r="AF34" s="553">
        <f t="shared" si="4"/>
        <v>1.5072682344921609E-2</v>
      </c>
      <c r="AG34" s="537" t="str">
        <f t="shared" si="5"/>
        <v/>
      </c>
      <c r="AH34" s="537" t="str">
        <f t="shared" si="6"/>
        <v/>
      </c>
      <c r="AI34" s="525" t="str">
        <f t="shared" si="7"/>
        <v/>
      </c>
      <c r="AJ34" s="522"/>
      <c r="AK34" s="522" t="s">
        <v>315</v>
      </c>
      <c r="AL34" s="526" t="str">
        <f t="shared" si="8"/>
        <v/>
      </c>
      <c r="AM34" s="526" t="str">
        <f t="shared" si="9"/>
        <v/>
      </c>
      <c r="AN34" s="526" t="str">
        <f t="shared" si="10"/>
        <v/>
      </c>
      <c r="AO34" s="526" t="str">
        <f t="shared" si="11"/>
        <v/>
      </c>
    </row>
    <row r="35" spans="1:41" x14ac:dyDescent="0.25">
      <c r="A35" s="5">
        <v>5926010</v>
      </c>
      <c r="B35" s="522" t="s">
        <v>312</v>
      </c>
      <c r="C35" s="522">
        <v>2018</v>
      </c>
      <c r="D35" s="522" t="s">
        <v>297</v>
      </c>
      <c r="E35" s="543" t="s">
        <v>313</v>
      </c>
      <c r="F35" s="522" t="s">
        <v>299</v>
      </c>
      <c r="G35" s="522"/>
      <c r="H35" s="552" t="s">
        <v>317</v>
      </c>
      <c r="I35" s="552"/>
      <c r="J35" s="534" t="s">
        <v>301</v>
      </c>
      <c r="K35" s="522" t="str">
        <f t="shared" si="12"/>
        <v>12-hr TWA</v>
      </c>
      <c r="L35" s="522" t="s">
        <v>302</v>
      </c>
      <c r="M35" s="447" t="s">
        <v>331</v>
      </c>
      <c r="N35" s="447">
        <v>690</v>
      </c>
      <c r="O35" s="2">
        <v>1</v>
      </c>
      <c r="P35" s="2"/>
      <c r="Q35" s="2"/>
      <c r="R35" s="2"/>
      <c r="S35" s="2"/>
      <c r="T35" s="2"/>
      <c r="U35" s="2"/>
      <c r="V35" s="2"/>
      <c r="W35" s="525">
        <v>5.0000000000000001E-3</v>
      </c>
      <c r="X35" s="547" t="str">
        <f t="shared" si="0"/>
        <v/>
      </c>
      <c r="Y35" s="548">
        <f t="shared" si="1"/>
        <v>2.3958333333333336E-3</v>
      </c>
      <c r="Z35" s="2"/>
      <c r="AA35" s="2"/>
      <c r="AB35" s="2"/>
      <c r="AC35" s="2"/>
      <c r="AD35" s="553">
        <f t="shared" si="13"/>
        <v>3.1456032719836401E-2</v>
      </c>
      <c r="AE35" s="537" t="str">
        <f t="shared" si="3"/>
        <v/>
      </c>
      <c r="AF35" s="553">
        <f t="shared" si="4"/>
        <v>1.5072682344921609E-2</v>
      </c>
      <c r="AG35" s="537" t="str">
        <f t="shared" si="5"/>
        <v/>
      </c>
      <c r="AH35" s="537" t="str">
        <f t="shared" si="6"/>
        <v/>
      </c>
      <c r="AI35" s="525" t="str">
        <f t="shared" si="7"/>
        <v/>
      </c>
      <c r="AJ35" s="522"/>
      <c r="AK35" s="522" t="s">
        <v>315</v>
      </c>
      <c r="AL35" s="526" t="str">
        <f t="shared" si="8"/>
        <v/>
      </c>
      <c r="AM35" s="526" t="str">
        <f t="shared" si="9"/>
        <v/>
      </c>
      <c r="AN35" s="526" t="str">
        <f t="shared" si="10"/>
        <v/>
      </c>
      <c r="AO35" s="526" t="str">
        <f t="shared" si="11"/>
        <v/>
      </c>
    </row>
    <row r="36" spans="1:41" x14ac:dyDescent="0.25">
      <c r="A36" s="5">
        <v>5926010</v>
      </c>
      <c r="B36" s="522" t="s">
        <v>312</v>
      </c>
      <c r="C36" s="522">
        <v>2018</v>
      </c>
      <c r="D36" s="522" t="s">
        <v>297</v>
      </c>
      <c r="E36" s="543" t="s">
        <v>313</v>
      </c>
      <c r="F36" s="522" t="s">
        <v>299</v>
      </c>
      <c r="G36" s="522"/>
      <c r="H36" s="552" t="s">
        <v>317</v>
      </c>
      <c r="I36" s="552"/>
      <c r="J36" s="534" t="s">
        <v>301</v>
      </c>
      <c r="K36" s="522" t="str">
        <f t="shared" si="12"/>
        <v>12-hr TWA</v>
      </c>
      <c r="L36" s="522" t="s">
        <v>302</v>
      </c>
      <c r="M36" s="447" t="s">
        <v>332</v>
      </c>
      <c r="N36" s="447">
        <v>720</v>
      </c>
      <c r="O36" s="2">
        <v>1</v>
      </c>
      <c r="P36" s="2"/>
      <c r="Q36" s="2"/>
      <c r="R36" s="2"/>
      <c r="S36" s="2"/>
      <c r="T36" s="2"/>
      <c r="U36" s="2"/>
      <c r="V36" s="2"/>
      <c r="W36" s="2">
        <v>0.11</v>
      </c>
      <c r="X36" s="547" t="str">
        <f t="shared" si="0"/>
        <v/>
      </c>
      <c r="Y36" s="547">
        <f t="shared" si="1"/>
        <v>0.11</v>
      </c>
      <c r="Z36" s="2"/>
      <c r="AA36" s="2"/>
      <c r="AB36" s="2"/>
      <c r="AC36" s="2"/>
      <c r="AD36" s="536">
        <f t="shared" si="13"/>
        <v>0.69203271983640069</v>
      </c>
      <c r="AE36" s="537" t="str">
        <f t="shared" si="3"/>
        <v/>
      </c>
      <c r="AF36" s="536">
        <f t="shared" si="4"/>
        <v>0.69203271983640069</v>
      </c>
      <c r="AG36" s="537" t="str">
        <f t="shared" si="5"/>
        <v/>
      </c>
      <c r="AH36" s="537" t="str">
        <f t="shared" si="6"/>
        <v/>
      </c>
      <c r="AI36" s="525" t="str">
        <f t="shared" si="7"/>
        <v/>
      </c>
      <c r="AJ36" s="522"/>
      <c r="AK36" s="522"/>
      <c r="AL36" s="526" t="str">
        <f t="shared" si="8"/>
        <v/>
      </c>
      <c r="AM36" s="526" t="str">
        <f t="shared" si="9"/>
        <v/>
      </c>
      <c r="AN36" s="526">
        <f t="shared" si="10"/>
        <v>0.11</v>
      </c>
      <c r="AO36" s="526">
        <f t="shared" si="11"/>
        <v>-2.2072749131897207</v>
      </c>
    </row>
    <row r="37" spans="1:41" x14ac:dyDescent="0.25">
      <c r="A37" s="5">
        <v>5926010</v>
      </c>
      <c r="B37" s="522" t="s">
        <v>312</v>
      </c>
      <c r="C37" s="522">
        <v>2018</v>
      </c>
      <c r="D37" s="522" t="s">
        <v>297</v>
      </c>
      <c r="E37" s="543" t="s">
        <v>313</v>
      </c>
      <c r="F37" s="522" t="s">
        <v>299</v>
      </c>
      <c r="G37" s="522"/>
      <c r="H37" s="552" t="s">
        <v>317</v>
      </c>
      <c r="I37" s="552"/>
      <c r="J37" s="534" t="s">
        <v>301</v>
      </c>
      <c r="K37" s="522" t="str">
        <f t="shared" si="12"/>
        <v>12-hr TWA</v>
      </c>
      <c r="L37" s="522" t="s">
        <v>302</v>
      </c>
      <c r="M37" s="447" t="s">
        <v>332</v>
      </c>
      <c r="N37" s="447">
        <v>720</v>
      </c>
      <c r="O37" s="2">
        <v>1</v>
      </c>
      <c r="P37" s="2"/>
      <c r="Q37" s="2"/>
      <c r="R37" s="2"/>
      <c r="S37" s="2"/>
      <c r="T37" s="2"/>
      <c r="U37" s="2"/>
      <c r="V37" s="2"/>
      <c r="W37" s="524">
        <v>0.02</v>
      </c>
      <c r="X37" s="547" t="str">
        <f t="shared" si="0"/>
        <v/>
      </c>
      <c r="Y37" s="568">
        <f t="shared" si="1"/>
        <v>0.01</v>
      </c>
      <c r="Z37" s="2"/>
      <c r="AA37" s="2"/>
      <c r="AB37" s="2"/>
      <c r="AC37" s="2"/>
      <c r="AD37" s="536">
        <f t="shared" si="13"/>
        <v>0.1258241308793456</v>
      </c>
      <c r="AE37" s="537" t="str">
        <f t="shared" si="3"/>
        <v/>
      </c>
      <c r="AF37" s="536">
        <f t="shared" si="4"/>
        <v>6.2912065439672801E-2</v>
      </c>
      <c r="AG37" s="537" t="str">
        <f t="shared" si="5"/>
        <v/>
      </c>
      <c r="AH37" s="537" t="str">
        <f t="shared" si="6"/>
        <v/>
      </c>
      <c r="AI37" s="525" t="str">
        <f t="shared" si="7"/>
        <v/>
      </c>
      <c r="AJ37" s="522"/>
      <c r="AK37" s="522" t="s">
        <v>315</v>
      </c>
      <c r="AL37" s="526" t="str">
        <f t="shared" si="8"/>
        <v/>
      </c>
      <c r="AM37" s="526" t="str">
        <f t="shared" si="9"/>
        <v/>
      </c>
      <c r="AN37" s="526" t="str">
        <f t="shared" si="10"/>
        <v/>
      </c>
      <c r="AO37" s="526" t="str">
        <f t="shared" si="11"/>
        <v/>
      </c>
    </row>
    <row r="38" spans="1:41" x14ac:dyDescent="0.25">
      <c r="A38" s="5">
        <v>5926010</v>
      </c>
      <c r="B38" s="522" t="s">
        <v>312</v>
      </c>
      <c r="C38" s="522">
        <v>2018</v>
      </c>
      <c r="D38" s="522" t="s">
        <v>297</v>
      </c>
      <c r="E38" s="543" t="s">
        <v>313</v>
      </c>
      <c r="F38" s="522" t="s">
        <v>299</v>
      </c>
      <c r="G38" s="522"/>
      <c r="H38" s="552" t="s">
        <v>317</v>
      </c>
      <c r="I38" s="552"/>
      <c r="J38" s="534" t="s">
        <v>301</v>
      </c>
      <c r="K38" s="522" t="str">
        <f t="shared" si="12"/>
        <v>12-hr TWA</v>
      </c>
      <c r="L38" s="522" t="s">
        <v>302</v>
      </c>
      <c r="M38" s="447" t="s">
        <v>330</v>
      </c>
      <c r="N38" s="447">
        <v>720</v>
      </c>
      <c r="O38" s="2">
        <v>1</v>
      </c>
      <c r="P38" s="2"/>
      <c r="Q38" s="2"/>
      <c r="R38" s="2"/>
      <c r="S38" s="2"/>
      <c r="T38" s="2"/>
      <c r="U38" s="2"/>
      <c r="V38" s="2"/>
      <c r="W38" s="462">
        <v>0.1</v>
      </c>
      <c r="X38" s="547" t="str">
        <f t="shared" si="0"/>
        <v/>
      </c>
      <c r="Y38" s="563">
        <f t="shared" si="1"/>
        <v>0.1</v>
      </c>
      <c r="Z38" s="2"/>
      <c r="AA38" s="2"/>
      <c r="AB38" s="2"/>
      <c r="AC38" s="2"/>
      <c r="AD38" s="536">
        <f t="shared" si="13"/>
        <v>0.62912065439672804</v>
      </c>
      <c r="AE38" s="537" t="str">
        <f t="shared" si="3"/>
        <v/>
      </c>
      <c r="AF38" s="536">
        <f t="shared" si="4"/>
        <v>0.62912065439672804</v>
      </c>
      <c r="AG38" s="537" t="str">
        <f t="shared" si="5"/>
        <v/>
      </c>
      <c r="AH38" s="537" t="str">
        <f t="shared" si="6"/>
        <v/>
      </c>
      <c r="AI38" s="525" t="str">
        <f t="shared" si="7"/>
        <v/>
      </c>
      <c r="AJ38" s="522"/>
      <c r="AK38" s="522"/>
      <c r="AL38" s="526" t="str">
        <f t="shared" si="8"/>
        <v/>
      </c>
      <c r="AM38" s="526" t="str">
        <f t="shared" si="9"/>
        <v/>
      </c>
      <c r="AN38" s="526">
        <f t="shared" si="10"/>
        <v>0.1</v>
      </c>
      <c r="AO38" s="526">
        <f t="shared" si="11"/>
        <v>-2.3025850929940455</v>
      </c>
    </row>
    <row r="39" spans="1:41" x14ac:dyDescent="0.25">
      <c r="A39" s="2">
        <v>5176376</v>
      </c>
      <c r="B39" s="522" t="s">
        <v>312</v>
      </c>
      <c r="C39" s="522">
        <v>2018</v>
      </c>
      <c r="D39" s="522" t="s">
        <v>297</v>
      </c>
      <c r="E39" s="522" t="s">
        <v>333</v>
      </c>
      <c r="F39" s="522" t="s">
        <v>299</v>
      </c>
      <c r="G39" s="522"/>
      <c r="H39" s="542" t="s">
        <v>334</v>
      </c>
      <c r="I39" s="542"/>
      <c r="J39" s="2" t="s">
        <v>301</v>
      </c>
      <c r="K39" s="522" t="str">
        <f t="shared" si="12"/>
        <v>12-hr TWA</v>
      </c>
      <c r="L39" s="522" t="s">
        <v>302</v>
      </c>
      <c r="M39" s="535">
        <v>40758</v>
      </c>
      <c r="N39" s="2">
        <v>720</v>
      </c>
      <c r="O39" s="2">
        <v>1</v>
      </c>
      <c r="P39" s="2"/>
      <c r="Q39" s="2"/>
      <c r="R39" s="2"/>
      <c r="S39" s="2"/>
      <c r="T39" s="2"/>
      <c r="U39" s="2"/>
      <c r="V39" s="2"/>
      <c r="W39" s="2">
        <v>1.7000000000000001E-2</v>
      </c>
      <c r="X39" s="2" t="str">
        <f t="shared" si="0"/>
        <v/>
      </c>
      <c r="Y39" s="2">
        <f t="shared" si="1"/>
        <v>8.5000000000000006E-3</v>
      </c>
      <c r="Z39" s="2"/>
      <c r="AA39" s="2"/>
      <c r="AB39" s="2"/>
      <c r="AC39" s="2"/>
      <c r="AD39" s="536">
        <f t="shared" si="13"/>
        <v>0.10695051124744377</v>
      </c>
      <c r="AE39" s="537" t="str">
        <f t="shared" si="3"/>
        <v/>
      </c>
      <c r="AF39" s="536">
        <f t="shared" si="4"/>
        <v>5.3475255623721886E-2</v>
      </c>
      <c r="AG39" s="537" t="str">
        <f t="shared" si="5"/>
        <v/>
      </c>
      <c r="AH39" s="537" t="str">
        <f t="shared" si="6"/>
        <v/>
      </c>
      <c r="AI39" s="525" t="str">
        <f t="shared" si="7"/>
        <v/>
      </c>
      <c r="AJ39" s="522"/>
      <c r="AK39" s="522" t="s">
        <v>315</v>
      </c>
      <c r="AL39" s="526" t="str">
        <f t="shared" si="8"/>
        <v/>
      </c>
      <c r="AM39" s="526" t="str">
        <f t="shared" si="9"/>
        <v/>
      </c>
      <c r="AN39" s="526" t="str">
        <f t="shared" si="10"/>
        <v/>
      </c>
      <c r="AO39" s="526" t="str">
        <f t="shared" si="11"/>
        <v/>
      </c>
    </row>
    <row r="40" spans="1:41" x14ac:dyDescent="0.25">
      <c r="A40" s="2">
        <v>5176376</v>
      </c>
      <c r="B40" s="522" t="s">
        <v>312</v>
      </c>
      <c r="C40" s="522">
        <v>2018</v>
      </c>
      <c r="D40" s="522" t="s">
        <v>297</v>
      </c>
      <c r="E40" s="522" t="s">
        <v>333</v>
      </c>
      <c r="F40" s="522" t="s">
        <v>299</v>
      </c>
      <c r="G40" s="522"/>
      <c r="H40" s="569" t="s">
        <v>335</v>
      </c>
      <c r="I40" s="569"/>
      <c r="J40" s="2" t="s">
        <v>301</v>
      </c>
      <c r="K40" s="522" t="str">
        <f t="shared" si="12"/>
        <v>8-hr TWA</v>
      </c>
      <c r="L40" s="522" t="s">
        <v>302</v>
      </c>
      <c r="M40" s="535">
        <v>40282</v>
      </c>
      <c r="N40" s="2">
        <v>480</v>
      </c>
      <c r="O40" s="2">
        <v>1</v>
      </c>
      <c r="P40" s="2"/>
      <c r="Q40" s="2"/>
      <c r="R40" s="2"/>
      <c r="S40" s="2"/>
      <c r="T40" s="2"/>
      <c r="U40" s="2"/>
      <c r="V40" s="2"/>
      <c r="W40" s="2">
        <v>3.9E-2</v>
      </c>
      <c r="X40" s="524">
        <f t="shared" si="0"/>
        <v>2.7577164466275353E-2</v>
      </c>
      <c r="Y40" s="2" t="str">
        <f t="shared" si="1"/>
        <v/>
      </c>
      <c r="Z40" s="2"/>
      <c r="AA40" s="2"/>
      <c r="AB40" s="2"/>
      <c r="AC40" s="2"/>
      <c r="AD40" s="536">
        <f t="shared" si="13"/>
        <v>0.24535705521472392</v>
      </c>
      <c r="AE40" s="536">
        <f t="shared" si="3"/>
        <v>0.17349363755429345</v>
      </c>
      <c r="AF40" s="536" t="str">
        <f t="shared" si="4"/>
        <v/>
      </c>
      <c r="AG40" s="537" t="str">
        <f t="shared" si="5"/>
        <v/>
      </c>
      <c r="AH40" s="537" t="str">
        <f t="shared" si="6"/>
        <v/>
      </c>
      <c r="AI40" s="525" t="str">
        <f t="shared" si="7"/>
        <v/>
      </c>
      <c r="AJ40" s="522"/>
      <c r="AK40" s="522" t="s">
        <v>315</v>
      </c>
      <c r="AL40" s="526" t="str">
        <f t="shared" si="8"/>
        <v/>
      </c>
      <c r="AM40" s="526" t="str">
        <f t="shared" si="9"/>
        <v/>
      </c>
      <c r="AN40" s="526" t="str">
        <f t="shared" si="10"/>
        <v/>
      </c>
      <c r="AO40" s="526" t="str">
        <f t="shared" si="11"/>
        <v/>
      </c>
    </row>
    <row r="41" spans="1:41" x14ac:dyDescent="0.25">
      <c r="A41" s="4">
        <v>5176376</v>
      </c>
      <c r="B41" s="554" t="s">
        <v>312</v>
      </c>
      <c r="C41" s="554">
        <v>2018</v>
      </c>
      <c r="D41" s="554" t="s">
        <v>297</v>
      </c>
      <c r="E41" s="554" t="s">
        <v>333</v>
      </c>
      <c r="F41" s="554" t="s">
        <v>299</v>
      </c>
      <c r="G41" s="554"/>
      <c r="H41" s="570" t="s">
        <v>336</v>
      </c>
      <c r="I41" s="557" t="s">
        <v>320</v>
      </c>
      <c r="J41" s="4" t="s">
        <v>301</v>
      </c>
      <c r="K41" s="554" t="str">
        <f t="shared" si="12"/>
        <v>8-hr TWA</v>
      </c>
      <c r="L41" s="554" t="s">
        <v>302</v>
      </c>
      <c r="M41" s="571">
        <v>41065</v>
      </c>
      <c r="N41" s="4">
        <v>480</v>
      </c>
      <c r="O41" s="4">
        <v>1</v>
      </c>
      <c r="P41" s="4"/>
      <c r="Q41" s="4"/>
      <c r="R41" s="4"/>
      <c r="S41" s="4"/>
      <c r="T41" s="4"/>
      <c r="U41" s="4"/>
      <c r="V41" s="4"/>
      <c r="W41" s="564">
        <v>0.04</v>
      </c>
      <c r="X41" s="564">
        <f t="shared" si="0"/>
        <v>2.8284271247461898E-2</v>
      </c>
      <c r="Y41" s="4" t="str">
        <f t="shared" si="1"/>
        <v/>
      </c>
      <c r="Z41" s="4"/>
      <c r="AA41" s="4"/>
      <c r="AB41" s="4"/>
      <c r="AC41" s="4"/>
      <c r="AD41" s="566">
        <f t="shared" si="13"/>
        <v>0.25164826175869121</v>
      </c>
      <c r="AE41" s="566">
        <f t="shared" si="3"/>
        <v>0.17794219236337788</v>
      </c>
      <c r="AF41" s="566" t="str">
        <f t="shared" si="4"/>
        <v/>
      </c>
      <c r="AG41" s="537" t="str">
        <f t="shared" si="5"/>
        <v/>
      </c>
      <c r="AH41" s="537" t="str">
        <f t="shared" si="6"/>
        <v/>
      </c>
      <c r="AI41" s="525">
        <f t="shared" si="7"/>
        <v>0.17794219236337788</v>
      </c>
      <c r="AJ41" s="554"/>
      <c r="AK41" s="554" t="s">
        <v>315</v>
      </c>
      <c r="AL41" s="560" t="str">
        <f t="shared" si="8"/>
        <v/>
      </c>
      <c r="AM41" s="560" t="str">
        <f t="shared" si="9"/>
        <v/>
      </c>
      <c r="AN41" s="560" t="str">
        <f t="shared" si="10"/>
        <v/>
      </c>
      <c r="AO41" s="560" t="str">
        <f t="shared" si="11"/>
        <v/>
      </c>
    </row>
    <row r="42" spans="1:41" x14ac:dyDescent="0.25">
      <c r="A42" s="2">
        <v>5176376</v>
      </c>
      <c r="B42" s="522" t="s">
        <v>312</v>
      </c>
      <c r="C42" s="522">
        <v>2018</v>
      </c>
      <c r="D42" s="522" t="s">
        <v>297</v>
      </c>
      <c r="E42" s="522" t="s">
        <v>333</v>
      </c>
      <c r="F42" s="522" t="s">
        <v>299</v>
      </c>
      <c r="G42" s="522"/>
      <c r="H42" s="542" t="s">
        <v>337</v>
      </c>
      <c r="I42" s="542"/>
      <c r="J42" s="2" t="s">
        <v>301</v>
      </c>
      <c r="K42" s="522" t="str">
        <f t="shared" si="12"/>
        <v>12-hr TWA</v>
      </c>
      <c r="L42" s="522" t="s">
        <v>302</v>
      </c>
      <c r="M42" s="535">
        <v>40065</v>
      </c>
      <c r="N42" s="2">
        <v>720</v>
      </c>
      <c r="O42" s="2">
        <v>1</v>
      </c>
      <c r="P42" s="2"/>
      <c r="Q42" s="2"/>
      <c r="R42" s="2"/>
      <c r="S42" s="2"/>
      <c r="T42" s="2"/>
      <c r="U42" s="2"/>
      <c r="V42" s="2"/>
      <c r="W42" s="2">
        <v>4.1000000000000002E-2</v>
      </c>
      <c r="X42" s="2" t="str">
        <f t="shared" si="0"/>
        <v/>
      </c>
      <c r="Y42" s="524">
        <f t="shared" si="1"/>
        <v>2.0500000000000001E-2</v>
      </c>
      <c r="Z42" s="2"/>
      <c r="AA42" s="2"/>
      <c r="AB42" s="2"/>
      <c r="AC42" s="2"/>
      <c r="AD42" s="536">
        <f t="shared" si="13"/>
        <v>0.25793946830265846</v>
      </c>
      <c r="AE42" s="536" t="str">
        <f t="shared" si="3"/>
        <v/>
      </c>
      <c r="AF42" s="536">
        <f t="shared" si="4"/>
        <v>0.12896973415132923</v>
      </c>
      <c r="AG42" s="537" t="str">
        <f t="shared" si="5"/>
        <v/>
      </c>
      <c r="AH42" s="537" t="str">
        <f t="shared" si="6"/>
        <v/>
      </c>
      <c r="AI42" s="525" t="str">
        <f t="shared" si="7"/>
        <v/>
      </c>
      <c r="AJ42" s="522"/>
      <c r="AK42" s="522" t="s">
        <v>315</v>
      </c>
      <c r="AL42" s="526" t="str">
        <f t="shared" si="8"/>
        <v/>
      </c>
      <c r="AM42" s="526" t="str">
        <f t="shared" si="9"/>
        <v/>
      </c>
      <c r="AN42" s="526" t="str">
        <f t="shared" si="10"/>
        <v/>
      </c>
      <c r="AO42" s="526" t="str">
        <f t="shared" si="11"/>
        <v/>
      </c>
    </row>
    <row r="43" spans="1:41" x14ac:dyDescent="0.25">
      <c r="A43" s="2">
        <v>5176376</v>
      </c>
      <c r="B43" s="522" t="s">
        <v>312</v>
      </c>
      <c r="C43" s="522">
        <v>2018</v>
      </c>
      <c r="D43" s="522" t="s">
        <v>297</v>
      </c>
      <c r="E43" s="522" t="s">
        <v>333</v>
      </c>
      <c r="F43" s="522" t="s">
        <v>299</v>
      </c>
      <c r="G43" s="522"/>
      <c r="H43" s="542" t="s">
        <v>337</v>
      </c>
      <c r="I43" s="542"/>
      <c r="J43" s="2" t="s">
        <v>301</v>
      </c>
      <c r="K43" s="522" t="str">
        <f t="shared" si="12"/>
        <v>12-hr TWA</v>
      </c>
      <c r="L43" s="522" t="s">
        <v>302</v>
      </c>
      <c r="M43" s="535">
        <v>40128</v>
      </c>
      <c r="N43" s="2">
        <v>720</v>
      </c>
      <c r="O43" s="2">
        <v>1</v>
      </c>
      <c r="P43" s="2"/>
      <c r="Q43" s="2"/>
      <c r="R43" s="2"/>
      <c r="S43" s="2"/>
      <c r="T43" s="2"/>
      <c r="U43" s="2"/>
      <c r="V43" s="2"/>
      <c r="W43" s="2">
        <v>4.1000000000000002E-2</v>
      </c>
      <c r="X43" s="2" t="str">
        <f t="shared" si="0"/>
        <v/>
      </c>
      <c r="Y43" s="524">
        <f t="shared" si="1"/>
        <v>2.0500000000000001E-2</v>
      </c>
      <c r="Z43" s="2"/>
      <c r="AA43" s="2"/>
      <c r="AB43" s="2"/>
      <c r="AC43" s="2"/>
      <c r="AD43" s="536">
        <f t="shared" si="13"/>
        <v>0.25793946830265846</v>
      </c>
      <c r="AE43" s="536" t="str">
        <f t="shared" si="3"/>
        <v/>
      </c>
      <c r="AF43" s="536">
        <f t="shared" si="4"/>
        <v>0.12896973415132923</v>
      </c>
      <c r="AG43" s="537" t="str">
        <f t="shared" si="5"/>
        <v/>
      </c>
      <c r="AH43" s="537" t="str">
        <f t="shared" si="6"/>
        <v/>
      </c>
      <c r="AI43" s="525" t="str">
        <f t="shared" si="7"/>
        <v/>
      </c>
      <c r="AJ43" s="522"/>
      <c r="AK43" s="522" t="s">
        <v>315</v>
      </c>
      <c r="AL43" s="526" t="str">
        <f t="shared" si="8"/>
        <v/>
      </c>
      <c r="AM43" s="526" t="str">
        <f t="shared" si="9"/>
        <v/>
      </c>
      <c r="AN43" s="526" t="str">
        <f t="shared" si="10"/>
        <v/>
      </c>
      <c r="AO43" s="526" t="str">
        <f t="shared" si="11"/>
        <v/>
      </c>
    </row>
    <row r="44" spans="1:41" x14ac:dyDescent="0.25">
      <c r="A44" s="2">
        <v>5176376</v>
      </c>
      <c r="B44" s="522" t="s">
        <v>312</v>
      </c>
      <c r="C44" s="522">
        <v>2018</v>
      </c>
      <c r="D44" s="522" t="s">
        <v>297</v>
      </c>
      <c r="E44" s="522" t="s">
        <v>333</v>
      </c>
      <c r="F44" s="522" t="s">
        <v>299</v>
      </c>
      <c r="G44" s="522"/>
      <c r="H44" s="542" t="s">
        <v>335</v>
      </c>
      <c r="I44" s="542"/>
      <c r="J44" s="2" t="s">
        <v>301</v>
      </c>
      <c r="K44" s="522" t="str">
        <f t="shared" si="12"/>
        <v>8-hr TWA</v>
      </c>
      <c r="L44" s="522" t="s">
        <v>302</v>
      </c>
      <c r="M44" s="535">
        <v>40444</v>
      </c>
      <c r="N44" s="2">
        <v>480</v>
      </c>
      <c r="O44" s="2">
        <v>1</v>
      </c>
      <c r="P44" s="2"/>
      <c r="Q44" s="2"/>
      <c r="R44" s="2"/>
      <c r="S44" s="2"/>
      <c r="T44" s="2"/>
      <c r="U44" s="2"/>
      <c r="V44" s="2"/>
      <c r="W44" s="2">
        <v>4.1000000000000002E-2</v>
      </c>
      <c r="X44" s="524">
        <f t="shared" si="0"/>
        <v>2.8991378028648446E-2</v>
      </c>
      <c r="Y44" s="2" t="str">
        <f t="shared" si="1"/>
        <v/>
      </c>
      <c r="Z44" s="2"/>
      <c r="AA44" s="2"/>
      <c r="AB44" s="2"/>
      <c r="AC44" s="2"/>
      <c r="AD44" s="536">
        <f t="shared" si="13"/>
        <v>0.25793946830265846</v>
      </c>
      <c r="AE44" s="536">
        <f t="shared" si="3"/>
        <v>0.18239074717246231</v>
      </c>
      <c r="AF44" s="536" t="str">
        <f t="shared" si="4"/>
        <v/>
      </c>
      <c r="AG44" s="537" t="str">
        <f t="shared" si="5"/>
        <v/>
      </c>
      <c r="AH44" s="537" t="str">
        <f t="shared" si="6"/>
        <v/>
      </c>
      <c r="AI44" s="525" t="str">
        <f t="shared" si="7"/>
        <v/>
      </c>
      <c r="AJ44" s="522"/>
      <c r="AK44" s="522" t="s">
        <v>315</v>
      </c>
      <c r="AL44" s="526" t="str">
        <f t="shared" si="8"/>
        <v/>
      </c>
      <c r="AM44" s="526" t="str">
        <f t="shared" si="9"/>
        <v/>
      </c>
      <c r="AN44" s="526" t="str">
        <f t="shared" si="10"/>
        <v/>
      </c>
      <c r="AO44" s="526" t="str">
        <f t="shared" si="11"/>
        <v/>
      </c>
    </row>
    <row r="45" spans="1:41" x14ac:dyDescent="0.25">
      <c r="A45" s="2">
        <v>5176376</v>
      </c>
      <c r="B45" s="522" t="s">
        <v>312</v>
      </c>
      <c r="C45" s="522">
        <v>2018</v>
      </c>
      <c r="D45" s="522" t="s">
        <v>297</v>
      </c>
      <c r="E45" s="522" t="s">
        <v>333</v>
      </c>
      <c r="F45" s="522" t="s">
        <v>299</v>
      </c>
      <c r="G45" s="522"/>
      <c r="H45" s="542" t="s">
        <v>337</v>
      </c>
      <c r="I45" s="542"/>
      <c r="J45" s="2" t="s">
        <v>301</v>
      </c>
      <c r="K45" s="522" t="str">
        <f t="shared" si="12"/>
        <v>12-hr TWA</v>
      </c>
      <c r="L45" s="522" t="s">
        <v>302</v>
      </c>
      <c r="M45" s="535">
        <v>40066</v>
      </c>
      <c r="N45" s="2">
        <v>720</v>
      </c>
      <c r="O45" s="2">
        <v>1</v>
      </c>
      <c r="P45" s="2"/>
      <c r="Q45" s="2"/>
      <c r="R45" s="2"/>
      <c r="S45" s="2"/>
      <c r="T45" s="2"/>
      <c r="U45" s="2"/>
      <c r="V45" s="2"/>
      <c r="W45" s="2">
        <v>4.2000000000000003E-2</v>
      </c>
      <c r="X45" s="2" t="str">
        <f t="shared" si="0"/>
        <v/>
      </c>
      <c r="Y45" s="2">
        <f t="shared" si="1"/>
        <v>2.1000000000000001E-2</v>
      </c>
      <c r="Z45" s="2"/>
      <c r="AA45" s="2"/>
      <c r="AB45" s="2"/>
      <c r="AC45" s="2"/>
      <c r="AD45" s="536">
        <f t="shared" si="13"/>
        <v>0.26423067484662577</v>
      </c>
      <c r="AE45" s="536" t="str">
        <f t="shared" si="3"/>
        <v/>
      </c>
      <c r="AF45" s="536">
        <f t="shared" si="4"/>
        <v>0.13211533742331288</v>
      </c>
      <c r="AG45" s="537" t="str">
        <f t="shared" si="5"/>
        <v/>
      </c>
      <c r="AH45" s="537" t="str">
        <f t="shared" si="6"/>
        <v/>
      </c>
      <c r="AI45" s="525" t="str">
        <f t="shared" si="7"/>
        <v/>
      </c>
      <c r="AJ45" s="522"/>
      <c r="AK45" s="522" t="s">
        <v>315</v>
      </c>
      <c r="AL45" s="526" t="str">
        <f t="shared" si="8"/>
        <v/>
      </c>
      <c r="AM45" s="526" t="str">
        <f t="shared" si="9"/>
        <v/>
      </c>
      <c r="AN45" s="526" t="str">
        <f t="shared" si="10"/>
        <v/>
      </c>
      <c r="AO45" s="526" t="str">
        <f t="shared" si="11"/>
        <v/>
      </c>
    </row>
    <row r="46" spans="1:41" x14ac:dyDescent="0.25">
      <c r="A46" s="2">
        <v>5176376</v>
      </c>
      <c r="B46" s="522" t="s">
        <v>312</v>
      </c>
      <c r="C46" s="522">
        <v>2018</v>
      </c>
      <c r="D46" s="522" t="s">
        <v>297</v>
      </c>
      <c r="E46" s="522" t="s">
        <v>333</v>
      </c>
      <c r="F46" s="522" t="s">
        <v>299</v>
      </c>
      <c r="G46" s="522"/>
      <c r="H46" s="542" t="s">
        <v>337</v>
      </c>
      <c r="I46" s="542"/>
      <c r="J46" s="2" t="s">
        <v>301</v>
      </c>
      <c r="K46" s="522" t="str">
        <f t="shared" si="12"/>
        <v>12-hr TWA</v>
      </c>
      <c r="L46" s="522" t="s">
        <v>302</v>
      </c>
      <c r="M46" s="535">
        <v>40072</v>
      </c>
      <c r="N46" s="2">
        <v>720</v>
      </c>
      <c r="O46" s="2">
        <v>1</v>
      </c>
      <c r="P46" s="2"/>
      <c r="Q46" s="2"/>
      <c r="R46" s="2"/>
      <c r="S46" s="2"/>
      <c r="T46" s="2"/>
      <c r="U46" s="2"/>
      <c r="V46" s="2"/>
      <c r="W46" s="2">
        <v>4.2999999999999997E-2</v>
      </c>
      <c r="X46" s="2" t="str">
        <f t="shared" si="0"/>
        <v/>
      </c>
      <c r="Y46" s="524">
        <f t="shared" si="1"/>
        <v>2.1499999999999998E-2</v>
      </c>
      <c r="Z46" s="2"/>
      <c r="AA46" s="2"/>
      <c r="AB46" s="2"/>
      <c r="AC46" s="2"/>
      <c r="AD46" s="536">
        <f t="shared" si="13"/>
        <v>0.27052188139059302</v>
      </c>
      <c r="AE46" s="536" t="str">
        <f t="shared" si="3"/>
        <v/>
      </c>
      <c r="AF46" s="536">
        <f t="shared" si="4"/>
        <v>0.13526094069529651</v>
      </c>
      <c r="AG46" s="537" t="str">
        <f t="shared" si="5"/>
        <v/>
      </c>
      <c r="AH46" s="537" t="str">
        <f t="shared" si="6"/>
        <v/>
      </c>
      <c r="AI46" s="525" t="str">
        <f t="shared" si="7"/>
        <v/>
      </c>
      <c r="AJ46" s="522"/>
      <c r="AK46" s="522" t="s">
        <v>315</v>
      </c>
      <c r="AL46" s="526" t="str">
        <f t="shared" si="8"/>
        <v/>
      </c>
      <c r="AM46" s="526" t="str">
        <f t="shared" si="9"/>
        <v/>
      </c>
      <c r="AN46" s="526" t="str">
        <f t="shared" si="10"/>
        <v/>
      </c>
      <c r="AO46" s="526" t="str">
        <f t="shared" si="11"/>
        <v/>
      </c>
    </row>
    <row r="47" spans="1:41" x14ac:dyDescent="0.25">
      <c r="A47" s="2">
        <v>5176376</v>
      </c>
      <c r="B47" s="522" t="s">
        <v>312</v>
      </c>
      <c r="C47" s="522">
        <v>2018</v>
      </c>
      <c r="D47" s="522" t="s">
        <v>297</v>
      </c>
      <c r="E47" s="522" t="s">
        <v>333</v>
      </c>
      <c r="F47" s="522" t="s">
        <v>299</v>
      </c>
      <c r="G47" s="522"/>
      <c r="H47" s="542" t="s">
        <v>338</v>
      </c>
      <c r="I47" s="542"/>
      <c r="J47" s="2" t="s">
        <v>301</v>
      </c>
      <c r="K47" s="522" t="str">
        <f t="shared" si="12"/>
        <v>12-hr TWA</v>
      </c>
      <c r="L47" s="522" t="s">
        <v>302</v>
      </c>
      <c r="M47" s="535">
        <v>41065</v>
      </c>
      <c r="N47" s="2">
        <v>720</v>
      </c>
      <c r="O47" s="2">
        <v>1</v>
      </c>
      <c r="P47" s="2"/>
      <c r="Q47" s="2"/>
      <c r="R47" s="2"/>
      <c r="S47" s="2"/>
      <c r="T47" s="2"/>
      <c r="U47" s="2"/>
      <c r="V47" s="2"/>
      <c r="W47" s="2">
        <v>4.3999999999999997E-2</v>
      </c>
      <c r="X47" s="2" t="str">
        <f t="shared" si="0"/>
        <v/>
      </c>
      <c r="Y47" s="2">
        <f t="shared" si="1"/>
        <v>2.1999999999999999E-2</v>
      </c>
      <c r="Z47" s="2"/>
      <c r="AA47" s="2"/>
      <c r="AB47" s="2"/>
      <c r="AC47" s="2"/>
      <c r="AD47" s="536">
        <f t="shared" si="13"/>
        <v>0.27681308793456033</v>
      </c>
      <c r="AE47" s="536" t="str">
        <f t="shared" si="3"/>
        <v/>
      </c>
      <c r="AF47" s="536">
        <f t="shared" si="4"/>
        <v>0.13840654396728017</v>
      </c>
      <c r="AG47" s="537" t="str">
        <f t="shared" si="5"/>
        <v/>
      </c>
      <c r="AH47" s="537" t="str">
        <f t="shared" si="6"/>
        <v/>
      </c>
      <c r="AI47" s="525" t="str">
        <f t="shared" si="7"/>
        <v/>
      </c>
      <c r="AJ47" s="522"/>
      <c r="AK47" s="522" t="s">
        <v>315</v>
      </c>
      <c r="AL47" s="526" t="str">
        <f t="shared" si="8"/>
        <v/>
      </c>
      <c r="AM47" s="526" t="str">
        <f t="shared" si="9"/>
        <v/>
      </c>
      <c r="AN47" s="526" t="str">
        <f t="shared" si="10"/>
        <v/>
      </c>
      <c r="AO47" s="526" t="str">
        <f t="shared" si="11"/>
        <v/>
      </c>
    </row>
    <row r="48" spans="1:41" x14ac:dyDescent="0.25">
      <c r="A48" s="2">
        <v>5176376</v>
      </c>
      <c r="B48" s="522" t="s">
        <v>312</v>
      </c>
      <c r="C48" s="522">
        <v>2018</v>
      </c>
      <c r="D48" s="522" t="s">
        <v>297</v>
      </c>
      <c r="E48" s="522" t="s">
        <v>333</v>
      </c>
      <c r="F48" s="522" t="s">
        <v>299</v>
      </c>
      <c r="G48" s="522"/>
      <c r="H48" s="542" t="s">
        <v>334</v>
      </c>
      <c r="I48" s="542"/>
      <c r="J48" s="2" t="s">
        <v>301</v>
      </c>
      <c r="K48" s="522" t="str">
        <f t="shared" si="12"/>
        <v>12-hr TWA</v>
      </c>
      <c r="L48" s="522" t="s">
        <v>302</v>
      </c>
      <c r="M48" s="535">
        <v>40234</v>
      </c>
      <c r="N48" s="2">
        <v>720</v>
      </c>
      <c r="O48" s="2">
        <v>1</v>
      </c>
      <c r="P48" s="2"/>
      <c r="Q48" s="2"/>
      <c r="R48" s="2"/>
      <c r="S48" s="2"/>
      <c r="T48" s="2"/>
      <c r="U48" s="2"/>
      <c r="V48" s="2"/>
      <c r="W48" s="2">
        <v>4.4999999999999998E-2</v>
      </c>
      <c r="X48" s="2" t="str">
        <f t="shared" si="0"/>
        <v/>
      </c>
      <c r="Y48" s="524">
        <f t="shared" si="1"/>
        <v>2.2499999999999999E-2</v>
      </c>
      <c r="Z48" s="2"/>
      <c r="AA48" s="2"/>
      <c r="AB48" s="2"/>
      <c r="AC48" s="2"/>
      <c r="AD48" s="536">
        <f t="shared" si="13"/>
        <v>0.28310429447852758</v>
      </c>
      <c r="AE48" s="537" t="str">
        <f t="shared" si="3"/>
        <v/>
      </c>
      <c r="AF48" s="536">
        <f t="shared" si="4"/>
        <v>0.14155214723926379</v>
      </c>
      <c r="AG48" s="537" t="str">
        <f t="shared" si="5"/>
        <v/>
      </c>
      <c r="AH48" s="537" t="str">
        <f t="shared" si="6"/>
        <v/>
      </c>
      <c r="AI48" s="525" t="str">
        <f t="shared" si="7"/>
        <v/>
      </c>
      <c r="AJ48" s="522"/>
      <c r="AK48" s="522" t="s">
        <v>315</v>
      </c>
      <c r="AL48" s="526" t="str">
        <f t="shared" si="8"/>
        <v/>
      </c>
      <c r="AM48" s="526" t="str">
        <f t="shared" si="9"/>
        <v/>
      </c>
      <c r="AN48" s="526" t="str">
        <f t="shared" si="10"/>
        <v/>
      </c>
      <c r="AO48" s="526" t="str">
        <f t="shared" si="11"/>
        <v/>
      </c>
    </row>
    <row r="49" spans="1:41" x14ac:dyDescent="0.25">
      <c r="A49" s="2">
        <v>5176376</v>
      </c>
      <c r="B49" s="522" t="s">
        <v>312</v>
      </c>
      <c r="C49" s="522">
        <v>2018</v>
      </c>
      <c r="D49" s="522" t="s">
        <v>297</v>
      </c>
      <c r="E49" s="522" t="s">
        <v>333</v>
      </c>
      <c r="F49" s="522" t="s">
        <v>299</v>
      </c>
      <c r="G49" s="522"/>
      <c r="H49" s="542" t="s">
        <v>334</v>
      </c>
      <c r="I49" s="542"/>
      <c r="J49" s="2" t="s">
        <v>301</v>
      </c>
      <c r="K49" s="522" t="str">
        <f t="shared" si="12"/>
        <v>12-hr TWA</v>
      </c>
      <c r="L49" s="522" t="s">
        <v>302</v>
      </c>
      <c r="M49" s="535">
        <v>40437</v>
      </c>
      <c r="N49" s="2">
        <v>720</v>
      </c>
      <c r="O49" s="2">
        <v>1</v>
      </c>
      <c r="P49" s="2"/>
      <c r="Q49" s="2"/>
      <c r="R49" s="2"/>
      <c r="S49" s="2"/>
      <c r="T49" s="2"/>
      <c r="U49" s="2"/>
      <c r="V49" s="2"/>
      <c r="W49" s="2">
        <v>4.4999999999999998E-2</v>
      </c>
      <c r="X49" s="2" t="str">
        <f t="shared" si="0"/>
        <v/>
      </c>
      <c r="Y49" s="524">
        <f t="shared" si="1"/>
        <v>2.2499999999999999E-2</v>
      </c>
      <c r="Z49" s="2"/>
      <c r="AA49" s="2"/>
      <c r="AB49" s="2"/>
      <c r="AC49" s="2"/>
      <c r="AD49" s="536">
        <f t="shared" si="13"/>
        <v>0.28310429447852758</v>
      </c>
      <c r="AE49" s="537" t="str">
        <f t="shared" si="3"/>
        <v/>
      </c>
      <c r="AF49" s="536">
        <f t="shared" si="4"/>
        <v>0.14155214723926379</v>
      </c>
      <c r="AG49" s="537" t="str">
        <f t="shared" si="5"/>
        <v/>
      </c>
      <c r="AH49" s="537" t="str">
        <f t="shared" si="6"/>
        <v/>
      </c>
      <c r="AI49" s="525" t="str">
        <f t="shared" si="7"/>
        <v/>
      </c>
      <c r="AJ49" s="522"/>
      <c r="AK49" s="522" t="s">
        <v>315</v>
      </c>
      <c r="AL49" s="526" t="str">
        <f t="shared" si="8"/>
        <v/>
      </c>
      <c r="AM49" s="526" t="str">
        <f t="shared" si="9"/>
        <v/>
      </c>
      <c r="AN49" s="526" t="str">
        <f t="shared" si="10"/>
        <v/>
      </c>
      <c r="AO49" s="526" t="str">
        <f t="shared" si="11"/>
        <v/>
      </c>
    </row>
    <row r="50" spans="1:41" x14ac:dyDescent="0.25">
      <c r="A50" s="2">
        <v>5176376</v>
      </c>
      <c r="B50" s="522" t="s">
        <v>312</v>
      </c>
      <c r="C50" s="522">
        <v>2018</v>
      </c>
      <c r="D50" s="522" t="s">
        <v>297</v>
      </c>
      <c r="E50" s="522" t="s">
        <v>333</v>
      </c>
      <c r="F50" s="522" t="s">
        <v>299</v>
      </c>
      <c r="G50" s="522"/>
      <c r="H50" s="542" t="s">
        <v>334</v>
      </c>
      <c r="I50" s="542"/>
      <c r="J50" s="2" t="s">
        <v>301</v>
      </c>
      <c r="K50" s="522" t="str">
        <f t="shared" si="12"/>
        <v>12-hr TWA</v>
      </c>
      <c r="L50" s="522" t="s">
        <v>302</v>
      </c>
      <c r="M50" s="535">
        <v>40793</v>
      </c>
      <c r="N50" s="2">
        <v>720</v>
      </c>
      <c r="O50" s="2">
        <v>1</v>
      </c>
      <c r="P50" s="2"/>
      <c r="Q50" s="2"/>
      <c r="R50" s="2"/>
      <c r="S50" s="2"/>
      <c r="T50" s="2"/>
      <c r="U50" s="2"/>
      <c r="V50" s="2"/>
      <c r="W50" s="2">
        <v>4.4999999999999998E-2</v>
      </c>
      <c r="X50" s="2" t="str">
        <f t="shared" si="0"/>
        <v/>
      </c>
      <c r="Y50" s="524">
        <f t="shared" si="1"/>
        <v>2.2499999999999999E-2</v>
      </c>
      <c r="Z50" s="2"/>
      <c r="AA50" s="2"/>
      <c r="AB50" s="2"/>
      <c r="AC50" s="2"/>
      <c r="AD50" s="536">
        <f t="shared" si="13"/>
        <v>0.28310429447852758</v>
      </c>
      <c r="AE50" s="537" t="str">
        <f t="shared" si="3"/>
        <v/>
      </c>
      <c r="AF50" s="536">
        <f t="shared" si="4"/>
        <v>0.14155214723926379</v>
      </c>
      <c r="AG50" s="537" t="str">
        <f t="shared" si="5"/>
        <v/>
      </c>
      <c r="AH50" s="537" t="str">
        <f t="shared" si="6"/>
        <v/>
      </c>
      <c r="AI50" s="525" t="str">
        <f t="shared" si="7"/>
        <v/>
      </c>
      <c r="AJ50" s="522"/>
      <c r="AK50" s="522" t="s">
        <v>315</v>
      </c>
      <c r="AL50" s="526" t="str">
        <f t="shared" si="8"/>
        <v/>
      </c>
      <c r="AM50" s="526" t="str">
        <f t="shared" si="9"/>
        <v/>
      </c>
      <c r="AN50" s="526" t="str">
        <f t="shared" si="10"/>
        <v/>
      </c>
      <c r="AO50" s="526" t="str">
        <f t="shared" si="11"/>
        <v/>
      </c>
    </row>
    <row r="51" spans="1:41" x14ac:dyDescent="0.25">
      <c r="A51" s="2">
        <v>5176376</v>
      </c>
      <c r="B51" s="522" t="s">
        <v>312</v>
      </c>
      <c r="C51" s="522">
        <v>2018</v>
      </c>
      <c r="D51" s="522" t="s">
        <v>297</v>
      </c>
      <c r="E51" s="522" t="s">
        <v>333</v>
      </c>
      <c r="F51" s="522" t="s">
        <v>299</v>
      </c>
      <c r="G51" s="522"/>
      <c r="H51" s="542" t="s">
        <v>339</v>
      </c>
      <c r="I51" s="542"/>
      <c r="J51" s="2" t="s">
        <v>301</v>
      </c>
      <c r="K51" s="522" t="str">
        <f t="shared" si="12"/>
        <v>12-hr TWA</v>
      </c>
      <c r="L51" s="522" t="s">
        <v>302</v>
      </c>
      <c r="M51" s="535">
        <v>40308</v>
      </c>
      <c r="N51" s="2">
        <v>720</v>
      </c>
      <c r="O51" s="2">
        <v>1</v>
      </c>
      <c r="P51" s="2"/>
      <c r="Q51" s="2"/>
      <c r="R51" s="2"/>
      <c r="S51" s="2"/>
      <c r="T51" s="2"/>
      <c r="U51" s="2"/>
      <c r="V51" s="2"/>
      <c r="W51" s="2">
        <v>4.4999999999999998E-2</v>
      </c>
      <c r="X51" s="2" t="str">
        <f t="shared" si="0"/>
        <v/>
      </c>
      <c r="Y51" s="524">
        <f t="shared" si="1"/>
        <v>2.2499999999999999E-2</v>
      </c>
      <c r="Z51" s="2"/>
      <c r="AA51" s="2"/>
      <c r="AB51" s="2"/>
      <c r="AC51" s="2"/>
      <c r="AD51" s="536">
        <f t="shared" si="13"/>
        <v>0.28310429447852758</v>
      </c>
      <c r="AE51" s="537" t="str">
        <f t="shared" si="3"/>
        <v/>
      </c>
      <c r="AF51" s="536">
        <f t="shared" si="4"/>
        <v>0.14155214723926379</v>
      </c>
      <c r="AG51" s="537" t="str">
        <f t="shared" si="5"/>
        <v/>
      </c>
      <c r="AH51" s="537" t="str">
        <f t="shared" si="6"/>
        <v/>
      </c>
      <c r="AI51" s="525" t="str">
        <f t="shared" si="7"/>
        <v/>
      </c>
      <c r="AJ51" s="522"/>
      <c r="AK51" s="522" t="s">
        <v>315</v>
      </c>
      <c r="AL51" s="526" t="str">
        <f t="shared" si="8"/>
        <v/>
      </c>
      <c r="AM51" s="526" t="str">
        <f t="shared" si="9"/>
        <v/>
      </c>
      <c r="AN51" s="526" t="str">
        <f t="shared" si="10"/>
        <v/>
      </c>
      <c r="AO51" s="526" t="str">
        <f t="shared" si="11"/>
        <v/>
      </c>
    </row>
    <row r="52" spans="1:41" x14ac:dyDescent="0.25">
      <c r="A52" s="2">
        <v>5176376</v>
      </c>
      <c r="B52" s="522" t="s">
        <v>312</v>
      </c>
      <c r="C52" s="522">
        <v>2018</v>
      </c>
      <c r="D52" s="522" t="s">
        <v>297</v>
      </c>
      <c r="E52" s="522" t="s">
        <v>333</v>
      </c>
      <c r="F52" s="522" t="s">
        <v>299</v>
      </c>
      <c r="G52" s="522"/>
      <c r="H52" s="542" t="s">
        <v>338</v>
      </c>
      <c r="I52" s="542"/>
      <c r="J52" s="2" t="s">
        <v>301</v>
      </c>
      <c r="K52" s="522" t="str">
        <f t="shared" si="12"/>
        <v>12-hr TWA</v>
      </c>
      <c r="L52" s="522" t="s">
        <v>302</v>
      </c>
      <c r="M52" s="535">
        <v>41193</v>
      </c>
      <c r="N52" s="2">
        <v>720</v>
      </c>
      <c r="O52" s="2">
        <v>1</v>
      </c>
      <c r="P52" s="2"/>
      <c r="Q52" s="2"/>
      <c r="R52" s="2"/>
      <c r="S52" s="2"/>
      <c r="T52" s="2"/>
      <c r="U52" s="2"/>
      <c r="V52" s="2"/>
      <c r="W52" s="2">
        <v>4.4999999999999998E-2</v>
      </c>
      <c r="X52" s="2" t="str">
        <f t="shared" si="0"/>
        <v/>
      </c>
      <c r="Y52" s="524">
        <f t="shared" si="1"/>
        <v>2.2499999999999999E-2</v>
      </c>
      <c r="Z52" s="2"/>
      <c r="AA52" s="2"/>
      <c r="AB52" s="2"/>
      <c r="AC52" s="2"/>
      <c r="AD52" s="536">
        <f t="shared" si="13"/>
        <v>0.28310429447852758</v>
      </c>
      <c r="AE52" s="537" t="str">
        <f t="shared" si="3"/>
        <v/>
      </c>
      <c r="AF52" s="536">
        <f t="shared" si="4"/>
        <v>0.14155214723926379</v>
      </c>
      <c r="AG52" s="537" t="str">
        <f t="shared" si="5"/>
        <v/>
      </c>
      <c r="AH52" s="537" t="str">
        <f t="shared" si="6"/>
        <v/>
      </c>
      <c r="AI52" s="525" t="str">
        <f t="shared" si="7"/>
        <v/>
      </c>
      <c r="AJ52" s="522"/>
      <c r="AK52" s="522" t="s">
        <v>315</v>
      </c>
      <c r="AL52" s="526" t="str">
        <f t="shared" si="8"/>
        <v/>
      </c>
      <c r="AM52" s="526" t="str">
        <f t="shared" si="9"/>
        <v/>
      </c>
      <c r="AN52" s="526" t="str">
        <f t="shared" si="10"/>
        <v/>
      </c>
      <c r="AO52" s="526" t="str">
        <f t="shared" si="11"/>
        <v/>
      </c>
    </row>
    <row r="53" spans="1:41" x14ac:dyDescent="0.25">
      <c r="A53" s="2">
        <v>5176376</v>
      </c>
      <c r="B53" s="522" t="s">
        <v>312</v>
      </c>
      <c r="C53" s="522">
        <v>2018</v>
      </c>
      <c r="D53" s="522" t="s">
        <v>297</v>
      </c>
      <c r="E53" s="522" t="s">
        <v>333</v>
      </c>
      <c r="F53" s="522" t="s">
        <v>299</v>
      </c>
      <c r="G53" s="522"/>
      <c r="H53" s="542" t="s">
        <v>340</v>
      </c>
      <c r="I53" s="542"/>
      <c r="J53" s="2" t="s">
        <v>301</v>
      </c>
      <c r="K53" s="522" t="str">
        <f t="shared" si="12"/>
        <v>12-hr TWA</v>
      </c>
      <c r="L53" s="522" t="s">
        <v>302</v>
      </c>
      <c r="M53" s="535">
        <v>41933</v>
      </c>
      <c r="N53" s="2">
        <v>720</v>
      </c>
      <c r="O53" s="2">
        <v>1</v>
      </c>
      <c r="P53" s="2"/>
      <c r="Q53" s="2"/>
      <c r="R53" s="2"/>
      <c r="S53" s="2"/>
      <c r="T53" s="2"/>
      <c r="U53" s="2"/>
      <c r="V53" s="2"/>
      <c r="W53" s="2">
        <v>4.5999999999999999E-2</v>
      </c>
      <c r="X53" s="2" t="str">
        <f t="shared" si="0"/>
        <v/>
      </c>
      <c r="Y53" s="2">
        <f t="shared" si="1"/>
        <v>2.3E-2</v>
      </c>
      <c r="Z53" s="2"/>
      <c r="AA53" s="2"/>
      <c r="AB53" s="2"/>
      <c r="AC53" s="2"/>
      <c r="AD53" s="536">
        <f t="shared" si="13"/>
        <v>0.28939550102249489</v>
      </c>
      <c r="AE53" s="537" t="str">
        <f t="shared" si="3"/>
        <v/>
      </c>
      <c r="AF53" s="536">
        <f t="shared" si="4"/>
        <v>0.14469775051124745</v>
      </c>
      <c r="AG53" s="537" t="str">
        <f t="shared" si="5"/>
        <v/>
      </c>
      <c r="AH53" s="537" t="str">
        <f t="shared" si="6"/>
        <v/>
      </c>
      <c r="AI53" s="525" t="str">
        <f t="shared" si="7"/>
        <v/>
      </c>
      <c r="AJ53" s="522"/>
      <c r="AK53" s="522" t="s">
        <v>315</v>
      </c>
      <c r="AL53" s="526" t="str">
        <f t="shared" si="8"/>
        <v/>
      </c>
      <c r="AM53" s="526" t="str">
        <f t="shared" si="9"/>
        <v/>
      </c>
      <c r="AN53" s="526" t="str">
        <f t="shared" si="10"/>
        <v/>
      </c>
      <c r="AO53" s="526" t="str">
        <f t="shared" si="11"/>
        <v/>
      </c>
    </row>
    <row r="54" spans="1:41" x14ac:dyDescent="0.25">
      <c r="A54" s="2">
        <v>5176376</v>
      </c>
      <c r="B54" s="522" t="s">
        <v>312</v>
      </c>
      <c r="C54" s="522">
        <v>2018</v>
      </c>
      <c r="D54" s="522" t="s">
        <v>297</v>
      </c>
      <c r="E54" s="522" t="s">
        <v>333</v>
      </c>
      <c r="F54" s="522" t="s">
        <v>299</v>
      </c>
      <c r="G54" s="522"/>
      <c r="H54" s="542" t="s">
        <v>337</v>
      </c>
      <c r="I54" s="542"/>
      <c r="J54" s="2" t="s">
        <v>301</v>
      </c>
      <c r="K54" s="522" t="str">
        <f t="shared" si="12"/>
        <v>12-hr TWA</v>
      </c>
      <c r="L54" s="522" t="s">
        <v>302</v>
      </c>
      <c r="M54" s="535">
        <v>41795</v>
      </c>
      <c r="N54" s="2">
        <v>660</v>
      </c>
      <c r="O54" s="2">
        <v>1</v>
      </c>
      <c r="P54" s="2"/>
      <c r="Q54" s="2"/>
      <c r="R54" s="2"/>
      <c r="S54" s="2"/>
      <c r="T54" s="2"/>
      <c r="U54" s="2"/>
      <c r="V54" s="2"/>
      <c r="W54" s="2">
        <v>4.8000000000000001E-2</v>
      </c>
      <c r="X54" s="2" t="str">
        <f t="shared" si="0"/>
        <v/>
      </c>
      <c r="Y54" s="2">
        <f t="shared" si="1"/>
        <v>2.1999999999999999E-2</v>
      </c>
      <c r="Z54" s="2"/>
      <c r="AA54" s="2"/>
      <c r="AB54" s="2"/>
      <c r="AC54" s="2"/>
      <c r="AD54" s="536">
        <f t="shared" si="13"/>
        <v>0.30197791411042946</v>
      </c>
      <c r="AE54" s="537" t="str">
        <f t="shared" si="3"/>
        <v/>
      </c>
      <c r="AF54" s="536">
        <f t="shared" si="4"/>
        <v>0.13840654396728017</v>
      </c>
      <c r="AG54" s="537" t="str">
        <f t="shared" si="5"/>
        <v/>
      </c>
      <c r="AH54" s="537" t="str">
        <f t="shared" si="6"/>
        <v/>
      </c>
      <c r="AI54" s="525" t="str">
        <f t="shared" si="7"/>
        <v/>
      </c>
      <c r="AJ54" s="522"/>
      <c r="AK54" s="522" t="s">
        <v>315</v>
      </c>
      <c r="AL54" s="526" t="str">
        <f t="shared" si="8"/>
        <v/>
      </c>
      <c r="AM54" s="526" t="str">
        <f t="shared" si="9"/>
        <v/>
      </c>
      <c r="AN54" s="526" t="str">
        <f t="shared" si="10"/>
        <v/>
      </c>
      <c r="AO54" s="526" t="str">
        <f t="shared" si="11"/>
        <v/>
      </c>
    </row>
    <row r="55" spans="1:41" x14ac:dyDescent="0.25">
      <c r="A55" s="2">
        <v>5176376</v>
      </c>
      <c r="B55" s="522" t="s">
        <v>312</v>
      </c>
      <c r="C55" s="522">
        <v>2018</v>
      </c>
      <c r="D55" s="522" t="s">
        <v>297</v>
      </c>
      <c r="E55" s="522" t="s">
        <v>333</v>
      </c>
      <c r="F55" s="522" t="s">
        <v>299</v>
      </c>
      <c r="G55" s="522"/>
      <c r="H55" s="542" t="s">
        <v>337</v>
      </c>
      <c r="I55" s="542"/>
      <c r="J55" s="2" t="s">
        <v>301</v>
      </c>
      <c r="K55" s="522" t="str">
        <f t="shared" si="12"/>
        <v>12-hr TWA</v>
      </c>
      <c r="L55" s="522" t="s">
        <v>302</v>
      </c>
      <c r="M55" s="535">
        <v>41876</v>
      </c>
      <c r="N55" s="2">
        <v>720</v>
      </c>
      <c r="O55" s="2">
        <v>1</v>
      </c>
      <c r="P55" s="2"/>
      <c r="Q55" s="2"/>
      <c r="R55" s="2"/>
      <c r="S55" s="2"/>
      <c r="T55" s="2"/>
      <c r="U55" s="2"/>
      <c r="V55" s="2"/>
      <c r="W55" s="2">
        <v>4.8000000000000001E-2</v>
      </c>
      <c r="X55" s="2" t="str">
        <f t="shared" si="0"/>
        <v/>
      </c>
      <c r="Y55" s="2">
        <f t="shared" si="1"/>
        <v>2.4E-2</v>
      </c>
      <c r="Z55" s="2"/>
      <c r="AA55" s="2"/>
      <c r="AB55" s="2"/>
      <c r="AC55" s="2"/>
      <c r="AD55" s="536">
        <f t="shared" si="13"/>
        <v>0.30197791411042946</v>
      </c>
      <c r="AE55" s="537" t="str">
        <f t="shared" si="3"/>
        <v/>
      </c>
      <c r="AF55" s="536">
        <f t="shared" si="4"/>
        <v>0.15098895705521473</v>
      </c>
      <c r="AG55" s="537" t="str">
        <f t="shared" si="5"/>
        <v/>
      </c>
      <c r="AH55" s="537" t="str">
        <f t="shared" si="6"/>
        <v/>
      </c>
      <c r="AI55" s="525" t="str">
        <f t="shared" si="7"/>
        <v/>
      </c>
      <c r="AJ55" s="522"/>
      <c r="AK55" s="522" t="s">
        <v>315</v>
      </c>
      <c r="AL55" s="526" t="str">
        <f t="shared" si="8"/>
        <v/>
      </c>
      <c r="AM55" s="526" t="str">
        <f t="shared" si="9"/>
        <v/>
      </c>
      <c r="AN55" s="526" t="str">
        <f t="shared" si="10"/>
        <v/>
      </c>
      <c r="AO55" s="526" t="str">
        <f t="shared" si="11"/>
        <v/>
      </c>
    </row>
    <row r="56" spans="1:41" x14ac:dyDescent="0.25">
      <c r="A56" s="2">
        <v>5176376</v>
      </c>
      <c r="B56" s="522" t="s">
        <v>312</v>
      </c>
      <c r="C56" s="522">
        <v>2018</v>
      </c>
      <c r="D56" s="522" t="s">
        <v>297</v>
      </c>
      <c r="E56" s="522" t="s">
        <v>333</v>
      </c>
      <c r="F56" s="522" t="s">
        <v>299</v>
      </c>
      <c r="G56" s="522"/>
      <c r="H56" s="542" t="s">
        <v>340</v>
      </c>
      <c r="I56" s="542"/>
      <c r="J56" s="2" t="s">
        <v>301</v>
      </c>
      <c r="K56" s="522" t="str">
        <f t="shared" si="12"/>
        <v>12-hr TWA</v>
      </c>
      <c r="L56" s="522" t="s">
        <v>302</v>
      </c>
      <c r="M56" s="535">
        <v>41688</v>
      </c>
      <c r="N56" s="2">
        <v>720</v>
      </c>
      <c r="O56" s="2">
        <v>1</v>
      </c>
      <c r="P56" s="2"/>
      <c r="Q56" s="2"/>
      <c r="R56" s="2"/>
      <c r="S56" s="2"/>
      <c r="T56" s="2"/>
      <c r="U56" s="2"/>
      <c r="V56" s="2"/>
      <c r="W56" s="2">
        <v>4.8000000000000001E-2</v>
      </c>
      <c r="X56" s="2" t="str">
        <f t="shared" si="0"/>
        <v/>
      </c>
      <c r="Y56" s="2">
        <f t="shared" si="1"/>
        <v>2.4E-2</v>
      </c>
      <c r="Z56" s="2"/>
      <c r="AA56" s="2"/>
      <c r="AB56" s="2"/>
      <c r="AC56" s="2"/>
      <c r="AD56" s="536">
        <f t="shared" si="13"/>
        <v>0.30197791411042946</v>
      </c>
      <c r="AE56" s="537" t="str">
        <f t="shared" si="3"/>
        <v/>
      </c>
      <c r="AF56" s="536">
        <f t="shared" si="4"/>
        <v>0.15098895705521473</v>
      </c>
      <c r="AG56" s="537" t="str">
        <f t="shared" si="5"/>
        <v/>
      </c>
      <c r="AH56" s="537" t="str">
        <f t="shared" si="6"/>
        <v/>
      </c>
      <c r="AI56" s="525" t="str">
        <f t="shared" si="7"/>
        <v/>
      </c>
      <c r="AJ56" s="522"/>
      <c r="AK56" s="522" t="s">
        <v>315</v>
      </c>
      <c r="AL56" s="526" t="str">
        <f t="shared" si="8"/>
        <v/>
      </c>
      <c r="AM56" s="526" t="str">
        <f t="shared" si="9"/>
        <v/>
      </c>
      <c r="AN56" s="526" t="str">
        <f t="shared" si="10"/>
        <v/>
      </c>
      <c r="AO56" s="526" t="str">
        <f t="shared" si="11"/>
        <v/>
      </c>
    </row>
    <row r="57" spans="1:41" x14ac:dyDescent="0.25">
      <c r="A57" s="2">
        <v>5176376</v>
      </c>
      <c r="B57" s="522" t="s">
        <v>312</v>
      </c>
      <c r="C57" s="522">
        <v>2018</v>
      </c>
      <c r="D57" s="522" t="s">
        <v>297</v>
      </c>
      <c r="E57" s="522" t="s">
        <v>333</v>
      </c>
      <c r="F57" s="522" t="s">
        <v>299</v>
      </c>
      <c r="G57" s="522"/>
      <c r="H57" s="542" t="s">
        <v>340</v>
      </c>
      <c r="I57" s="542"/>
      <c r="J57" s="2" t="s">
        <v>301</v>
      </c>
      <c r="K57" s="522" t="str">
        <f t="shared" si="12"/>
        <v>12-hr TWA</v>
      </c>
      <c r="L57" s="522" t="s">
        <v>302</v>
      </c>
      <c r="M57" s="535">
        <v>41877</v>
      </c>
      <c r="N57" s="2">
        <v>660</v>
      </c>
      <c r="O57" s="2">
        <v>1</v>
      </c>
      <c r="P57" s="2"/>
      <c r="Q57" s="2"/>
      <c r="R57" s="2"/>
      <c r="S57" s="2"/>
      <c r="T57" s="2"/>
      <c r="U57" s="2"/>
      <c r="V57" s="2"/>
      <c r="W57" s="2">
        <v>4.8000000000000001E-2</v>
      </c>
      <c r="X57" s="2" t="str">
        <f t="shared" si="0"/>
        <v/>
      </c>
      <c r="Y57" s="2">
        <f t="shared" si="1"/>
        <v>2.1999999999999999E-2</v>
      </c>
      <c r="Z57" s="2"/>
      <c r="AA57" s="2"/>
      <c r="AB57" s="2"/>
      <c r="AC57" s="2"/>
      <c r="AD57" s="536">
        <f t="shared" si="13"/>
        <v>0.30197791411042946</v>
      </c>
      <c r="AE57" s="537" t="str">
        <f t="shared" si="3"/>
        <v/>
      </c>
      <c r="AF57" s="536">
        <f t="shared" si="4"/>
        <v>0.13840654396728017</v>
      </c>
      <c r="AG57" s="537" t="str">
        <f t="shared" si="5"/>
        <v/>
      </c>
      <c r="AH57" s="537" t="str">
        <f t="shared" si="6"/>
        <v/>
      </c>
      <c r="AI57" s="525" t="str">
        <f t="shared" si="7"/>
        <v/>
      </c>
      <c r="AJ57" s="522"/>
      <c r="AK57" s="522" t="s">
        <v>315</v>
      </c>
      <c r="AL57" s="526" t="str">
        <f t="shared" si="8"/>
        <v/>
      </c>
      <c r="AM57" s="526" t="str">
        <f t="shared" si="9"/>
        <v/>
      </c>
      <c r="AN57" s="526" t="str">
        <f t="shared" si="10"/>
        <v/>
      </c>
      <c r="AO57" s="526" t="str">
        <f t="shared" si="11"/>
        <v/>
      </c>
    </row>
    <row r="58" spans="1:41" x14ac:dyDescent="0.25">
      <c r="A58" s="2">
        <v>5176376</v>
      </c>
      <c r="B58" s="522" t="s">
        <v>312</v>
      </c>
      <c r="C58" s="522">
        <v>2018</v>
      </c>
      <c r="D58" s="522" t="s">
        <v>297</v>
      </c>
      <c r="E58" s="522" t="s">
        <v>333</v>
      </c>
      <c r="F58" s="522" t="s">
        <v>299</v>
      </c>
      <c r="G58" s="522"/>
      <c r="H58" s="522" t="s">
        <v>334</v>
      </c>
      <c r="I58" s="522"/>
      <c r="J58" s="2" t="s">
        <v>301</v>
      </c>
      <c r="K58" s="522" t="str">
        <f t="shared" si="12"/>
        <v>12-hr TWA</v>
      </c>
      <c r="L58" s="522" t="s">
        <v>302</v>
      </c>
      <c r="M58" s="535">
        <v>40822</v>
      </c>
      <c r="N58" s="2">
        <v>720</v>
      </c>
      <c r="O58" s="2">
        <v>1</v>
      </c>
      <c r="P58" s="2"/>
      <c r="Q58" s="2"/>
      <c r="R58" s="2"/>
      <c r="S58" s="2"/>
      <c r="T58" s="2"/>
      <c r="U58" s="2"/>
      <c r="V58" s="2"/>
      <c r="W58" s="2">
        <v>5.1999999999999998E-2</v>
      </c>
      <c r="X58" s="2" t="str">
        <f t="shared" si="0"/>
        <v/>
      </c>
      <c r="Y58" s="2">
        <f t="shared" si="1"/>
        <v>5.1999999999999998E-2</v>
      </c>
      <c r="Z58" s="2"/>
      <c r="AA58" s="2"/>
      <c r="AB58" s="2"/>
      <c r="AC58" s="2"/>
      <c r="AD58" s="536">
        <f t="shared" si="13"/>
        <v>0.32714274028629853</v>
      </c>
      <c r="AE58" s="537" t="str">
        <f t="shared" si="3"/>
        <v/>
      </c>
      <c r="AF58" s="536">
        <f t="shared" si="4"/>
        <v>0.32714274028629853</v>
      </c>
      <c r="AG58" s="537" t="str">
        <f t="shared" si="5"/>
        <v/>
      </c>
      <c r="AH58" s="537" t="str">
        <f t="shared" si="6"/>
        <v/>
      </c>
      <c r="AI58" s="525" t="str">
        <f t="shared" si="7"/>
        <v/>
      </c>
      <c r="AJ58" s="522"/>
      <c r="AK58" s="522"/>
      <c r="AL58" s="526" t="str">
        <f t="shared" si="8"/>
        <v/>
      </c>
      <c r="AM58" s="526" t="str">
        <f t="shared" si="9"/>
        <v/>
      </c>
      <c r="AN58" s="526">
        <f t="shared" si="10"/>
        <v>5.1999999999999998E-2</v>
      </c>
      <c r="AO58" s="526">
        <f t="shared" si="11"/>
        <v>-2.9565115604007097</v>
      </c>
    </row>
    <row r="59" spans="1:41" x14ac:dyDescent="0.25">
      <c r="A59" s="2">
        <v>5176376</v>
      </c>
      <c r="B59" s="522" t="s">
        <v>312</v>
      </c>
      <c r="C59" s="522">
        <v>2018</v>
      </c>
      <c r="D59" s="522" t="s">
        <v>297</v>
      </c>
      <c r="E59" s="522" t="s">
        <v>333</v>
      </c>
      <c r="F59" s="522" t="s">
        <v>299</v>
      </c>
      <c r="G59" s="522"/>
      <c r="H59" s="522" t="s">
        <v>334</v>
      </c>
      <c r="I59" s="522"/>
      <c r="J59" s="2" t="s">
        <v>301</v>
      </c>
      <c r="K59" s="522" t="str">
        <f t="shared" si="12"/>
        <v>12-hr TWA</v>
      </c>
      <c r="L59" s="522" t="s">
        <v>302</v>
      </c>
      <c r="M59" s="535">
        <v>40371</v>
      </c>
      <c r="N59" s="2">
        <v>720</v>
      </c>
      <c r="O59" s="2">
        <v>1</v>
      </c>
      <c r="P59" s="2"/>
      <c r="Q59" s="2"/>
      <c r="R59" s="2"/>
      <c r="S59" s="2"/>
      <c r="T59" s="2"/>
      <c r="U59" s="2"/>
      <c r="V59" s="2"/>
      <c r="W59" s="2">
        <v>5.3999999999999999E-2</v>
      </c>
      <c r="X59" s="2" t="str">
        <f t="shared" si="0"/>
        <v/>
      </c>
      <c r="Y59" s="2">
        <f t="shared" si="1"/>
        <v>5.3999999999999999E-2</v>
      </c>
      <c r="Z59" s="2"/>
      <c r="AA59" s="2"/>
      <c r="AB59" s="2"/>
      <c r="AC59" s="2"/>
      <c r="AD59" s="536">
        <f t="shared" si="13"/>
        <v>0.33972515337423309</v>
      </c>
      <c r="AE59" s="537" t="str">
        <f t="shared" si="3"/>
        <v/>
      </c>
      <c r="AF59" s="536">
        <f t="shared" si="4"/>
        <v>0.33972515337423309</v>
      </c>
      <c r="AG59" s="537" t="str">
        <f t="shared" si="5"/>
        <v/>
      </c>
      <c r="AH59" s="537" t="str">
        <f t="shared" si="6"/>
        <v/>
      </c>
      <c r="AI59" s="525" t="str">
        <f t="shared" si="7"/>
        <v/>
      </c>
      <c r="AJ59" s="522"/>
      <c r="AK59" s="522"/>
      <c r="AL59" s="526" t="str">
        <f t="shared" si="8"/>
        <v/>
      </c>
      <c r="AM59" s="526"/>
      <c r="AN59" s="526">
        <f t="shared" si="10"/>
        <v>5.3999999999999999E-2</v>
      </c>
      <c r="AO59" s="526">
        <f t="shared" si="11"/>
        <v>-2.9187712324178627</v>
      </c>
    </row>
    <row r="60" spans="1:41" x14ac:dyDescent="0.25">
      <c r="A60" s="3">
        <v>5176376</v>
      </c>
      <c r="B60" s="454" t="s">
        <v>312</v>
      </c>
      <c r="C60" s="454">
        <v>2018</v>
      </c>
      <c r="D60" s="454" t="s">
        <v>297</v>
      </c>
      <c r="E60" s="454" t="s">
        <v>333</v>
      </c>
      <c r="F60" s="454" t="s">
        <v>299</v>
      </c>
      <c r="G60" s="454"/>
      <c r="H60" s="454" t="s">
        <v>341</v>
      </c>
      <c r="I60" s="454"/>
      <c r="J60" s="3" t="s">
        <v>41</v>
      </c>
      <c r="K60" s="454" t="str">
        <f t="shared" si="12"/>
        <v>8-hr TWA</v>
      </c>
      <c r="L60" s="454" t="s">
        <v>302</v>
      </c>
      <c r="M60" s="572">
        <v>42537</v>
      </c>
      <c r="N60" s="3">
        <v>500</v>
      </c>
      <c r="O60" s="3">
        <v>1</v>
      </c>
      <c r="P60" s="3"/>
      <c r="Q60" s="3"/>
      <c r="R60" s="3"/>
      <c r="S60" s="3"/>
      <c r="T60" s="3"/>
      <c r="U60" s="3"/>
      <c r="V60" s="3"/>
      <c r="W60" s="3">
        <v>6.3E-2</v>
      </c>
      <c r="X60" s="2"/>
      <c r="Y60" s="3"/>
      <c r="Z60" s="2"/>
      <c r="AA60" s="2"/>
      <c r="AB60" s="2"/>
      <c r="AC60" s="2"/>
      <c r="AD60" s="536">
        <f t="shared" si="13"/>
        <v>0.39634601226993865</v>
      </c>
      <c r="AE60" s="536"/>
      <c r="AF60" s="536"/>
      <c r="AG60" s="537">
        <f t="shared" si="5"/>
        <v>0.39634601226993865</v>
      </c>
      <c r="AH60" s="537" t="str">
        <f t="shared" si="6"/>
        <v/>
      </c>
      <c r="AI60" s="525" t="str">
        <f t="shared" si="7"/>
        <v/>
      </c>
      <c r="AJ60" s="522"/>
      <c r="AK60" s="522" t="s">
        <v>315</v>
      </c>
      <c r="AL60" s="573"/>
      <c r="AM60" s="526"/>
      <c r="AN60" s="526"/>
      <c r="AO60" s="526"/>
    </row>
    <row r="61" spans="1:41" x14ac:dyDescent="0.25">
      <c r="A61" s="3">
        <v>5176376</v>
      </c>
      <c r="B61" s="454" t="s">
        <v>312</v>
      </c>
      <c r="C61" s="454">
        <v>2018</v>
      </c>
      <c r="D61" s="454" t="s">
        <v>297</v>
      </c>
      <c r="E61" s="454" t="s">
        <v>333</v>
      </c>
      <c r="F61" s="454" t="s">
        <v>299</v>
      </c>
      <c r="G61" s="454"/>
      <c r="H61" s="454" t="s">
        <v>341</v>
      </c>
      <c r="I61" s="454"/>
      <c r="J61" s="3" t="s">
        <v>41</v>
      </c>
      <c r="K61" s="454" t="str">
        <f t="shared" si="12"/>
        <v>8-hr TWA</v>
      </c>
      <c r="L61" s="454" t="s">
        <v>302</v>
      </c>
      <c r="M61" s="572">
        <v>42557</v>
      </c>
      <c r="N61" s="3">
        <v>480</v>
      </c>
      <c r="O61" s="3">
        <v>1</v>
      </c>
      <c r="P61" s="3"/>
      <c r="Q61" s="3"/>
      <c r="R61" s="3"/>
      <c r="S61" s="3"/>
      <c r="T61" s="3"/>
      <c r="U61" s="3"/>
      <c r="V61" s="3"/>
      <c r="W61" s="3">
        <v>6.3E-2</v>
      </c>
      <c r="X61" s="2"/>
      <c r="Y61" s="3"/>
      <c r="Z61" s="2"/>
      <c r="AA61" s="2"/>
      <c r="AB61" s="2"/>
      <c r="AC61" s="2"/>
      <c r="AD61" s="536">
        <f t="shared" si="13"/>
        <v>0.39634601226993865</v>
      </c>
      <c r="AE61" s="536"/>
      <c r="AF61" s="536"/>
      <c r="AG61" s="537">
        <f t="shared" si="5"/>
        <v>0.39634601226993865</v>
      </c>
      <c r="AH61" s="537" t="str">
        <f t="shared" si="6"/>
        <v/>
      </c>
      <c r="AI61" s="525" t="str">
        <f t="shared" si="7"/>
        <v/>
      </c>
      <c r="AJ61" s="522"/>
      <c r="AK61" s="522" t="s">
        <v>315</v>
      </c>
      <c r="AL61" s="573"/>
      <c r="AM61" s="526"/>
      <c r="AN61" s="526"/>
      <c r="AO61" s="526"/>
    </row>
    <row r="62" spans="1:41" x14ac:dyDescent="0.25">
      <c r="A62" s="3">
        <v>5176376</v>
      </c>
      <c r="B62" s="454" t="s">
        <v>312</v>
      </c>
      <c r="C62" s="454">
        <v>2018</v>
      </c>
      <c r="D62" s="454" t="s">
        <v>297</v>
      </c>
      <c r="E62" s="454" t="s">
        <v>333</v>
      </c>
      <c r="F62" s="454" t="s">
        <v>299</v>
      </c>
      <c r="G62" s="454"/>
      <c r="H62" s="454" t="s">
        <v>341</v>
      </c>
      <c r="I62" s="454"/>
      <c r="J62" s="3" t="s">
        <v>41</v>
      </c>
      <c r="K62" s="454" t="str">
        <f t="shared" si="12"/>
        <v>8-hr TWA</v>
      </c>
      <c r="L62" s="454" t="s">
        <v>302</v>
      </c>
      <c r="M62" s="572">
        <v>42516</v>
      </c>
      <c r="N62" s="3">
        <v>480</v>
      </c>
      <c r="O62" s="3">
        <v>1</v>
      </c>
      <c r="P62" s="3"/>
      <c r="Q62" s="3"/>
      <c r="R62" s="3"/>
      <c r="S62" s="3"/>
      <c r="T62" s="3"/>
      <c r="U62" s="3"/>
      <c r="V62" s="3"/>
      <c r="W62" s="3">
        <v>6.6000000000000003E-2</v>
      </c>
      <c r="X62" s="2"/>
      <c r="Y62" s="3"/>
      <c r="Z62" s="2"/>
      <c r="AA62" s="2"/>
      <c r="AB62" s="2"/>
      <c r="AC62" s="2"/>
      <c r="AD62" s="536">
        <f t="shared" si="13"/>
        <v>0.41521963190184052</v>
      </c>
      <c r="AE62" s="536"/>
      <c r="AF62" s="536"/>
      <c r="AG62" s="537">
        <f t="shared" si="5"/>
        <v>0.41521963190184052</v>
      </c>
      <c r="AH62" s="537" t="str">
        <f t="shared" si="6"/>
        <v/>
      </c>
      <c r="AI62" s="525" t="str">
        <f t="shared" si="7"/>
        <v/>
      </c>
      <c r="AJ62" s="522"/>
      <c r="AK62" s="522" t="s">
        <v>315</v>
      </c>
      <c r="AL62" s="573"/>
      <c r="AM62" s="526"/>
      <c r="AN62" s="526"/>
      <c r="AO62" s="526"/>
    </row>
    <row r="63" spans="1:41" x14ac:dyDescent="0.25">
      <c r="A63" s="3">
        <v>5176376</v>
      </c>
      <c r="B63" s="454" t="s">
        <v>312</v>
      </c>
      <c r="C63" s="454">
        <v>2018</v>
      </c>
      <c r="D63" s="454" t="s">
        <v>297</v>
      </c>
      <c r="E63" s="454" t="s">
        <v>333</v>
      </c>
      <c r="F63" s="454" t="s">
        <v>299</v>
      </c>
      <c r="G63" s="454"/>
      <c r="H63" s="454" t="s">
        <v>341</v>
      </c>
      <c r="I63" s="454"/>
      <c r="J63" s="3" t="s">
        <v>41</v>
      </c>
      <c r="K63" s="454" t="str">
        <f t="shared" si="12"/>
        <v>8-hr TWA</v>
      </c>
      <c r="L63" s="454" t="s">
        <v>302</v>
      </c>
      <c r="M63" s="572">
        <v>42529</v>
      </c>
      <c r="N63" s="3">
        <v>480</v>
      </c>
      <c r="O63" s="3">
        <v>1</v>
      </c>
      <c r="P63" s="3"/>
      <c r="Q63" s="3"/>
      <c r="R63" s="3"/>
      <c r="S63" s="3"/>
      <c r="T63" s="3"/>
      <c r="U63" s="3"/>
      <c r="V63" s="3"/>
      <c r="W63" s="3">
        <v>6.6000000000000003E-2</v>
      </c>
      <c r="X63" s="2"/>
      <c r="Y63" s="3"/>
      <c r="Z63" s="2"/>
      <c r="AA63" s="2"/>
      <c r="AB63" s="2"/>
      <c r="AC63" s="2"/>
      <c r="AD63" s="536">
        <f t="shared" si="13"/>
        <v>0.41521963190184052</v>
      </c>
      <c r="AE63" s="536"/>
      <c r="AF63" s="536"/>
      <c r="AG63" s="537">
        <f t="shared" si="5"/>
        <v>0.41521963190184052</v>
      </c>
      <c r="AH63" s="537" t="str">
        <f t="shared" si="6"/>
        <v/>
      </c>
      <c r="AI63" s="525" t="str">
        <f t="shared" si="7"/>
        <v/>
      </c>
      <c r="AJ63" s="522"/>
      <c r="AK63" s="522" t="s">
        <v>315</v>
      </c>
      <c r="AL63" s="573"/>
      <c r="AM63" s="526"/>
      <c r="AN63" s="526"/>
      <c r="AO63" s="526"/>
    </row>
    <row r="64" spans="1:41" x14ac:dyDescent="0.25">
      <c r="A64" s="3">
        <v>5176376</v>
      </c>
      <c r="B64" s="454" t="s">
        <v>312</v>
      </c>
      <c r="C64" s="454">
        <v>2018</v>
      </c>
      <c r="D64" s="454" t="s">
        <v>297</v>
      </c>
      <c r="E64" s="454" t="s">
        <v>333</v>
      </c>
      <c r="F64" s="454" t="s">
        <v>299</v>
      </c>
      <c r="G64" s="454"/>
      <c r="H64" s="454" t="s">
        <v>341</v>
      </c>
      <c r="I64" s="454"/>
      <c r="J64" s="3" t="s">
        <v>41</v>
      </c>
      <c r="K64" s="454" t="str">
        <f t="shared" si="12"/>
        <v>8-hr TWA</v>
      </c>
      <c r="L64" s="454" t="s">
        <v>302</v>
      </c>
      <c r="M64" s="572">
        <v>42557</v>
      </c>
      <c r="N64" s="3">
        <v>480</v>
      </c>
      <c r="O64" s="3">
        <v>1</v>
      </c>
      <c r="P64" s="3"/>
      <c r="Q64" s="3"/>
      <c r="R64" s="3"/>
      <c r="S64" s="3"/>
      <c r="T64" s="3"/>
      <c r="U64" s="3"/>
      <c r="V64" s="3"/>
      <c r="W64" s="3">
        <v>6.6000000000000003E-2</v>
      </c>
      <c r="X64" s="2"/>
      <c r="Y64" s="3"/>
      <c r="Z64" s="2"/>
      <c r="AA64" s="2"/>
      <c r="AB64" s="2"/>
      <c r="AC64" s="2"/>
      <c r="AD64" s="536">
        <f t="shared" si="13"/>
        <v>0.41521963190184052</v>
      </c>
      <c r="AE64" s="536"/>
      <c r="AF64" s="536"/>
      <c r="AG64" s="537">
        <f t="shared" si="5"/>
        <v>0.41521963190184052</v>
      </c>
      <c r="AH64" s="537" t="str">
        <f t="shared" si="6"/>
        <v/>
      </c>
      <c r="AI64" s="525" t="str">
        <f t="shared" si="7"/>
        <v/>
      </c>
      <c r="AJ64" s="522"/>
      <c r="AK64" s="522" t="s">
        <v>315</v>
      </c>
      <c r="AL64" s="573"/>
      <c r="AM64" s="526"/>
      <c r="AN64" s="526"/>
      <c r="AO64" s="526"/>
    </row>
    <row r="65" spans="1:41" x14ac:dyDescent="0.25">
      <c r="A65" s="3">
        <v>5176376</v>
      </c>
      <c r="B65" s="454" t="s">
        <v>312</v>
      </c>
      <c r="C65" s="454">
        <v>2018</v>
      </c>
      <c r="D65" s="454" t="s">
        <v>297</v>
      </c>
      <c r="E65" s="454" t="s">
        <v>333</v>
      </c>
      <c r="F65" s="454" t="s">
        <v>299</v>
      </c>
      <c r="G65" s="454"/>
      <c r="H65" s="454" t="s">
        <v>341</v>
      </c>
      <c r="I65" s="454"/>
      <c r="J65" s="3" t="s">
        <v>41</v>
      </c>
      <c r="K65" s="454" t="str">
        <f t="shared" si="12"/>
        <v>8-hr TWA</v>
      </c>
      <c r="L65" s="454" t="s">
        <v>302</v>
      </c>
      <c r="M65" s="572">
        <v>42585</v>
      </c>
      <c r="N65" s="3">
        <v>480</v>
      </c>
      <c r="O65" s="3">
        <v>1</v>
      </c>
      <c r="P65" s="3"/>
      <c r="Q65" s="3"/>
      <c r="R65" s="3"/>
      <c r="S65" s="3"/>
      <c r="T65" s="3"/>
      <c r="U65" s="3"/>
      <c r="V65" s="3"/>
      <c r="W65" s="3">
        <v>6.6000000000000003E-2</v>
      </c>
      <c r="X65" s="2"/>
      <c r="Y65" s="3"/>
      <c r="Z65" s="2"/>
      <c r="AA65" s="2"/>
      <c r="AB65" s="2"/>
      <c r="AC65" s="2"/>
      <c r="AD65" s="536">
        <f t="shared" si="13"/>
        <v>0.41521963190184052</v>
      </c>
      <c r="AE65" s="536"/>
      <c r="AF65" s="536"/>
      <c r="AG65" s="537">
        <f t="shared" si="5"/>
        <v>0.41521963190184052</v>
      </c>
      <c r="AH65" s="537" t="str">
        <f t="shared" si="6"/>
        <v/>
      </c>
      <c r="AI65" s="525" t="str">
        <f t="shared" si="7"/>
        <v/>
      </c>
      <c r="AJ65" s="522"/>
      <c r="AK65" s="522" t="s">
        <v>315</v>
      </c>
      <c r="AL65" s="573"/>
      <c r="AM65" s="526"/>
      <c r="AN65" s="526"/>
      <c r="AO65" s="526"/>
    </row>
    <row r="66" spans="1:41" x14ac:dyDescent="0.25">
      <c r="A66" s="2">
        <v>5176376</v>
      </c>
      <c r="B66" s="522" t="s">
        <v>312</v>
      </c>
      <c r="C66" s="522">
        <v>2018</v>
      </c>
      <c r="D66" s="522" t="s">
        <v>297</v>
      </c>
      <c r="E66" s="522" t="s">
        <v>333</v>
      </c>
      <c r="F66" s="522" t="s">
        <v>299</v>
      </c>
      <c r="G66" s="522"/>
      <c r="H66" s="522" t="s">
        <v>337</v>
      </c>
      <c r="I66" s="522"/>
      <c r="J66" s="2" t="s">
        <v>301</v>
      </c>
      <c r="K66" s="522" t="str">
        <f t="shared" si="12"/>
        <v>12-hr TWA</v>
      </c>
      <c r="L66" s="522" t="s">
        <v>302</v>
      </c>
      <c r="M66" s="535">
        <v>40133</v>
      </c>
      <c r="N66" s="2">
        <v>720</v>
      </c>
      <c r="O66" s="2">
        <v>1</v>
      </c>
      <c r="P66" s="2"/>
      <c r="Q66" s="2"/>
      <c r="R66" s="2"/>
      <c r="S66" s="2"/>
      <c r="T66" s="2"/>
      <c r="U66" s="2"/>
      <c r="V66" s="2"/>
      <c r="W66" s="2">
        <v>7.9000000000000001E-2</v>
      </c>
      <c r="X66" s="2" t="str">
        <f t="shared" ref="X66:X112" si="14">IF($K66="8-hr TWA", IF($N66&lt;480,IF($AK66="ND",IF($AR$9&lt;3,($W66/SQRT(2))*$N66/480, ($W66/2)*$N66/480),$W66*$N66/480),IF($AK66="ND",IF($AR$9&lt;3,($W66/SQRT(2)), ($W66/2)),$W66)),"")</f>
        <v/>
      </c>
      <c r="Y66" s="2">
        <f t="shared" ref="Y66:Y112" si="15">IF($K66="12-hr TWA", IF($N66&lt;720,IF($AK66="ND",IF($AS$9&lt;3,($W66/SQRT(2))*$N66/720, ($W66/2)*$N66/720),$W66*$N66/720),IF($AK66="ND",IF($AS$9&lt;3,($W66/SQRT(2)), ($W66/2)),$W66)),"")</f>
        <v>7.9000000000000001E-2</v>
      </c>
      <c r="Z66" s="2"/>
      <c r="AA66" s="2"/>
      <c r="AB66" s="2"/>
      <c r="AC66" s="2"/>
      <c r="AD66" s="536">
        <f t="shared" si="13"/>
        <v>0.4970053169734151</v>
      </c>
      <c r="AE66" s="536" t="str">
        <f t="shared" ref="AE66:AE112" si="16">+IFERROR(X66*MolW/MolVol,"")</f>
        <v/>
      </c>
      <c r="AF66" s="536">
        <f t="shared" ref="AF66:AF112" si="17">+IFERROR(Y66*MolW/MolVol,"")</f>
        <v>0.4970053169734151</v>
      </c>
      <c r="AG66" s="537" t="str">
        <f t="shared" si="5"/>
        <v/>
      </c>
      <c r="AH66" s="537" t="str">
        <f t="shared" si="6"/>
        <v/>
      </c>
      <c r="AI66" s="525" t="str">
        <f t="shared" si="7"/>
        <v/>
      </c>
      <c r="AJ66" s="522"/>
      <c r="AK66" s="522"/>
      <c r="AL66" s="526" t="str">
        <f t="shared" ref="AL66:AL112" si="18">IF($K66="8-hr TWA", IF($AK66&lt;&gt;"ND", IF($N66&lt;480, $W66*$N66/480,$W66),""),"")</f>
        <v/>
      </c>
      <c r="AM66" s="526" t="str">
        <f t="shared" ref="AM66:AM112" si="19">+IFERROR(LN(AL66), "")</f>
        <v/>
      </c>
      <c r="AN66" s="526">
        <f t="shared" ref="AN66:AN112" si="20">IF($K66="12-hr TWA", IF($AK66&lt;&gt;"ND", IF($N66&lt;720, $W66*$N66/720,$W66),""),"")</f>
        <v>7.9000000000000001E-2</v>
      </c>
      <c r="AO66" s="526">
        <f t="shared" ref="AO66:AO112" si="21">+IFERROR(LN(AN66), "")</f>
        <v>-2.5383074265151158</v>
      </c>
    </row>
    <row r="67" spans="1:41" x14ac:dyDescent="0.25">
      <c r="A67" s="2">
        <v>5176376</v>
      </c>
      <c r="B67" s="522" t="s">
        <v>312</v>
      </c>
      <c r="C67" s="522">
        <v>2018</v>
      </c>
      <c r="D67" s="522" t="s">
        <v>297</v>
      </c>
      <c r="E67" s="522" t="s">
        <v>333</v>
      </c>
      <c r="F67" s="522" t="s">
        <v>299</v>
      </c>
      <c r="G67" s="522"/>
      <c r="H67" s="522" t="s">
        <v>342</v>
      </c>
      <c r="I67" s="522"/>
      <c r="J67" s="2" t="s">
        <v>301</v>
      </c>
      <c r="K67" s="522" t="str">
        <f t="shared" si="12"/>
        <v>12-hr TWA</v>
      </c>
      <c r="L67" s="522" t="s">
        <v>302</v>
      </c>
      <c r="M67" s="535">
        <v>41002</v>
      </c>
      <c r="N67" s="2">
        <v>720</v>
      </c>
      <c r="O67" s="2">
        <v>1</v>
      </c>
      <c r="P67" s="2"/>
      <c r="Q67" s="2"/>
      <c r="R67" s="2"/>
      <c r="S67" s="2"/>
      <c r="T67" s="2"/>
      <c r="U67" s="2"/>
      <c r="V67" s="2"/>
      <c r="W67" s="2">
        <v>8.1000000000000003E-2</v>
      </c>
      <c r="X67" s="2" t="str">
        <f t="shared" si="14"/>
        <v/>
      </c>
      <c r="Y67" s="2">
        <f t="shared" si="15"/>
        <v>8.1000000000000003E-2</v>
      </c>
      <c r="Z67" s="2"/>
      <c r="AA67" s="2"/>
      <c r="AB67" s="2"/>
      <c r="AC67" s="2"/>
      <c r="AD67" s="536">
        <f t="shared" si="13"/>
        <v>0.50958773006134972</v>
      </c>
      <c r="AE67" s="536" t="str">
        <f t="shared" si="16"/>
        <v/>
      </c>
      <c r="AF67" s="536">
        <f t="shared" si="17"/>
        <v>0.50958773006134972</v>
      </c>
      <c r="AG67" s="537" t="str">
        <f t="shared" si="5"/>
        <v/>
      </c>
      <c r="AH67" s="537" t="str">
        <f t="shared" si="6"/>
        <v/>
      </c>
      <c r="AI67" s="525" t="str">
        <f t="shared" si="7"/>
        <v/>
      </c>
      <c r="AJ67" s="522"/>
      <c r="AK67" s="522"/>
      <c r="AL67" s="526" t="str">
        <f t="shared" si="18"/>
        <v/>
      </c>
      <c r="AM67" s="526" t="str">
        <f t="shared" si="19"/>
        <v/>
      </c>
      <c r="AN67" s="526">
        <f t="shared" si="20"/>
        <v>8.1000000000000003E-2</v>
      </c>
      <c r="AO67" s="526">
        <f t="shared" si="21"/>
        <v>-2.5133061243096981</v>
      </c>
    </row>
    <row r="68" spans="1:41" x14ac:dyDescent="0.25">
      <c r="A68" s="2">
        <v>5176376</v>
      </c>
      <c r="B68" s="522" t="s">
        <v>312</v>
      </c>
      <c r="C68" s="522">
        <v>2018</v>
      </c>
      <c r="D68" s="522" t="s">
        <v>297</v>
      </c>
      <c r="E68" s="522" t="s">
        <v>333</v>
      </c>
      <c r="F68" s="522" t="s">
        <v>299</v>
      </c>
      <c r="G68" s="522"/>
      <c r="H68" s="522" t="s">
        <v>338</v>
      </c>
      <c r="I68" s="522"/>
      <c r="J68" s="2" t="s">
        <v>301</v>
      </c>
      <c r="K68" s="522" t="str">
        <f t="shared" si="12"/>
        <v>12-hr TWA</v>
      </c>
      <c r="L68" s="522" t="s">
        <v>302</v>
      </c>
      <c r="M68" s="535">
        <v>39637</v>
      </c>
      <c r="N68" s="2">
        <v>720</v>
      </c>
      <c r="O68" s="2">
        <v>1</v>
      </c>
      <c r="P68" s="2"/>
      <c r="Q68" s="2"/>
      <c r="R68" s="2"/>
      <c r="S68" s="2"/>
      <c r="T68" s="2"/>
      <c r="U68" s="2"/>
      <c r="V68" s="2"/>
      <c r="W68" s="2">
        <v>8.8999999999999996E-2</v>
      </c>
      <c r="X68" s="2" t="str">
        <f t="shared" si="14"/>
        <v/>
      </c>
      <c r="Y68" s="524">
        <f t="shared" si="15"/>
        <v>4.4499999999999998E-2</v>
      </c>
      <c r="Z68" s="2"/>
      <c r="AA68" s="2"/>
      <c r="AB68" s="2"/>
      <c r="AC68" s="2"/>
      <c r="AD68" s="536">
        <f t="shared" si="13"/>
        <v>0.55991738241308786</v>
      </c>
      <c r="AE68" s="536" t="str">
        <f t="shared" si="16"/>
        <v/>
      </c>
      <c r="AF68" s="536">
        <f t="shared" si="17"/>
        <v>0.27995869120654393</v>
      </c>
      <c r="AG68" s="537" t="str">
        <f t="shared" si="5"/>
        <v/>
      </c>
      <c r="AH68" s="537" t="str">
        <f t="shared" si="6"/>
        <v/>
      </c>
      <c r="AI68" s="525" t="str">
        <f t="shared" si="7"/>
        <v/>
      </c>
      <c r="AJ68" s="522"/>
      <c r="AK68" s="522" t="s">
        <v>315</v>
      </c>
      <c r="AL68" s="526" t="str">
        <f t="shared" si="18"/>
        <v/>
      </c>
      <c r="AM68" s="526" t="str">
        <f t="shared" si="19"/>
        <v/>
      </c>
      <c r="AN68" s="526" t="str">
        <f t="shared" si="20"/>
        <v/>
      </c>
      <c r="AO68" s="526" t="str">
        <f t="shared" si="21"/>
        <v/>
      </c>
    </row>
    <row r="69" spans="1:41" x14ac:dyDescent="0.25">
      <c r="A69" s="2">
        <v>5176376</v>
      </c>
      <c r="B69" s="522" t="s">
        <v>312</v>
      </c>
      <c r="C69" s="522">
        <v>2018</v>
      </c>
      <c r="D69" s="522" t="s">
        <v>297</v>
      </c>
      <c r="E69" s="522" t="s">
        <v>333</v>
      </c>
      <c r="F69" s="522" t="s">
        <v>299</v>
      </c>
      <c r="G69" s="522"/>
      <c r="H69" s="522" t="s">
        <v>343</v>
      </c>
      <c r="I69" s="522"/>
      <c r="J69" s="2" t="s">
        <v>301</v>
      </c>
      <c r="K69" s="522" t="str">
        <f t="shared" si="12"/>
        <v>12-hr TWA</v>
      </c>
      <c r="L69" s="522" t="s">
        <v>302</v>
      </c>
      <c r="M69" s="535">
        <v>39638</v>
      </c>
      <c r="N69" s="2">
        <v>720</v>
      </c>
      <c r="O69" s="2">
        <v>1</v>
      </c>
      <c r="P69" s="2"/>
      <c r="Q69" s="2"/>
      <c r="R69" s="2"/>
      <c r="S69" s="2"/>
      <c r="T69" s="2"/>
      <c r="U69" s="2"/>
      <c r="V69" s="2"/>
      <c r="W69" s="2">
        <v>9.2999999999999999E-2</v>
      </c>
      <c r="X69" s="2" t="str">
        <f t="shared" si="14"/>
        <v/>
      </c>
      <c r="Y69" s="524">
        <f t="shared" si="15"/>
        <v>4.65E-2</v>
      </c>
      <c r="Z69" s="2"/>
      <c r="AA69" s="2"/>
      <c r="AB69" s="2"/>
      <c r="AC69" s="2"/>
      <c r="AD69" s="536">
        <f t="shared" si="13"/>
        <v>0.58508220858895699</v>
      </c>
      <c r="AE69" s="536" t="str">
        <f t="shared" si="16"/>
        <v/>
      </c>
      <c r="AF69" s="536">
        <f t="shared" si="17"/>
        <v>0.29254110429447849</v>
      </c>
      <c r="AG69" s="537" t="str">
        <f t="shared" si="5"/>
        <v/>
      </c>
      <c r="AH69" s="537" t="str">
        <f t="shared" si="6"/>
        <v/>
      </c>
      <c r="AI69" s="525" t="str">
        <f t="shared" si="7"/>
        <v/>
      </c>
      <c r="AJ69" s="522"/>
      <c r="AK69" s="522" t="s">
        <v>315</v>
      </c>
      <c r="AL69" s="526" t="str">
        <f t="shared" si="18"/>
        <v/>
      </c>
      <c r="AM69" s="526" t="str">
        <f t="shared" si="19"/>
        <v/>
      </c>
      <c r="AN69" s="526" t="str">
        <f t="shared" si="20"/>
        <v/>
      </c>
      <c r="AO69" s="526" t="str">
        <f t="shared" si="21"/>
        <v/>
      </c>
    </row>
    <row r="70" spans="1:41" x14ac:dyDescent="0.25">
      <c r="A70" s="2">
        <v>5176376</v>
      </c>
      <c r="B70" s="522" t="s">
        <v>312</v>
      </c>
      <c r="C70" s="522">
        <v>2018</v>
      </c>
      <c r="D70" s="522" t="s">
        <v>297</v>
      </c>
      <c r="E70" s="522" t="s">
        <v>333</v>
      </c>
      <c r="F70" s="522" t="s">
        <v>299</v>
      </c>
      <c r="G70" s="522"/>
      <c r="H70" s="522" t="s">
        <v>338</v>
      </c>
      <c r="I70" s="522"/>
      <c r="J70" s="2" t="s">
        <v>301</v>
      </c>
      <c r="K70" s="522" t="str">
        <f t="shared" si="12"/>
        <v>12-hr TWA</v>
      </c>
      <c r="L70" s="522" t="s">
        <v>302</v>
      </c>
      <c r="M70" s="535">
        <v>39639</v>
      </c>
      <c r="N70" s="2">
        <v>720</v>
      </c>
      <c r="O70" s="2">
        <v>1</v>
      </c>
      <c r="P70" s="2"/>
      <c r="Q70" s="2"/>
      <c r="R70" s="2"/>
      <c r="S70" s="2"/>
      <c r="T70" s="2"/>
      <c r="U70" s="2"/>
      <c r="V70" s="2"/>
      <c r="W70" s="2">
        <v>0.11</v>
      </c>
      <c r="X70" s="2" t="str">
        <f t="shared" si="14"/>
        <v/>
      </c>
      <c r="Y70" s="2">
        <f t="shared" si="15"/>
        <v>5.5E-2</v>
      </c>
      <c r="Z70" s="2"/>
      <c r="AA70" s="2"/>
      <c r="AB70" s="2"/>
      <c r="AC70" s="2"/>
      <c r="AD70" s="536">
        <f t="shared" si="13"/>
        <v>0.69203271983640069</v>
      </c>
      <c r="AE70" s="536" t="str">
        <f t="shared" si="16"/>
        <v/>
      </c>
      <c r="AF70" s="536">
        <f t="shared" si="17"/>
        <v>0.34601635991820034</v>
      </c>
      <c r="AG70" s="537" t="str">
        <f t="shared" si="5"/>
        <v/>
      </c>
      <c r="AH70" s="537" t="str">
        <f t="shared" si="6"/>
        <v/>
      </c>
      <c r="AI70" s="525" t="str">
        <f t="shared" si="7"/>
        <v/>
      </c>
      <c r="AJ70" s="522"/>
      <c r="AK70" s="522" t="s">
        <v>315</v>
      </c>
      <c r="AL70" s="526" t="str">
        <f t="shared" si="18"/>
        <v/>
      </c>
      <c r="AM70" s="526" t="str">
        <f t="shared" si="19"/>
        <v/>
      </c>
      <c r="AN70" s="526" t="str">
        <f t="shared" si="20"/>
        <v/>
      </c>
      <c r="AO70" s="526" t="str">
        <f t="shared" si="21"/>
        <v/>
      </c>
    </row>
    <row r="71" spans="1:41" x14ac:dyDescent="0.25">
      <c r="A71" s="2">
        <v>5176376</v>
      </c>
      <c r="B71" s="522" t="s">
        <v>312</v>
      </c>
      <c r="C71" s="522">
        <v>2018</v>
      </c>
      <c r="D71" s="522" t="s">
        <v>297</v>
      </c>
      <c r="E71" s="522" t="s">
        <v>333</v>
      </c>
      <c r="F71" s="522" t="s">
        <v>299</v>
      </c>
      <c r="G71" s="522"/>
      <c r="H71" s="522" t="s">
        <v>343</v>
      </c>
      <c r="I71" s="522"/>
      <c r="J71" s="2" t="s">
        <v>301</v>
      </c>
      <c r="K71" s="522" t="str">
        <f t="shared" si="12"/>
        <v>12-hr TWA</v>
      </c>
      <c r="L71" s="522" t="s">
        <v>302</v>
      </c>
      <c r="M71" s="535">
        <v>39637</v>
      </c>
      <c r="N71" s="2">
        <v>720</v>
      </c>
      <c r="O71" s="2">
        <v>1</v>
      </c>
      <c r="P71" s="2"/>
      <c r="Q71" s="2"/>
      <c r="R71" s="2"/>
      <c r="S71" s="2"/>
      <c r="T71" s="2"/>
      <c r="U71" s="2"/>
      <c r="V71" s="2"/>
      <c r="W71" s="2">
        <v>0.11</v>
      </c>
      <c r="X71" s="2" t="str">
        <f t="shared" si="14"/>
        <v/>
      </c>
      <c r="Y71" s="2">
        <f t="shared" si="15"/>
        <v>5.5E-2</v>
      </c>
      <c r="Z71" s="2"/>
      <c r="AA71" s="2"/>
      <c r="AB71" s="2"/>
      <c r="AC71" s="2"/>
      <c r="AD71" s="536">
        <f t="shared" si="13"/>
        <v>0.69203271983640069</v>
      </c>
      <c r="AE71" s="536" t="str">
        <f t="shared" si="16"/>
        <v/>
      </c>
      <c r="AF71" s="536">
        <f t="shared" si="17"/>
        <v>0.34601635991820034</v>
      </c>
      <c r="AG71" s="537" t="str">
        <f t="shared" si="5"/>
        <v/>
      </c>
      <c r="AH71" s="537" t="str">
        <f t="shared" si="6"/>
        <v/>
      </c>
      <c r="AI71" s="525" t="str">
        <f t="shared" si="7"/>
        <v/>
      </c>
      <c r="AJ71" s="522"/>
      <c r="AK71" s="522" t="s">
        <v>315</v>
      </c>
      <c r="AL71" s="526" t="str">
        <f t="shared" si="18"/>
        <v/>
      </c>
      <c r="AM71" s="526" t="str">
        <f t="shared" si="19"/>
        <v/>
      </c>
      <c r="AN71" s="526" t="str">
        <f t="shared" si="20"/>
        <v/>
      </c>
      <c r="AO71" s="526" t="str">
        <f t="shared" si="21"/>
        <v/>
      </c>
    </row>
    <row r="72" spans="1:41" x14ac:dyDescent="0.25">
      <c r="A72" s="2">
        <v>5176376</v>
      </c>
      <c r="B72" s="522" t="s">
        <v>312</v>
      </c>
      <c r="C72" s="522">
        <v>2018</v>
      </c>
      <c r="D72" s="522" t="s">
        <v>297</v>
      </c>
      <c r="E72" s="522" t="s">
        <v>333</v>
      </c>
      <c r="F72" s="522" t="s">
        <v>299</v>
      </c>
      <c r="G72" s="522"/>
      <c r="H72" s="522" t="s">
        <v>342</v>
      </c>
      <c r="I72" s="522"/>
      <c r="J72" s="2" t="s">
        <v>301</v>
      </c>
      <c r="K72" s="522" t="str">
        <f t="shared" si="12"/>
        <v>12-hr TWA</v>
      </c>
      <c r="L72" s="522" t="s">
        <v>302</v>
      </c>
      <c r="M72" s="535">
        <v>40437</v>
      </c>
      <c r="N72" s="2">
        <v>720</v>
      </c>
      <c r="O72" s="2">
        <v>1</v>
      </c>
      <c r="P72" s="2"/>
      <c r="Q72" s="2"/>
      <c r="R72" s="2"/>
      <c r="S72" s="2"/>
      <c r="T72" s="2"/>
      <c r="U72" s="2"/>
      <c r="V72" s="2"/>
      <c r="W72" s="2">
        <v>0.12</v>
      </c>
      <c r="X72" s="2" t="str">
        <f t="shared" si="14"/>
        <v/>
      </c>
      <c r="Y72" s="2">
        <f t="shared" si="15"/>
        <v>0.12</v>
      </c>
      <c r="Z72" s="2"/>
      <c r="AA72" s="2"/>
      <c r="AB72" s="2"/>
      <c r="AC72" s="2"/>
      <c r="AD72" s="536">
        <f t="shared" si="13"/>
        <v>0.75494478527607356</v>
      </c>
      <c r="AE72" s="536" t="str">
        <f t="shared" si="16"/>
        <v/>
      </c>
      <c r="AF72" s="536">
        <f t="shared" si="17"/>
        <v>0.75494478527607356</v>
      </c>
      <c r="AG72" s="537" t="str">
        <f t="shared" si="5"/>
        <v/>
      </c>
      <c r="AH72" s="537" t="str">
        <f t="shared" si="6"/>
        <v/>
      </c>
      <c r="AI72" s="525" t="str">
        <f t="shared" si="7"/>
        <v/>
      </c>
      <c r="AJ72" s="522"/>
      <c r="AK72" s="522"/>
      <c r="AL72" s="526" t="str">
        <f t="shared" si="18"/>
        <v/>
      </c>
      <c r="AM72" s="526" t="str">
        <f t="shared" si="19"/>
        <v/>
      </c>
      <c r="AN72" s="526">
        <f t="shared" si="20"/>
        <v>0.12</v>
      </c>
      <c r="AO72" s="526">
        <f t="shared" si="21"/>
        <v>-2.120263536200091</v>
      </c>
    </row>
    <row r="73" spans="1:41" x14ac:dyDescent="0.25">
      <c r="A73" s="2">
        <v>5176376</v>
      </c>
      <c r="B73" s="522" t="s">
        <v>312</v>
      </c>
      <c r="C73" s="522">
        <v>2018</v>
      </c>
      <c r="D73" s="522" t="s">
        <v>297</v>
      </c>
      <c r="E73" s="522" t="s">
        <v>333</v>
      </c>
      <c r="F73" s="522" t="s">
        <v>299</v>
      </c>
      <c r="G73" s="522"/>
      <c r="H73" s="522" t="s">
        <v>337</v>
      </c>
      <c r="I73" s="522"/>
      <c r="J73" s="2" t="s">
        <v>301</v>
      </c>
      <c r="K73" s="522" t="str">
        <f t="shared" si="12"/>
        <v>12-hr TWA</v>
      </c>
      <c r="L73" s="522" t="s">
        <v>302</v>
      </c>
      <c r="M73" s="535">
        <v>39763</v>
      </c>
      <c r="N73" s="2">
        <v>720</v>
      </c>
      <c r="O73" s="2">
        <v>1</v>
      </c>
      <c r="P73" s="2"/>
      <c r="Q73" s="2"/>
      <c r="R73" s="2"/>
      <c r="S73" s="2"/>
      <c r="T73" s="2"/>
      <c r="U73" s="2"/>
      <c r="V73" s="2"/>
      <c r="W73" s="2">
        <v>0.12</v>
      </c>
      <c r="X73" s="2" t="str">
        <f t="shared" si="14"/>
        <v/>
      </c>
      <c r="Y73" s="524">
        <f t="shared" si="15"/>
        <v>0.06</v>
      </c>
      <c r="Z73" s="2"/>
      <c r="AA73" s="2"/>
      <c r="AB73" s="2"/>
      <c r="AC73" s="2"/>
      <c r="AD73" s="536">
        <f t="shared" si="13"/>
        <v>0.75494478527607356</v>
      </c>
      <c r="AE73" s="536" t="str">
        <f t="shared" si="16"/>
        <v/>
      </c>
      <c r="AF73" s="536">
        <f t="shared" si="17"/>
        <v>0.37747239263803678</v>
      </c>
      <c r="AG73" s="537" t="str">
        <f t="shared" si="5"/>
        <v/>
      </c>
      <c r="AH73" s="537" t="str">
        <f t="shared" si="6"/>
        <v/>
      </c>
      <c r="AI73" s="525" t="str">
        <f t="shared" si="7"/>
        <v/>
      </c>
      <c r="AJ73" s="522"/>
      <c r="AK73" s="522" t="s">
        <v>315</v>
      </c>
      <c r="AL73" s="526" t="str">
        <f t="shared" si="18"/>
        <v/>
      </c>
      <c r="AM73" s="526" t="str">
        <f t="shared" si="19"/>
        <v/>
      </c>
      <c r="AN73" s="526" t="str">
        <f t="shared" si="20"/>
        <v/>
      </c>
      <c r="AO73" s="526" t="str">
        <f t="shared" si="21"/>
        <v/>
      </c>
    </row>
    <row r="74" spans="1:41" x14ac:dyDescent="0.25">
      <c r="A74" s="2">
        <v>5176376</v>
      </c>
      <c r="B74" s="522" t="s">
        <v>312</v>
      </c>
      <c r="C74" s="522">
        <v>2018</v>
      </c>
      <c r="D74" s="522" t="s">
        <v>297</v>
      </c>
      <c r="E74" s="522" t="s">
        <v>333</v>
      </c>
      <c r="F74" s="522" t="s">
        <v>299</v>
      </c>
      <c r="G74" s="522"/>
      <c r="H74" s="522" t="s">
        <v>337</v>
      </c>
      <c r="I74" s="522"/>
      <c r="J74" s="2" t="s">
        <v>301</v>
      </c>
      <c r="K74" s="522" t="str">
        <f t="shared" si="12"/>
        <v>12-hr TWA</v>
      </c>
      <c r="L74" s="522" t="s">
        <v>302</v>
      </c>
      <c r="M74" s="535">
        <v>39765</v>
      </c>
      <c r="N74" s="2">
        <v>720</v>
      </c>
      <c r="O74" s="2">
        <v>1</v>
      </c>
      <c r="P74" s="2"/>
      <c r="Q74" s="2"/>
      <c r="R74" s="2"/>
      <c r="S74" s="2"/>
      <c r="T74" s="2"/>
      <c r="U74" s="2"/>
      <c r="V74" s="2"/>
      <c r="W74" s="2">
        <v>0.12</v>
      </c>
      <c r="X74" s="2" t="str">
        <f t="shared" si="14"/>
        <v/>
      </c>
      <c r="Y74" s="524">
        <f t="shared" si="15"/>
        <v>0.06</v>
      </c>
      <c r="Z74" s="2"/>
      <c r="AA74" s="2"/>
      <c r="AB74" s="2"/>
      <c r="AC74" s="2"/>
      <c r="AD74" s="536">
        <f t="shared" si="13"/>
        <v>0.75494478527607356</v>
      </c>
      <c r="AE74" s="536" t="str">
        <f t="shared" si="16"/>
        <v/>
      </c>
      <c r="AF74" s="536">
        <f t="shared" si="17"/>
        <v>0.37747239263803678</v>
      </c>
      <c r="AG74" s="537" t="str">
        <f t="shared" si="5"/>
        <v/>
      </c>
      <c r="AH74" s="537" t="str">
        <f t="shared" si="6"/>
        <v/>
      </c>
      <c r="AI74" s="525" t="str">
        <f t="shared" si="7"/>
        <v/>
      </c>
      <c r="AJ74" s="522"/>
      <c r="AK74" s="522" t="s">
        <v>315</v>
      </c>
      <c r="AL74" s="526" t="str">
        <f t="shared" si="18"/>
        <v/>
      </c>
      <c r="AM74" s="526" t="str">
        <f t="shared" si="19"/>
        <v/>
      </c>
      <c r="AN74" s="526" t="str">
        <f t="shared" si="20"/>
        <v/>
      </c>
      <c r="AO74" s="526" t="str">
        <f t="shared" si="21"/>
        <v/>
      </c>
    </row>
    <row r="75" spans="1:41" x14ac:dyDescent="0.25">
      <c r="A75" s="2">
        <v>5176376</v>
      </c>
      <c r="B75" s="522" t="s">
        <v>312</v>
      </c>
      <c r="C75" s="522">
        <v>2018</v>
      </c>
      <c r="D75" s="522" t="s">
        <v>297</v>
      </c>
      <c r="E75" s="522" t="s">
        <v>333</v>
      </c>
      <c r="F75" s="522" t="s">
        <v>299</v>
      </c>
      <c r="G75" s="522"/>
      <c r="H75" s="522" t="s">
        <v>337</v>
      </c>
      <c r="I75" s="522"/>
      <c r="J75" s="2" t="s">
        <v>301</v>
      </c>
      <c r="K75" s="522" t="str">
        <f t="shared" si="12"/>
        <v>12-hr TWA</v>
      </c>
      <c r="L75" s="522" t="s">
        <v>302</v>
      </c>
      <c r="M75" s="535">
        <v>39769</v>
      </c>
      <c r="N75" s="2">
        <v>720</v>
      </c>
      <c r="O75" s="2">
        <v>1</v>
      </c>
      <c r="P75" s="2"/>
      <c r="Q75" s="2"/>
      <c r="R75" s="2"/>
      <c r="S75" s="2"/>
      <c r="T75" s="2"/>
      <c r="U75" s="2"/>
      <c r="V75" s="2"/>
      <c r="W75" s="2">
        <v>0.12</v>
      </c>
      <c r="X75" s="2" t="str">
        <f t="shared" si="14"/>
        <v/>
      </c>
      <c r="Y75" s="524">
        <f t="shared" si="15"/>
        <v>0.06</v>
      </c>
      <c r="Z75" s="2"/>
      <c r="AA75" s="2"/>
      <c r="AB75" s="2"/>
      <c r="AC75" s="2"/>
      <c r="AD75" s="536">
        <f t="shared" si="13"/>
        <v>0.75494478527607356</v>
      </c>
      <c r="AE75" s="536" t="str">
        <f t="shared" si="16"/>
        <v/>
      </c>
      <c r="AF75" s="536">
        <f t="shared" si="17"/>
        <v>0.37747239263803678</v>
      </c>
      <c r="AG75" s="537" t="str">
        <f t="shared" si="5"/>
        <v/>
      </c>
      <c r="AH75" s="537" t="str">
        <f t="shared" si="6"/>
        <v/>
      </c>
      <c r="AI75" s="525" t="str">
        <f t="shared" si="7"/>
        <v/>
      </c>
      <c r="AJ75" s="522"/>
      <c r="AK75" s="522" t="s">
        <v>315</v>
      </c>
      <c r="AL75" s="526" t="str">
        <f t="shared" si="18"/>
        <v/>
      </c>
      <c r="AM75" s="526" t="str">
        <f t="shared" si="19"/>
        <v/>
      </c>
      <c r="AN75" s="526" t="str">
        <f t="shared" si="20"/>
        <v/>
      </c>
      <c r="AO75" s="526" t="str">
        <f t="shared" si="21"/>
        <v/>
      </c>
    </row>
    <row r="76" spans="1:41" x14ac:dyDescent="0.25">
      <c r="A76" s="2">
        <v>5176376</v>
      </c>
      <c r="B76" s="522" t="s">
        <v>312</v>
      </c>
      <c r="C76" s="522">
        <v>2018</v>
      </c>
      <c r="D76" s="522" t="s">
        <v>297</v>
      </c>
      <c r="E76" s="522" t="s">
        <v>333</v>
      </c>
      <c r="F76" s="522" t="s">
        <v>299</v>
      </c>
      <c r="G76" s="522"/>
      <c r="H76" s="522" t="s">
        <v>340</v>
      </c>
      <c r="I76" s="522"/>
      <c r="J76" s="2" t="s">
        <v>301</v>
      </c>
      <c r="K76" s="522" t="str">
        <f t="shared" si="12"/>
        <v>12-hr TWA</v>
      </c>
      <c r="L76" s="522" t="s">
        <v>302</v>
      </c>
      <c r="M76" s="535">
        <v>39734</v>
      </c>
      <c r="N76" s="2">
        <v>720</v>
      </c>
      <c r="O76" s="2">
        <v>1</v>
      </c>
      <c r="P76" s="2"/>
      <c r="Q76" s="2"/>
      <c r="R76" s="2"/>
      <c r="S76" s="2"/>
      <c r="T76" s="2"/>
      <c r="U76" s="2"/>
      <c r="V76" s="2"/>
      <c r="W76" s="2">
        <v>0.12</v>
      </c>
      <c r="X76" s="2" t="str">
        <f t="shared" si="14"/>
        <v/>
      </c>
      <c r="Y76" s="524">
        <f t="shared" si="15"/>
        <v>0.06</v>
      </c>
      <c r="Z76" s="2"/>
      <c r="AA76" s="2"/>
      <c r="AB76" s="2"/>
      <c r="AC76" s="2"/>
      <c r="AD76" s="536">
        <f t="shared" si="13"/>
        <v>0.75494478527607356</v>
      </c>
      <c r="AE76" s="536" t="str">
        <f t="shared" si="16"/>
        <v/>
      </c>
      <c r="AF76" s="536">
        <f t="shared" si="17"/>
        <v>0.37747239263803678</v>
      </c>
      <c r="AG76" s="537" t="str">
        <f t="shared" ref="AG76:AG139" si="22">IF($K76="8-hr TWA", IF(J76="ONU",W76*MolW/MolVol,""),"")</f>
        <v/>
      </c>
      <c r="AH76" s="537" t="str">
        <f t="shared" ref="AH76:AH139" si="23">IF($K76="12-hr TWA", IF(J76="ONU",W76*MolW/MolVol,""),"")</f>
        <v/>
      </c>
      <c r="AI76" s="525" t="str">
        <f t="shared" ref="AI76:AI139" si="24">IF($K76="8-hr TWA", IF(I76="Y",X76*MolW/MolVol,""),"")</f>
        <v/>
      </c>
      <c r="AJ76" s="522"/>
      <c r="AK76" s="522" t="s">
        <v>315</v>
      </c>
      <c r="AL76" s="526" t="str">
        <f t="shared" si="18"/>
        <v/>
      </c>
      <c r="AM76" s="526" t="str">
        <f t="shared" si="19"/>
        <v/>
      </c>
      <c r="AN76" s="526" t="str">
        <f t="shared" si="20"/>
        <v/>
      </c>
      <c r="AO76" s="526" t="str">
        <f t="shared" si="21"/>
        <v/>
      </c>
    </row>
    <row r="77" spans="1:41" x14ac:dyDescent="0.25">
      <c r="A77" s="2">
        <v>5176376</v>
      </c>
      <c r="B77" s="522" t="s">
        <v>312</v>
      </c>
      <c r="C77" s="522">
        <v>2018</v>
      </c>
      <c r="D77" s="522" t="s">
        <v>297</v>
      </c>
      <c r="E77" s="522" t="s">
        <v>333</v>
      </c>
      <c r="F77" s="522" t="s">
        <v>299</v>
      </c>
      <c r="G77" s="522"/>
      <c r="H77" s="522" t="s">
        <v>334</v>
      </c>
      <c r="I77" s="522"/>
      <c r="J77" s="2" t="s">
        <v>301</v>
      </c>
      <c r="K77" s="522" t="str">
        <f t="shared" si="12"/>
        <v>12-hr TWA</v>
      </c>
      <c r="L77" s="522" t="s">
        <v>302</v>
      </c>
      <c r="M77" s="535">
        <v>39729</v>
      </c>
      <c r="N77" s="2">
        <v>720</v>
      </c>
      <c r="O77" s="2">
        <v>1</v>
      </c>
      <c r="P77" s="2"/>
      <c r="Q77" s="2"/>
      <c r="R77" s="2"/>
      <c r="S77" s="2"/>
      <c r="T77" s="2"/>
      <c r="U77" s="2"/>
      <c r="V77" s="2"/>
      <c r="W77" s="2">
        <v>0.12</v>
      </c>
      <c r="X77" s="2" t="str">
        <f t="shared" si="14"/>
        <v/>
      </c>
      <c r="Y77" s="524">
        <f t="shared" si="15"/>
        <v>0.06</v>
      </c>
      <c r="Z77" s="2"/>
      <c r="AA77" s="2"/>
      <c r="AB77" s="2"/>
      <c r="AC77" s="2"/>
      <c r="AD77" s="536">
        <f t="shared" si="13"/>
        <v>0.75494478527607356</v>
      </c>
      <c r="AE77" s="536" t="str">
        <f t="shared" si="16"/>
        <v/>
      </c>
      <c r="AF77" s="536">
        <f t="shared" si="17"/>
        <v>0.37747239263803678</v>
      </c>
      <c r="AG77" s="537" t="str">
        <f t="shared" si="22"/>
        <v/>
      </c>
      <c r="AH77" s="537" t="str">
        <f t="shared" si="23"/>
        <v/>
      </c>
      <c r="AI77" s="525" t="str">
        <f t="shared" si="24"/>
        <v/>
      </c>
      <c r="AJ77" s="522"/>
      <c r="AK77" s="522" t="s">
        <v>315</v>
      </c>
      <c r="AL77" s="526" t="str">
        <f t="shared" si="18"/>
        <v/>
      </c>
      <c r="AM77" s="526" t="str">
        <f t="shared" si="19"/>
        <v/>
      </c>
      <c r="AN77" s="526" t="str">
        <f t="shared" si="20"/>
        <v/>
      </c>
      <c r="AO77" s="526" t="str">
        <f t="shared" si="21"/>
        <v/>
      </c>
    </row>
    <row r="78" spans="1:41" x14ac:dyDescent="0.25">
      <c r="A78" s="2">
        <v>5176376</v>
      </c>
      <c r="B78" s="522" t="s">
        <v>312</v>
      </c>
      <c r="C78" s="522">
        <v>2018</v>
      </c>
      <c r="D78" s="522" t="s">
        <v>297</v>
      </c>
      <c r="E78" s="522" t="s">
        <v>333</v>
      </c>
      <c r="F78" s="522" t="s">
        <v>299</v>
      </c>
      <c r="G78" s="522"/>
      <c r="H78" s="522" t="s">
        <v>334</v>
      </c>
      <c r="I78" s="522"/>
      <c r="J78" s="2" t="s">
        <v>301</v>
      </c>
      <c r="K78" s="522" t="str">
        <f t="shared" si="12"/>
        <v>12-hr TWA</v>
      </c>
      <c r="L78" s="522" t="s">
        <v>302</v>
      </c>
      <c r="M78" s="535">
        <v>39730</v>
      </c>
      <c r="N78" s="2">
        <v>720</v>
      </c>
      <c r="O78" s="2">
        <v>1</v>
      </c>
      <c r="P78" s="2"/>
      <c r="Q78" s="2"/>
      <c r="R78" s="2"/>
      <c r="S78" s="2"/>
      <c r="T78" s="2"/>
      <c r="U78" s="2"/>
      <c r="V78" s="2"/>
      <c r="W78" s="2">
        <v>0.12</v>
      </c>
      <c r="X78" s="2" t="str">
        <f t="shared" si="14"/>
        <v/>
      </c>
      <c r="Y78" s="524">
        <f t="shared" si="15"/>
        <v>0.06</v>
      </c>
      <c r="Z78" s="2"/>
      <c r="AA78" s="2"/>
      <c r="AB78" s="2"/>
      <c r="AC78" s="2"/>
      <c r="AD78" s="536">
        <f t="shared" si="13"/>
        <v>0.75494478527607356</v>
      </c>
      <c r="AE78" s="536" t="str">
        <f t="shared" si="16"/>
        <v/>
      </c>
      <c r="AF78" s="536">
        <f t="shared" si="17"/>
        <v>0.37747239263803678</v>
      </c>
      <c r="AG78" s="537" t="str">
        <f t="shared" si="22"/>
        <v/>
      </c>
      <c r="AH78" s="537" t="str">
        <f t="shared" si="23"/>
        <v/>
      </c>
      <c r="AI78" s="525" t="str">
        <f t="shared" si="24"/>
        <v/>
      </c>
      <c r="AJ78" s="522"/>
      <c r="AK78" s="522" t="s">
        <v>315</v>
      </c>
      <c r="AL78" s="526" t="str">
        <f t="shared" si="18"/>
        <v/>
      </c>
      <c r="AM78" s="526" t="str">
        <f t="shared" si="19"/>
        <v/>
      </c>
      <c r="AN78" s="526" t="str">
        <f t="shared" si="20"/>
        <v/>
      </c>
      <c r="AO78" s="526" t="str">
        <f t="shared" si="21"/>
        <v/>
      </c>
    </row>
    <row r="79" spans="1:41" x14ac:dyDescent="0.25">
      <c r="A79" s="2">
        <v>5176376</v>
      </c>
      <c r="B79" s="522" t="s">
        <v>312</v>
      </c>
      <c r="C79" s="522">
        <v>2018</v>
      </c>
      <c r="D79" s="522" t="s">
        <v>297</v>
      </c>
      <c r="E79" s="522" t="s">
        <v>333</v>
      </c>
      <c r="F79" s="522" t="s">
        <v>299</v>
      </c>
      <c r="G79" s="522"/>
      <c r="H79" s="522" t="s">
        <v>344</v>
      </c>
      <c r="I79" s="522"/>
      <c r="J79" s="2" t="s">
        <v>301</v>
      </c>
      <c r="K79" s="522" t="str">
        <f t="shared" si="12"/>
        <v>12-hr TWA</v>
      </c>
      <c r="L79" s="522" t="s">
        <v>302</v>
      </c>
      <c r="M79" s="535">
        <v>39744</v>
      </c>
      <c r="N79" s="2">
        <v>720</v>
      </c>
      <c r="O79" s="2">
        <v>1</v>
      </c>
      <c r="P79" s="2"/>
      <c r="Q79" s="2"/>
      <c r="R79" s="2"/>
      <c r="S79" s="2"/>
      <c r="T79" s="2"/>
      <c r="U79" s="2"/>
      <c r="V79" s="2"/>
      <c r="W79" s="2">
        <v>0.12</v>
      </c>
      <c r="X79" s="2" t="str">
        <f t="shared" si="14"/>
        <v/>
      </c>
      <c r="Y79" s="524">
        <f t="shared" si="15"/>
        <v>0.06</v>
      </c>
      <c r="Z79" s="2"/>
      <c r="AA79" s="2"/>
      <c r="AB79" s="2"/>
      <c r="AC79" s="2"/>
      <c r="AD79" s="536">
        <f t="shared" si="13"/>
        <v>0.75494478527607356</v>
      </c>
      <c r="AE79" s="536" t="str">
        <f t="shared" si="16"/>
        <v/>
      </c>
      <c r="AF79" s="536">
        <f t="shared" si="17"/>
        <v>0.37747239263803678</v>
      </c>
      <c r="AG79" s="537" t="str">
        <f t="shared" si="22"/>
        <v/>
      </c>
      <c r="AH79" s="537" t="str">
        <f t="shared" si="23"/>
        <v/>
      </c>
      <c r="AI79" s="525" t="str">
        <f t="shared" si="24"/>
        <v/>
      </c>
      <c r="AJ79" s="522"/>
      <c r="AK79" s="522" t="s">
        <v>315</v>
      </c>
      <c r="AL79" s="526" t="str">
        <f t="shared" si="18"/>
        <v/>
      </c>
      <c r="AM79" s="526" t="str">
        <f t="shared" si="19"/>
        <v/>
      </c>
      <c r="AN79" s="526" t="str">
        <f t="shared" si="20"/>
        <v/>
      </c>
      <c r="AO79" s="526" t="str">
        <f t="shared" si="21"/>
        <v/>
      </c>
    </row>
    <row r="80" spans="1:41" x14ac:dyDescent="0.25">
      <c r="A80" s="2">
        <v>5176376</v>
      </c>
      <c r="B80" s="522" t="s">
        <v>312</v>
      </c>
      <c r="C80" s="522">
        <v>2018</v>
      </c>
      <c r="D80" s="522" t="s">
        <v>297</v>
      </c>
      <c r="E80" s="522" t="s">
        <v>333</v>
      </c>
      <c r="F80" s="522" t="s">
        <v>299</v>
      </c>
      <c r="G80" s="522"/>
      <c r="H80" s="522" t="s">
        <v>342</v>
      </c>
      <c r="I80" s="522"/>
      <c r="J80" s="2" t="s">
        <v>301</v>
      </c>
      <c r="K80" s="522" t="str">
        <f t="shared" si="12"/>
        <v>12-hr TWA</v>
      </c>
      <c r="L80" s="522" t="s">
        <v>302</v>
      </c>
      <c r="M80" s="535">
        <v>39730</v>
      </c>
      <c r="N80" s="2">
        <v>720</v>
      </c>
      <c r="O80" s="2">
        <v>1</v>
      </c>
      <c r="P80" s="2"/>
      <c r="Q80" s="2"/>
      <c r="R80" s="2"/>
      <c r="S80" s="2"/>
      <c r="T80" s="2"/>
      <c r="U80" s="2"/>
      <c r="V80" s="2"/>
      <c r="W80" s="2">
        <v>0.12</v>
      </c>
      <c r="X80" s="2" t="str">
        <f t="shared" si="14"/>
        <v/>
      </c>
      <c r="Y80" s="524">
        <f t="shared" si="15"/>
        <v>0.06</v>
      </c>
      <c r="Z80" s="2"/>
      <c r="AA80" s="2"/>
      <c r="AB80" s="2"/>
      <c r="AC80" s="2"/>
      <c r="AD80" s="536">
        <f t="shared" si="13"/>
        <v>0.75494478527607356</v>
      </c>
      <c r="AE80" s="536" t="str">
        <f t="shared" si="16"/>
        <v/>
      </c>
      <c r="AF80" s="536">
        <f t="shared" si="17"/>
        <v>0.37747239263803678</v>
      </c>
      <c r="AG80" s="537" t="str">
        <f t="shared" si="22"/>
        <v/>
      </c>
      <c r="AH80" s="537" t="str">
        <f t="shared" si="23"/>
        <v/>
      </c>
      <c r="AI80" s="525" t="str">
        <f t="shared" si="24"/>
        <v/>
      </c>
      <c r="AJ80" s="522"/>
      <c r="AK80" s="522" t="s">
        <v>315</v>
      </c>
      <c r="AL80" s="526" t="str">
        <f t="shared" si="18"/>
        <v/>
      </c>
      <c r="AM80" s="526" t="str">
        <f t="shared" si="19"/>
        <v/>
      </c>
      <c r="AN80" s="526" t="str">
        <f t="shared" si="20"/>
        <v/>
      </c>
      <c r="AO80" s="526" t="str">
        <f t="shared" si="21"/>
        <v/>
      </c>
    </row>
    <row r="81" spans="1:41" x14ac:dyDescent="0.25">
      <c r="A81" s="2">
        <v>5176376</v>
      </c>
      <c r="B81" s="522" t="s">
        <v>312</v>
      </c>
      <c r="C81" s="522">
        <v>2018</v>
      </c>
      <c r="D81" s="522" t="s">
        <v>297</v>
      </c>
      <c r="E81" s="522" t="s">
        <v>333</v>
      </c>
      <c r="F81" s="522" t="s">
        <v>299</v>
      </c>
      <c r="G81" s="522"/>
      <c r="H81" s="522" t="s">
        <v>338</v>
      </c>
      <c r="I81" s="522"/>
      <c r="J81" s="2" t="s">
        <v>301</v>
      </c>
      <c r="K81" s="522" t="str">
        <f t="shared" si="12"/>
        <v>12-hr TWA</v>
      </c>
      <c r="L81" s="522" t="s">
        <v>302</v>
      </c>
      <c r="M81" s="535">
        <v>39638</v>
      </c>
      <c r="N81" s="2">
        <v>720</v>
      </c>
      <c r="O81" s="2">
        <v>1</v>
      </c>
      <c r="P81" s="2"/>
      <c r="Q81" s="2"/>
      <c r="R81" s="2"/>
      <c r="S81" s="2"/>
      <c r="T81" s="2"/>
      <c r="U81" s="2"/>
      <c r="V81" s="2"/>
      <c r="W81" s="2">
        <v>0.12</v>
      </c>
      <c r="X81" s="2" t="str">
        <f t="shared" si="14"/>
        <v/>
      </c>
      <c r="Y81" s="524">
        <f t="shared" si="15"/>
        <v>0.06</v>
      </c>
      <c r="Z81" s="2"/>
      <c r="AA81" s="2"/>
      <c r="AB81" s="2"/>
      <c r="AC81" s="2"/>
      <c r="AD81" s="536">
        <f t="shared" si="13"/>
        <v>0.75494478527607356</v>
      </c>
      <c r="AE81" s="536" t="str">
        <f t="shared" si="16"/>
        <v/>
      </c>
      <c r="AF81" s="536">
        <f t="shared" si="17"/>
        <v>0.37747239263803678</v>
      </c>
      <c r="AG81" s="537" t="str">
        <f t="shared" si="22"/>
        <v/>
      </c>
      <c r="AH81" s="537" t="str">
        <f t="shared" si="23"/>
        <v/>
      </c>
      <c r="AI81" s="525" t="str">
        <f t="shared" si="24"/>
        <v/>
      </c>
      <c r="AJ81" s="522"/>
      <c r="AK81" s="522" t="s">
        <v>315</v>
      </c>
      <c r="AL81" s="526" t="str">
        <f t="shared" si="18"/>
        <v/>
      </c>
      <c r="AM81" s="526" t="str">
        <f t="shared" si="19"/>
        <v/>
      </c>
      <c r="AN81" s="526" t="str">
        <f t="shared" si="20"/>
        <v/>
      </c>
      <c r="AO81" s="526" t="str">
        <f t="shared" si="21"/>
        <v/>
      </c>
    </row>
    <row r="82" spans="1:41" x14ac:dyDescent="0.25">
      <c r="A82" s="2">
        <v>5176376</v>
      </c>
      <c r="B82" s="522" t="s">
        <v>312</v>
      </c>
      <c r="C82" s="522">
        <v>2018</v>
      </c>
      <c r="D82" s="522" t="s">
        <v>297</v>
      </c>
      <c r="E82" s="522" t="s">
        <v>333</v>
      </c>
      <c r="F82" s="522" t="s">
        <v>299</v>
      </c>
      <c r="G82" s="522"/>
      <c r="H82" s="522" t="s">
        <v>337</v>
      </c>
      <c r="I82" s="522"/>
      <c r="J82" s="2" t="s">
        <v>301</v>
      </c>
      <c r="K82" s="522" t="str">
        <f t="shared" si="12"/>
        <v>12-hr TWA</v>
      </c>
      <c r="L82" s="522" t="s">
        <v>302</v>
      </c>
      <c r="M82" s="535">
        <v>39505</v>
      </c>
      <c r="N82" s="2">
        <v>720</v>
      </c>
      <c r="O82" s="2">
        <v>1</v>
      </c>
      <c r="P82" s="2"/>
      <c r="Q82" s="2"/>
      <c r="R82" s="2"/>
      <c r="S82" s="2"/>
      <c r="T82" s="2"/>
      <c r="U82" s="2"/>
      <c r="V82" s="2"/>
      <c r="W82" s="2">
        <v>0.13</v>
      </c>
      <c r="X82" s="2" t="str">
        <f t="shared" si="14"/>
        <v/>
      </c>
      <c r="Y82" s="2">
        <f t="shared" si="15"/>
        <v>6.5000000000000002E-2</v>
      </c>
      <c r="Z82" s="2"/>
      <c r="AA82" s="2"/>
      <c r="AB82" s="2"/>
      <c r="AC82" s="2"/>
      <c r="AD82" s="536">
        <f t="shared" si="13"/>
        <v>0.81785685071574643</v>
      </c>
      <c r="AE82" s="536" t="str">
        <f t="shared" si="16"/>
        <v/>
      </c>
      <c r="AF82" s="536">
        <f t="shared" si="17"/>
        <v>0.40892842535787322</v>
      </c>
      <c r="AG82" s="537" t="str">
        <f t="shared" si="22"/>
        <v/>
      </c>
      <c r="AH82" s="537" t="str">
        <f t="shared" si="23"/>
        <v/>
      </c>
      <c r="AI82" s="525" t="str">
        <f t="shared" si="24"/>
        <v/>
      </c>
      <c r="AJ82" s="522"/>
      <c r="AK82" s="522" t="s">
        <v>315</v>
      </c>
      <c r="AL82" s="526" t="str">
        <f t="shared" si="18"/>
        <v/>
      </c>
      <c r="AM82" s="526" t="str">
        <f t="shared" si="19"/>
        <v/>
      </c>
      <c r="AN82" s="526" t="str">
        <f t="shared" si="20"/>
        <v/>
      </c>
      <c r="AO82" s="526" t="str">
        <f t="shared" si="21"/>
        <v/>
      </c>
    </row>
    <row r="83" spans="1:41" x14ac:dyDescent="0.25">
      <c r="A83" s="2">
        <v>5176376</v>
      </c>
      <c r="B83" s="522" t="s">
        <v>312</v>
      </c>
      <c r="C83" s="522">
        <v>2018</v>
      </c>
      <c r="D83" s="522" t="s">
        <v>297</v>
      </c>
      <c r="E83" s="522" t="s">
        <v>333</v>
      </c>
      <c r="F83" s="522" t="s">
        <v>299</v>
      </c>
      <c r="G83" s="522"/>
      <c r="H83" s="522" t="s">
        <v>337</v>
      </c>
      <c r="I83" s="522"/>
      <c r="J83" s="2" t="s">
        <v>301</v>
      </c>
      <c r="K83" s="522" t="str">
        <f t="shared" si="12"/>
        <v>12-hr TWA</v>
      </c>
      <c r="L83" s="522" t="s">
        <v>302</v>
      </c>
      <c r="M83" s="535">
        <v>39506</v>
      </c>
      <c r="N83" s="2">
        <v>720</v>
      </c>
      <c r="O83" s="2">
        <v>1</v>
      </c>
      <c r="P83" s="2"/>
      <c r="Q83" s="2"/>
      <c r="R83" s="2"/>
      <c r="S83" s="2"/>
      <c r="T83" s="2"/>
      <c r="U83" s="2"/>
      <c r="V83" s="2"/>
      <c r="W83" s="2">
        <v>0.13</v>
      </c>
      <c r="X83" s="2" t="str">
        <f t="shared" si="14"/>
        <v/>
      </c>
      <c r="Y83" s="2">
        <f t="shared" si="15"/>
        <v>6.5000000000000002E-2</v>
      </c>
      <c r="Z83" s="2"/>
      <c r="AA83" s="2"/>
      <c r="AB83" s="2"/>
      <c r="AC83" s="2"/>
      <c r="AD83" s="536">
        <f t="shared" si="13"/>
        <v>0.81785685071574643</v>
      </c>
      <c r="AE83" s="536" t="str">
        <f t="shared" si="16"/>
        <v/>
      </c>
      <c r="AF83" s="536">
        <f t="shared" si="17"/>
        <v>0.40892842535787322</v>
      </c>
      <c r="AG83" s="537" t="str">
        <f t="shared" si="22"/>
        <v/>
      </c>
      <c r="AH83" s="537" t="str">
        <f t="shared" si="23"/>
        <v/>
      </c>
      <c r="AI83" s="525" t="str">
        <f t="shared" si="24"/>
        <v/>
      </c>
      <c r="AJ83" s="522"/>
      <c r="AK83" s="522" t="s">
        <v>315</v>
      </c>
      <c r="AL83" s="526" t="str">
        <f t="shared" si="18"/>
        <v/>
      </c>
      <c r="AM83" s="526" t="str">
        <f t="shared" si="19"/>
        <v/>
      </c>
      <c r="AN83" s="526" t="str">
        <f t="shared" si="20"/>
        <v/>
      </c>
      <c r="AO83" s="526" t="str">
        <f t="shared" si="21"/>
        <v/>
      </c>
    </row>
    <row r="84" spans="1:41" x14ac:dyDescent="0.25">
      <c r="A84" s="2">
        <v>5176376</v>
      </c>
      <c r="B84" s="522" t="s">
        <v>312</v>
      </c>
      <c r="C84" s="522">
        <v>2018</v>
      </c>
      <c r="D84" s="522" t="s">
        <v>297</v>
      </c>
      <c r="E84" s="522" t="s">
        <v>333</v>
      </c>
      <c r="F84" s="522" t="s">
        <v>299</v>
      </c>
      <c r="G84" s="522"/>
      <c r="H84" s="522" t="s">
        <v>335</v>
      </c>
      <c r="I84" s="522"/>
      <c r="J84" s="2" t="s">
        <v>301</v>
      </c>
      <c r="K84" s="522" t="str">
        <f t="shared" ref="K84:K147" si="25">+IF(N84&lt;=540, "8-hr TWA", IF(N84&gt;540, "12-hr TWA", "Error"))</f>
        <v>8-hr TWA</v>
      </c>
      <c r="L84" s="522" t="s">
        <v>302</v>
      </c>
      <c r="M84" s="535">
        <v>39422</v>
      </c>
      <c r="N84" s="2">
        <v>480</v>
      </c>
      <c r="O84" s="2">
        <v>1</v>
      </c>
      <c r="P84" s="2"/>
      <c r="Q84" s="2"/>
      <c r="R84" s="2"/>
      <c r="S84" s="2"/>
      <c r="T84" s="2"/>
      <c r="U84" s="2"/>
      <c r="V84" s="2"/>
      <c r="W84" s="2">
        <v>0.13</v>
      </c>
      <c r="X84" s="524">
        <f t="shared" si="14"/>
        <v>9.1923881554251172E-2</v>
      </c>
      <c r="Y84" s="2" t="str">
        <f t="shared" si="15"/>
        <v/>
      </c>
      <c r="Z84" s="2"/>
      <c r="AA84" s="2"/>
      <c r="AB84" s="2"/>
      <c r="AC84" s="2"/>
      <c r="AD84" s="536">
        <f t="shared" si="13"/>
        <v>0.81785685071574643</v>
      </c>
      <c r="AE84" s="536">
        <f t="shared" si="16"/>
        <v>0.57831212518097808</v>
      </c>
      <c r="AF84" s="536" t="str">
        <f t="shared" si="17"/>
        <v/>
      </c>
      <c r="AG84" s="537" t="str">
        <f t="shared" si="22"/>
        <v/>
      </c>
      <c r="AH84" s="537" t="str">
        <f t="shared" si="23"/>
        <v/>
      </c>
      <c r="AI84" s="525" t="str">
        <f t="shared" si="24"/>
        <v/>
      </c>
      <c r="AJ84" s="522"/>
      <c r="AK84" s="522" t="s">
        <v>315</v>
      </c>
      <c r="AL84" s="526" t="str">
        <f t="shared" si="18"/>
        <v/>
      </c>
      <c r="AM84" s="526" t="str">
        <f t="shared" si="19"/>
        <v/>
      </c>
      <c r="AN84" s="526" t="str">
        <f t="shared" si="20"/>
        <v/>
      </c>
      <c r="AO84" s="526" t="str">
        <f t="shared" si="21"/>
        <v/>
      </c>
    </row>
    <row r="85" spans="1:41" x14ac:dyDescent="0.25">
      <c r="A85" s="2">
        <v>5176376</v>
      </c>
      <c r="B85" s="522" t="s">
        <v>312</v>
      </c>
      <c r="C85" s="522">
        <v>2018</v>
      </c>
      <c r="D85" s="522" t="s">
        <v>297</v>
      </c>
      <c r="E85" s="522" t="s">
        <v>333</v>
      </c>
      <c r="F85" s="522" t="s">
        <v>299</v>
      </c>
      <c r="G85" s="522"/>
      <c r="H85" s="522" t="s">
        <v>335</v>
      </c>
      <c r="I85" s="522"/>
      <c r="J85" s="2" t="s">
        <v>301</v>
      </c>
      <c r="K85" s="522" t="str">
        <f t="shared" si="25"/>
        <v>8-hr TWA</v>
      </c>
      <c r="L85" s="522" t="s">
        <v>302</v>
      </c>
      <c r="M85" s="535">
        <v>39757</v>
      </c>
      <c r="N85" s="2">
        <v>480</v>
      </c>
      <c r="O85" s="2">
        <v>1</v>
      </c>
      <c r="P85" s="2"/>
      <c r="Q85" s="2"/>
      <c r="R85" s="2"/>
      <c r="S85" s="2"/>
      <c r="T85" s="2"/>
      <c r="U85" s="2"/>
      <c r="V85" s="2"/>
      <c r="W85" s="2">
        <v>0.13</v>
      </c>
      <c r="X85" s="524">
        <f t="shared" si="14"/>
        <v>9.1923881554251172E-2</v>
      </c>
      <c r="Y85" s="2" t="str">
        <f t="shared" si="15"/>
        <v/>
      </c>
      <c r="Z85" s="2"/>
      <c r="AA85" s="2"/>
      <c r="AB85" s="2"/>
      <c r="AC85" s="2"/>
      <c r="AD85" s="536">
        <f t="shared" si="13"/>
        <v>0.81785685071574643</v>
      </c>
      <c r="AE85" s="536">
        <f t="shared" si="16"/>
        <v>0.57831212518097808</v>
      </c>
      <c r="AF85" s="536" t="str">
        <f t="shared" si="17"/>
        <v/>
      </c>
      <c r="AG85" s="537" t="str">
        <f t="shared" si="22"/>
        <v/>
      </c>
      <c r="AH85" s="537" t="str">
        <f t="shared" si="23"/>
        <v/>
      </c>
      <c r="AI85" s="525" t="str">
        <f t="shared" si="24"/>
        <v/>
      </c>
      <c r="AJ85" s="522"/>
      <c r="AK85" s="522" t="s">
        <v>315</v>
      </c>
      <c r="AL85" s="526" t="str">
        <f t="shared" si="18"/>
        <v/>
      </c>
      <c r="AM85" s="526" t="str">
        <f t="shared" si="19"/>
        <v/>
      </c>
      <c r="AN85" s="526" t="str">
        <f t="shared" si="20"/>
        <v/>
      </c>
      <c r="AO85" s="526" t="str">
        <f t="shared" si="21"/>
        <v/>
      </c>
    </row>
    <row r="86" spans="1:41" x14ac:dyDescent="0.25">
      <c r="A86" s="2">
        <v>5176376</v>
      </c>
      <c r="B86" s="522" t="s">
        <v>312</v>
      </c>
      <c r="C86" s="522">
        <v>2018</v>
      </c>
      <c r="D86" s="522" t="s">
        <v>297</v>
      </c>
      <c r="E86" s="522" t="s">
        <v>333</v>
      </c>
      <c r="F86" s="522" t="s">
        <v>299</v>
      </c>
      <c r="G86" s="522"/>
      <c r="H86" s="522" t="s">
        <v>335</v>
      </c>
      <c r="I86" s="522"/>
      <c r="J86" s="2" t="s">
        <v>301</v>
      </c>
      <c r="K86" s="522" t="str">
        <f t="shared" si="25"/>
        <v>8-hr TWA</v>
      </c>
      <c r="L86" s="522" t="s">
        <v>302</v>
      </c>
      <c r="M86" s="535">
        <v>39762</v>
      </c>
      <c r="N86" s="2">
        <v>480</v>
      </c>
      <c r="O86" s="2">
        <v>1</v>
      </c>
      <c r="P86" s="2"/>
      <c r="Q86" s="2"/>
      <c r="R86" s="2"/>
      <c r="S86" s="2"/>
      <c r="T86" s="2"/>
      <c r="U86" s="2"/>
      <c r="V86" s="2"/>
      <c r="W86" s="2">
        <v>0.13</v>
      </c>
      <c r="X86" s="524">
        <f t="shared" si="14"/>
        <v>9.1923881554251172E-2</v>
      </c>
      <c r="Y86" s="2" t="str">
        <f t="shared" si="15"/>
        <v/>
      </c>
      <c r="Z86" s="2"/>
      <c r="AA86" s="2"/>
      <c r="AB86" s="2"/>
      <c r="AC86" s="2"/>
      <c r="AD86" s="536">
        <f t="shared" ref="AD86:AD149" si="26">+W86*MolW/MolVol</f>
        <v>0.81785685071574643</v>
      </c>
      <c r="AE86" s="536">
        <f t="shared" si="16"/>
        <v>0.57831212518097808</v>
      </c>
      <c r="AF86" s="536" t="str">
        <f t="shared" si="17"/>
        <v/>
      </c>
      <c r="AG86" s="537" t="str">
        <f t="shared" si="22"/>
        <v/>
      </c>
      <c r="AH86" s="537" t="str">
        <f t="shared" si="23"/>
        <v/>
      </c>
      <c r="AI86" s="525" t="str">
        <f t="shared" si="24"/>
        <v/>
      </c>
      <c r="AJ86" s="522"/>
      <c r="AK86" s="522" t="s">
        <v>315</v>
      </c>
      <c r="AL86" s="526" t="str">
        <f t="shared" si="18"/>
        <v/>
      </c>
      <c r="AM86" s="526" t="str">
        <f t="shared" si="19"/>
        <v/>
      </c>
      <c r="AN86" s="526" t="str">
        <f t="shared" si="20"/>
        <v/>
      </c>
      <c r="AO86" s="526" t="str">
        <f t="shared" si="21"/>
        <v/>
      </c>
    </row>
    <row r="87" spans="1:41" x14ac:dyDescent="0.25">
      <c r="A87" s="2">
        <v>5176376</v>
      </c>
      <c r="B87" s="522" t="s">
        <v>312</v>
      </c>
      <c r="C87" s="522">
        <v>2018</v>
      </c>
      <c r="D87" s="522" t="s">
        <v>297</v>
      </c>
      <c r="E87" s="522" t="s">
        <v>333</v>
      </c>
      <c r="F87" s="522" t="s">
        <v>299</v>
      </c>
      <c r="G87" s="522"/>
      <c r="H87" s="522" t="s">
        <v>340</v>
      </c>
      <c r="I87" s="522"/>
      <c r="J87" s="2" t="s">
        <v>301</v>
      </c>
      <c r="K87" s="522" t="str">
        <f t="shared" si="25"/>
        <v>12-hr TWA</v>
      </c>
      <c r="L87" s="522" t="s">
        <v>302</v>
      </c>
      <c r="M87" s="535">
        <v>39729</v>
      </c>
      <c r="N87" s="2">
        <v>720</v>
      </c>
      <c r="O87" s="2">
        <v>1</v>
      </c>
      <c r="P87" s="2"/>
      <c r="Q87" s="2"/>
      <c r="R87" s="2"/>
      <c r="S87" s="2"/>
      <c r="T87" s="2"/>
      <c r="U87" s="2"/>
      <c r="V87" s="2"/>
      <c r="W87" s="2">
        <v>0.13</v>
      </c>
      <c r="X87" s="524" t="str">
        <f t="shared" si="14"/>
        <v/>
      </c>
      <c r="Y87" s="2">
        <f t="shared" si="15"/>
        <v>6.5000000000000002E-2</v>
      </c>
      <c r="Z87" s="2"/>
      <c r="AA87" s="2"/>
      <c r="AB87" s="2"/>
      <c r="AC87" s="2"/>
      <c r="AD87" s="536">
        <f t="shared" si="26"/>
        <v>0.81785685071574643</v>
      </c>
      <c r="AE87" s="536" t="str">
        <f t="shared" si="16"/>
        <v/>
      </c>
      <c r="AF87" s="536">
        <f t="shared" si="17"/>
        <v>0.40892842535787322</v>
      </c>
      <c r="AG87" s="537" t="str">
        <f t="shared" si="22"/>
        <v/>
      </c>
      <c r="AH87" s="537" t="str">
        <f t="shared" si="23"/>
        <v/>
      </c>
      <c r="AI87" s="525" t="str">
        <f t="shared" si="24"/>
        <v/>
      </c>
      <c r="AJ87" s="522"/>
      <c r="AK87" s="522" t="s">
        <v>315</v>
      </c>
      <c r="AL87" s="526" t="str">
        <f t="shared" si="18"/>
        <v/>
      </c>
      <c r="AM87" s="526" t="str">
        <f t="shared" si="19"/>
        <v/>
      </c>
      <c r="AN87" s="526" t="str">
        <f t="shared" si="20"/>
        <v/>
      </c>
      <c r="AO87" s="526" t="str">
        <f t="shared" si="21"/>
        <v/>
      </c>
    </row>
    <row r="88" spans="1:41" x14ac:dyDescent="0.25">
      <c r="A88" s="2">
        <v>5176376</v>
      </c>
      <c r="B88" s="522" t="s">
        <v>312</v>
      </c>
      <c r="C88" s="522">
        <v>2018</v>
      </c>
      <c r="D88" s="522" t="s">
        <v>297</v>
      </c>
      <c r="E88" s="522" t="s">
        <v>333</v>
      </c>
      <c r="F88" s="522" t="s">
        <v>299</v>
      </c>
      <c r="G88" s="522"/>
      <c r="H88" s="522" t="s">
        <v>340</v>
      </c>
      <c r="I88" s="522"/>
      <c r="J88" s="2" t="s">
        <v>301</v>
      </c>
      <c r="K88" s="522" t="str">
        <f t="shared" si="25"/>
        <v>12-hr TWA</v>
      </c>
      <c r="L88" s="522" t="s">
        <v>302</v>
      </c>
      <c r="M88" s="535">
        <v>39730</v>
      </c>
      <c r="N88" s="2">
        <v>720</v>
      </c>
      <c r="O88" s="2">
        <v>1</v>
      </c>
      <c r="P88" s="2"/>
      <c r="Q88" s="2"/>
      <c r="R88" s="2"/>
      <c r="S88" s="2"/>
      <c r="T88" s="2"/>
      <c r="U88" s="2"/>
      <c r="V88" s="2"/>
      <c r="W88" s="2">
        <v>0.13</v>
      </c>
      <c r="X88" s="524" t="str">
        <f t="shared" si="14"/>
        <v/>
      </c>
      <c r="Y88" s="2">
        <f t="shared" si="15"/>
        <v>6.5000000000000002E-2</v>
      </c>
      <c r="Z88" s="2"/>
      <c r="AA88" s="2"/>
      <c r="AB88" s="2"/>
      <c r="AC88" s="2"/>
      <c r="AD88" s="536">
        <f t="shared" si="26"/>
        <v>0.81785685071574643</v>
      </c>
      <c r="AE88" s="536" t="str">
        <f t="shared" si="16"/>
        <v/>
      </c>
      <c r="AF88" s="536">
        <f t="shared" si="17"/>
        <v>0.40892842535787322</v>
      </c>
      <c r="AG88" s="537" t="str">
        <f t="shared" si="22"/>
        <v/>
      </c>
      <c r="AH88" s="537" t="str">
        <f t="shared" si="23"/>
        <v/>
      </c>
      <c r="AI88" s="525" t="str">
        <f t="shared" si="24"/>
        <v/>
      </c>
      <c r="AJ88" s="522"/>
      <c r="AK88" s="522" t="s">
        <v>315</v>
      </c>
      <c r="AL88" s="526" t="str">
        <f t="shared" si="18"/>
        <v/>
      </c>
      <c r="AM88" s="526" t="str">
        <f t="shared" si="19"/>
        <v/>
      </c>
      <c r="AN88" s="526" t="str">
        <f t="shared" si="20"/>
        <v/>
      </c>
      <c r="AO88" s="526" t="str">
        <f t="shared" si="21"/>
        <v/>
      </c>
    </row>
    <row r="89" spans="1:41" x14ac:dyDescent="0.25">
      <c r="A89" s="2">
        <v>5176376</v>
      </c>
      <c r="B89" s="522" t="s">
        <v>312</v>
      </c>
      <c r="C89" s="522">
        <v>2018</v>
      </c>
      <c r="D89" s="522" t="s">
        <v>297</v>
      </c>
      <c r="E89" s="522" t="s">
        <v>333</v>
      </c>
      <c r="F89" s="522" t="s">
        <v>299</v>
      </c>
      <c r="G89" s="522"/>
      <c r="H89" s="522" t="s">
        <v>345</v>
      </c>
      <c r="I89" s="522"/>
      <c r="J89" s="2" t="s">
        <v>301</v>
      </c>
      <c r="K89" s="522" t="str">
        <f t="shared" si="25"/>
        <v>8-hr TWA</v>
      </c>
      <c r="L89" s="522" t="s">
        <v>302</v>
      </c>
      <c r="M89" s="535">
        <v>39757</v>
      </c>
      <c r="N89" s="2">
        <v>480</v>
      </c>
      <c r="O89" s="2">
        <v>1</v>
      </c>
      <c r="P89" s="2"/>
      <c r="Q89" s="2"/>
      <c r="R89" s="2"/>
      <c r="S89" s="2"/>
      <c r="T89" s="2"/>
      <c r="U89" s="2"/>
      <c r="V89" s="2"/>
      <c r="W89" s="2">
        <v>0.13</v>
      </c>
      <c r="X89" s="524">
        <f t="shared" si="14"/>
        <v>9.1923881554251172E-2</v>
      </c>
      <c r="Y89" s="2" t="str">
        <f t="shared" si="15"/>
        <v/>
      </c>
      <c r="Z89" s="2"/>
      <c r="AA89" s="2"/>
      <c r="AB89" s="2"/>
      <c r="AC89" s="2"/>
      <c r="AD89" s="536">
        <f t="shared" si="26"/>
        <v>0.81785685071574643</v>
      </c>
      <c r="AE89" s="536">
        <f t="shared" si="16"/>
        <v>0.57831212518097808</v>
      </c>
      <c r="AF89" s="536" t="str">
        <f t="shared" si="17"/>
        <v/>
      </c>
      <c r="AG89" s="537" t="str">
        <f t="shared" si="22"/>
        <v/>
      </c>
      <c r="AH89" s="537" t="str">
        <f t="shared" si="23"/>
        <v/>
      </c>
      <c r="AI89" s="525" t="str">
        <f t="shared" si="24"/>
        <v/>
      </c>
      <c r="AJ89" s="522"/>
      <c r="AK89" s="522" t="s">
        <v>315</v>
      </c>
      <c r="AL89" s="526" t="str">
        <f t="shared" si="18"/>
        <v/>
      </c>
      <c r="AM89" s="526" t="str">
        <f t="shared" si="19"/>
        <v/>
      </c>
      <c r="AN89" s="526" t="str">
        <f t="shared" si="20"/>
        <v/>
      </c>
      <c r="AO89" s="526" t="str">
        <f t="shared" si="21"/>
        <v/>
      </c>
    </row>
    <row r="90" spans="1:41" x14ac:dyDescent="0.25">
      <c r="A90" s="2">
        <v>5176376</v>
      </c>
      <c r="B90" s="522" t="s">
        <v>312</v>
      </c>
      <c r="C90" s="522">
        <v>2018</v>
      </c>
      <c r="D90" s="522" t="s">
        <v>297</v>
      </c>
      <c r="E90" s="522" t="s">
        <v>333</v>
      </c>
      <c r="F90" s="522" t="s">
        <v>299</v>
      </c>
      <c r="G90" s="522"/>
      <c r="H90" s="522" t="s">
        <v>345</v>
      </c>
      <c r="I90" s="522"/>
      <c r="J90" s="2" t="s">
        <v>301</v>
      </c>
      <c r="K90" s="522" t="str">
        <f t="shared" si="25"/>
        <v>8-hr TWA</v>
      </c>
      <c r="L90" s="522" t="s">
        <v>302</v>
      </c>
      <c r="M90" s="535">
        <v>39762</v>
      </c>
      <c r="N90" s="2">
        <v>480</v>
      </c>
      <c r="O90" s="2">
        <v>1</v>
      </c>
      <c r="P90" s="2"/>
      <c r="Q90" s="2"/>
      <c r="R90" s="2"/>
      <c r="S90" s="2"/>
      <c r="T90" s="2"/>
      <c r="U90" s="2"/>
      <c r="V90" s="2"/>
      <c r="W90" s="2">
        <v>0.13</v>
      </c>
      <c r="X90" s="524">
        <f t="shared" si="14"/>
        <v>9.1923881554251172E-2</v>
      </c>
      <c r="Y90" s="2" t="str">
        <f t="shared" si="15"/>
        <v/>
      </c>
      <c r="Z90" s="2"/>
      <c r="AA90" s="2"/>
      <c r="AB90" s="2"/>
      <c r="AC90" s="2"/>
      <c r="AD90" s="536">
        <f t="shared" si="26"/>
        <v>0.81785685071574643</v>
      </c>
      <c r="AE90" s="536">
        <f t="shared" si="16"/>
        <v>0.57831212518097808</v>
      </c>
      <c r="AF90" s="536" t="str">
        <f t="shared" si="17"/>
        <v/>
      </c>
      <c r="AG90" s="537" t="str">
        <f t="shared" si="22"/>
        <v/>
      </c>
      <c r="AH90" s="537" t="str">
        <f t="shared" si="23"/>
        <v/>
      </c>
      <c r="AI90" s="525" t="str">
        <f t="shared" si="24"/>
        <v/>
      </c>
      <c r="AJ90" s="522"/>
      <c r="AK90" s="522" t="s">
        <v>315</v>
      </c>
      <c r="AL90" s="526" t="str">
        <f t="shared" si="18"/>
        <v/>
      </c>
      <c r="AM90" s="526" t="str">
        <f t="shared" si="19"/>
        <v/>
      </c>
      <c r="AN90" s="526" t="str">
        <f t="shared" si="20"/>
        <v/>
      </c>
      <c r="AO90" s="526" t="str">
        <f t="shared" si="21"/>
        <v/>
      </c>
    </row>
    <row r="91" spans="1:41" x14ac:dyDescent="0.25">
      <c r="A91" s="2">
        <v>5176376</v>
      </c>
      <c r="B91" s="522" t="s">
        <v>312</v>
      </c>
      <c r="C91" s="522">
        <v>2018</v>
      </c>
      <c r="D91" s="522" t="s">
        <v>297</v>
      </c>
      <c r="E91" s="522" t="s">
        <v>333</v>
      </c>
      <c r="F91" s="522" t="s">
        <v>299</v>
      </c>
      <c r="G91" s="522"/>
      <c r="H91" s="522" t="s">
        <v>340</v>
      </c>
      <c r="I91" s="522"/>
      <c r="J91" s="2" t="s">
        <v>301</v>
      </c>
      <c r="K91" s="522" t="str">
        <f t="shared" si="25"/>
        <v>12-hr TWA</v>
      </c>
      <c r="L91" s="522" t="s">
        <v>302</v>
      </c>
      <c r="M91" s="535">
        <v>39300</v>
      </c>
      <c r="N91" s="2">
        <v>720</v>
      </c>
      <c r="O91" s="2">
        <v>1</v>
      </c>
      <c r="P91" s="2"/>
      <c r="Q91" s="2"/>
      <c r="R91" s="2"/>
      <c r="S91" s="2"/>
      <c r="T91" s="2"/>
      <c r="U91" s="2"/>
      <c r="V91" s="2"/>
      <c r="W91" s="2">
        <v>0.13</v>
      </c>
      <c r="X91" s="2" t="str">
        <f t="shared" si="14"/>
        <v/>
      </c>
      <c r="Y91" s="2">
        <f t="shared" si="15"/>
        <v>6.5000000000000002E-2</v>
      </c>
      <c r="Z91" s="2"/>
      <c r="AA91" s="2"/>
      <c r="AB91" s="2"/>
      <c r="AC91" s="2"/>
      <c r="AD91" s="536">
        <f t="shared" si="26"/>
        <v>0.81785685071574643</v>
      </c>
      <c r="AE91" s="536" t="str">
        <f t="shared" si="16"/>
        <v/>
      </c>
      <c r="AF91" s="536">
        <f t="shared" si="17"/>
        <v>0.40892842535787322</v>
      </c>
      <c r="AG91" s="537" t="str">
        <f t="shared" si="22"/>
        <v/>
      </c>
      <c r="AH91" s="537" t="str">
        <f t="shared" si="23"/>
        <v/>
      </c>
      <c r="AI91" s="525" t="str">
        <f t="shared" si="24"/>
        <v/>
      </c>
      <c r="AJ91" s="522"/>
      <c r="AK91" s="522" t="s">
        <v>315</v>
      </c>
      <c r="AL91" s="526" t="str">
        <f t="shared" si="18"/>
        <v/>
      </c>
      <c r="AM91" s="526" t="str">
        <f t="shared" si="19"/>
        <v/>
      </c>
      <c r="AN91" s="526" t="str">
        <f t="shared" si="20"/>
        <v/>
      </c>
      <c r="AO91" s="526" t="str">
        <f t="shared" si="21"/>
        <v/>
      </c>
    </row>
    <row r="92" spans="1:41" x14ac:dyDescent="0.25">
      <c r="A92" s="2">
        <v>5176376</v>
      </c>
      <c r="B92" s="522" t="s">
        <v>312</v>
      </c>
      <c r="C92" s="522">
        <v>2018</v>
      </c>
      <c r="D92" s="522" t="s">
        <v>297</v>
      </c>
      <c r="E92" s="522" t="s">
        <v>333</v>
      </c>
      <c r="F92" s="522" t="s">
        <v>299</v>
      </c>
      <c r="G92" s="522"/>
      <c r="H92" s="522" t="s">
        <v>344</v>
      </c>
      <c r="I92" s="522"/>
      <c r="J92" s="2" t="s">
        <v>301</v>
      </c>
      <c r="K92" s="522" t="str">
        <f t="shared" si="25"/>
        <v>12-hr TWA</v>
      </c>
      <c r="L92" s="522" t="s">
        <v>302</v>
      </c>
      <c r="M92" s="535">
        <v>39742</v>
      </c>
      <c r="N92" s="2">
        <v>720</v>
      </c>
      <c r="O92" s="2">
        <v>1</v>
      </c>
      <c r="P92" s="2"/>
      <c r="Q92" s="2"/>
      <c r="R92" s="2"/>
      <c r="S92" s="2"/>
      <c r="T92" s="2"/>
      <c r="U92" s="2"/>
      <c r="V92" s="2"/>
      <c r="W92" s="2">
        <v>0.13</v>
      </c>
      <c r="X92" s="2" t="str">
        <f t="shared" si="14"/>
        <v/>
      </c>
      <c r="Y92" s="2">
        <f t="shared" si="15"/>
        <v>6.5000000000000002E-2</v>
      </c>
      <c r="Z92" s="2"/>
      <c r="AA92" s="2"/>
      <c r="AB92" s="2"/>
      <c r="AC92" s="2"/>
      <c r="AD92" s="536">
        <f t="shared" si="26"/>
        <v>0.81785685071574643</v>
      </c>
      <c r="AE92" s="536" t="str">
        <f t="shared" si="16"/>
        <v/>
      </c>
      <c r="AF92" s="536">
        <f t="shared" si="17"/>
        <v>0.40892842535787322</v>
      </c>
      <c r="AG92" s="537" t="str">
        <f t="shared" si="22"/>
        <v/>
      </c>
      <c r="AH92" s="537" t="str">
        <f t="shared" si="23"/>
        <v/>
      </c>
      <c r="AI92" s="525" t="str">
        <f t="shared" si="24"/>
        <v/>
      </c>
      <c r="AJ92" s="522"/>
      <c r="AK92" s="522" t="s">
        <v>315</v>
      </c>
      <c r="AL92" s="526" t="str">
        <f t="shared" si="18"/>
        <v/>
      </c>
      <c r="AM92" s="526" t="str">
        <f t="shared" si="19"/>
        <v/>
      </c>
      <c r="AN92" s="526" t="str">
        <f t="shared" si="20"/>
        <v/>
      </c>
      <c r="AO92" s="526" t="str">
        <f t="shared" si="21"/>
        <v/>
      </c>
    </row>
    <row r="93" spans="1:41" x14ac:dyDescent="0.25">
      <c r="A93" s="2">
        <v>5176376</v>
      </c>
      <c r="B93" s="522" t="s">
        <v>312</v>
      </c>
      <c r="C93" s="522">
        <v>2018</v>
      </c>
      <c r="D93" s="522" t="s">
        <v>297</v>
      </c>
      <c r="E93" s="522" t="s">
        <v>333</v>
      </c>
      <c r="F93" s="522" t="s">
        <v>299</v>
      </c>
      <c r="G93" s="522"/>
      <c r="H93" s="522" t="s">
        <v>344</v>
      </c>
      <c r="I93" s="522"/>
      <c r="J93" s="2" t="s">
        <v>301</v>
      </c>
      <c r="K93" s="522" t="str">
        <f t="shared" si="25"/>
        <v>12-hr TWA</v>
      </c>
      <c r="L93" s="522" t="s">
        <v>302</v>
      </c>
      <c r="M93" s="535">
        <v>39743</v>
      </c>
      <c r="N93" s="2">
        <v>720</v>
      </c>
      <c r="O93" s="2">
        <v>1</v>
      </c>
      <c r="P93" s="2"/>
      <c r="Q93" s="2"/>
      <c r="R93" s="2"/>
      <c r="S93" s="2"/>
      <c r="T93" s="2"/>
      <c r="U93" s="2"/>
      <c r="V93" s="2"/>
      <c r="W93" s="2">
        <v>0.13</v>
      </c>
      <c r="X93" s="2" t="str">
        <f t="shared" si="14"/>
        <v/>
      </c>
      <c r="Y93" s="2">
        <f t="shared" si="15"/>
        <v>6.5000000000000002E-2</v>
      </c>
      <c r="Z93" s="2"/>
      <c r="AA93" s="2"/>
      <c r="AB93" s="2"/>
      <c r="AC93" s="2"/>
      <c r="AD93" s="536">
        <f t="shared" si="26"/>
        <v>0.81785685071574643</v>
      </c>
      <c r="AE93" s="536" t="str">
        <f t="shared" si="16"/>
        <v/>
      </c>
      <c r="AF93" s="536">
        <f t="shared" si="17"/>
        <v>0.40892842535787322</v>
      </c>
      <c r="AG93" s="537" t="str">
        <f t="shared" si="22"/>
        <v/>
      </c>
      <c r="AH93" s="537" t="str">
        <f t="shared" si="23"/>
        <v/>
      </c>
      <c r="AI93" s="525" t="str">
        <f t="shared" si="24"/>
        <v/>
      </c>
      <c r="AJ93" s="522"/>
      <c r="AK93" s="522" t="s">
        <v>315</v>
      </c>
      <c r="AL93" s="526" t="str">
        <f t="shared" si="18"/>
        <v/>
      </c>
      <c r="AM93" s="526" t="str">
        <f t="shared" si="19"/>
        <v/>
      </c>
      <c r="AN93" s="526" t="str">
        <f t="shared" si="20"/>
        <v/>
      </c>
      <c r="AO93" s="526" t="str">
        <f t="shared" si="21"/>
        <v/>
      </c>
    </row>
    <row r="94" spans="1:41" x14ac:dyDescent="0.25">
      <c r="A94" s="2">
        <v>5176376</v>
      </c>
      <c r="B94" s="522" t="s">
        <v>312</v>
      </c>
      <c r="C94" s="522">
        <v>2018</v>
      </c>
      <c r="D94" s="522" t="s">
        <v>297</v>
      </c>
      <c r="E94" s="522" t="s">
        <v>333</v>
      </c>
      <c r="F94" s="522" t="s">
        <v>299</v>
      </c>
      <c r="G94" s="522"/>
      <c r="H94" s="522" t="s">
        <v>342</v>
      </c>
      <c r="I94" s="522"/>
      <c r="J94" s="2" t="s">
        <v>301</v>
      </c>
      <c r="K94" s="522" t="str">
        <f t="shared" si="25"/>
        <v>12-hr TWA</v>
      </c>
      <c r="L94" s="522" t="s">
        <v>302</v>
      </c>
      <c r="M94" s="535">
        <v>39729</v>
      </c>
      <c r="N94" s="2">
        <v>720</v>
      </c>
      <c r="O94" s="2">
        <v>1</v>
      </c>
      <c r="P94" s="2"/>
      <c r="Q94" s="2"/>
      <c r="R94" s="2"/>
      <c r="S94" s="2"/>
      <c r="T94" s="2"/>
      <c r="U94" s="2"/>
      <c r="V94" s="2"/>
      <c r="W94" s="2">
        <v>0.13</v>
      </c>
      <c r="X94" s="2" t="str">
        <f t="shared" si="14"/>
        <v/>
      </c>
      <c r="Y94" s="2">
        <f t="shared" si="15"/>
        <v>6.5000000000000002E-2</v>
      </c>
      <c r="Z94" s="2"/>
      <c r="AA94" s="2"/>
      <c r="AB94" s="2"/>
      <c r="AC94" s="2"/>
      <c r="AD94" s="536">
        <f t="shared" si="26"/>
        <v>0.81785685071574643</v>
      </c>
      <c r="AE94" s="536" t="str">
        <f t="shared" si="16"/>
        <v/>
      </c>
      <c r="AF94" s="536">
        <f t="shared" si="17"/>
        <v>0.40892842535787322</v>
      </c>
      <c r="AG94" s="537" t="str">
        <f t="shared" si="22"/>
        <v/>
      </c>
      <c r="AH94" s="537" t="str">
        <f t="shared" si="23"/>
        <v/>
      </c>
      <c r="AI94" s="525" t="str">
        <f t="shared" si="24"/>
        <v/>
      </c>
      <c r="AJ94" s="522"/>
      <c r="AK94" s="522" t="s">
        <v>315</v>
      </c>
      <c r="AL94" s="526" t="str">
        <f t="shared" si="18"/>
        <v/>
      </c>
      <c r="AM94" s="526" t="str">
        <f t="shared" si="19"/>
        <v/>
      </c>
      <c r="AN94" s="526" t="str">
        <f t="shared" si="20"/>
        <v/>
      </c>
      <c r="AO94" s="526" t="str">
        <f t="shared" si="21"/>
        <v/>
      </c>
    </row>
    <row r="95" spans="1:41" x14ac:dyDescent="0.25">
      <c r="A95" s="2">
        <v>5176376</v>
      </c>
      <c r="B95" s="522" t="s">
        <v>312</v>
      </c>
      <c r="C95" s="522">
        <v>2018</v>
      </c>
      <c r="D95" s="522" t="s">
        <v>297</v>
      </c>
      <c r="E95" s="522" t="s">
        <v>333</v>
      </c>
      <c r="F95" s="522" t="s">
        <v>299</v>
      </c>
      <c r="G95" s="522"/>
      <c r="H95" s="522" t="s">
        <v>342</v>
      </c>
      <c r="I95" s="522"/>
      <c r="J95" s="2" t="s">
        <v>301</v>
      </c>
      <c r="K95" s="522" t="str">
        <f t="shared" si="25"/>
        <v>12-hr TWA</v>
      </c>
      <c r="L95" s="522" t="s">
        <v>302</v>
      </c>
      <c r="M95" s="535">
        <v>39755</v>
      </c>
      <c r="N95" s="2">
        <v>720</v>
      </c>
      <c r="O95" s="2">
        <v>1</v>
      </c>
      <c r="P95" s="2"/>
      <c r="Q95" s="2"/>
      <c r="R95" s="2"/>
      <c r="S95" s="2"/>
      <c r="T95" s="2"/>
      <c r="U95" s="2"/>
      <c r="V95" s="2"/>
      <c r="W95" s="2">
        <v>0.13</v>
      </c>
      <c r="X95" s="2" t="str">
        <f t="shared" si="14"/>
        <v/>
      </c>
      <c r="Y95" s="2">
        <f t="shared" si="15"/>
        <v>6.5000000000000002E-2</v>
      </c>
      <c r="Z95" s="2"/>
      <c r="AA95" s="2"/>
      <c r="AB95" s="2"/>
      <c r="AC95" s="2"/>
      <c r="AD95" s="536">
        <f t="shared" si="26"/>
        <v>0.81785685071574643</v>
      </c>
      <c r="AE95" s="536" t="str">
        <f t="shared" si="16"/>
        <v/>
      </c>
      <c r="AF95" s="536">
        <f t="shared" si="17"/>
        <v>0.40892842535787322</v>
      </c>
      <c r="AG95" s="537" t="str">
        <f t="shared" si="22"/>
        <v/>
      </c>
      <c r="AH95" s="537" t="str">
        <f t="shared" si="23"/>
        <v/>
      </c>
      <c r="AI95" s="525" t="str">
        <f t="shared" si="24"/>
        <v/>
      </c>
      <c r="AJ95" s="522"/>
      <c r="AK95" s="522" t="s">
        <v>315</v>
      </c>
      <c r="AL95" s="526" t="str">
        <f t="shared" si="18"/>
        <v/>
      </c>
      <c r="AM95" s="526" t="str">
        <f t="shared" si="19"/>
        <v/>
      </c>
      <c r="AN95" s="526" t="str">
        <f t="shared" si="20"/>
        <v/>
      </c>
      <c r="AO95" s="526" t="str">
        <f t="shared" si="21"/>
        <v/>
      </c>
    </row>
    <row r="96" spans="1:41" x14ac:dyDescent="0.25">
      <c r="A96" s="2">
        <v>5176376</v>
      </c>
      <c r="B96" s="522" t="s">
        <v>312</v>
      </c>
      <c r="C96" s="522">
        <v>2018</v>
      </c>
      <c r="D96" s="522" t="s">
        <v>297</v>
      </c>
      <c r="E96" s="522" t="s">
        <v>333</v>
      </c>
      <c r="F96" s="522" t="s">
        <v>299</v>
      </c>
      <c r="G96" s="522"/>
      <c r="H96" s="522" t="s">
        <v>343</v>
      </c>
      <c r="I96" s="522"/>
      <c r="J96" s="2" t="s">
        <v>301</v>
      </c>
      <c r="K96" s="522" t="str">
        <f t="shared" si="25"/>
        <v>12-hr TWA</v>
      </c>
      <c r="L96" s="522" t="s">
        <v>302</v>
      </c>
      <c r="M96" s="535">
        <v>39639</v>
      </c>
      <c r="N96" s="2">
        <v>720</v>
      </c>
      <c r="O96" s="2">
        <v>1</v>
      </c>
      <c r="P96" s="2"/>
      <c r="Q96" s="2"/>
      <c r="R96" s="2"/>
      <c r="S96" s="2"/>
      <c r="T96" s="2"/>
      <c r="U96" s="2"/>
      <c r="V96" s="2"/>
      <c r="W96" s="2">
        <v>0.13</v>
      </c>
      <c r="X96" s="2" t="str">
        <f t="shared" si="14"/>
        <v/>
      </c>
      <c r="Y96" s="2">
        <f t="shared" si="15"/>
        <v>6.5000000000000002E-2</v>
      </c>
      <c r="Z96" s="2"/>
      <c r="AA96" s="2"/>
      <c r="AB96" s="2"/>
      <c r="AC96" s="2"/>
      <c r="AD96" s="536">
        <f t="shared" si="26"/>
        <v>0.81785685071574643</v>
      </c>
      <c r="AE96" s="536" t="str">
        <f t="shared" si="16"/>
        <v/>
      </c>
      <c r="AF96" s="536">
        <f t="shared" si="17"/>
        <v>0.40892842535787322</v>
      </c>
      <c r="AG96" s="537" t="str">
        <f t="shared" si="22"/>
        <v/>
      </c>
      <c r="AH96" s="537" t="str">
        <f t="shared" si="23"/>
        <v/>
      </c>
      <c r="AI96" s="525" t="str">
        <f t="shared" si="24"/>
        <v/>
      </c>
      <c r="AJ96" s="522"/>
      <c r="AK96" s="522" t="s">
        <v>315</v>
      </c>
      <c r="AL96" s="526" t="str">
        <f t="shared" si="18"/>
        <v/>
      </c>
      <c r="AM96" s="526" t="str">
        <f t="shared" si="19"/>
        <v/>
      </c>
      <c r="AN96" s="526" t="str">
        <f t="shared" si="20"/>
        <v/>
      </c>
      <c r="AO96" s="526" t="str">
        <f t="shared" si="21"/>
        <v/>
      </c>
    </row>
    <row r="97" spans="1:41" x14ac:dyDescent="0.25">
      <c r="A97" s="2">
        <v>5176376</v>
      </c>
      <c r="B97" s="522" t="s">
        <v>312</v>
      </c>
      <c r="C97" s="522">
        <v>2018</v>
      </c>
      <c r="D97" s="522" t="s">
        <v>297</v>
      </c>
      <c r="E97" s="522" t="s">
        <v>333</v>
      </c>
      <c r="F97" s="522" t="s">
        <v>299</v>
      </c>
      <c r="G97" s="522"/>
      <c r="H97" s="522" t="s">
        <v>337</v>
      </c>
      <c r="I97" s="522"/>
      <c r="J97" s="2" t="s">
        <v>301</v>
      </c>
      <c r="K97" s="522" t="str">
        <f t="shared" si="25"/>
        <v>12-hr TWA</v>
      </c>
      <c r="L97" s="522" t="s">
        <v>302</v>
      </c>
      <c r="M97" s="535">
        <v>39593</v>
      </c>
      <c r="N97" s="2">
        <v>720</v>
      </c>
      <c r="O97" s="2">
        <v>1</v>
      </c>
      <c r="P97" s="2"/>
      <c r="Q97" s="2"/>
      <c r="R97" s="2"/>
      <c r="S97" s="2"/>
      <c r="T97" s="2"/>
      <c r="U97" s="2"/>
      <c r="V97" s="2"/>
      <c r="W97" s="2">
        <v>0.14000000000000001</v>
      </c>
      <c r="X97" s="2" t="str">
        <f t="shared" si="14"/>
        <v/>
      </c>
      <c r="Y97" s="2">
        <f t="shared" si="15"/>
        <v>0.14000000000000001</v>
      </c>
      <c r="Z97" s="2"/>
      <c r="AA97" s="2"/>
      <c r="AB97" s="2"/>
      <c r="AC97" s="2"/>
      <c r="AD97" s="536">
        <f t="shared" si="26"/>
        <v>0.8807689161554193</v>
      </c>
      <c r="AE97" s="536" t="str">
        <f t="shared" si="16"/>
        <v/>
      </c>
      <c r="AF97" s="536">
        <f t="shared" si="17"/>
        <v>0.8807689161554193</v>
      </c>
      <c r="AG97" s="537" t="str">
        <f t="shared" si="22"/>
        <v/>
      </c>
      <c r="AH97" s="537" t="str">
        <f t="shared" si="23"/>
        <v/>
      </c>
      <c r="AI97" s="525" t="str">
        <f t="shared" si="24"/>
        <v/>
      </c>
      <c r="AJ97" s="522"/>
      <c r="AK97" s="522"/>
      <c r="AL97" s="526" t="str">
        <f t="shared" si="18"/>
        <v/>
      </c>
      <c r="AM97" s="526" t="str">
        <f t="shared" si="19"/>
        <v/>
      </c>
      <c r="AN97" s="526">
        <f t="shared" si="20"/>
        <v>0.14000000000000001</v>
      </c>
      <c r="AO97" s="526">
        <f t="shared" si="21"/>
        <v>-1.9661128563728327</v>
      </c>
    </row>
    <row r="98" spans="1:41" x14ac:dyDescent="0.25">
      <c r="A98" s="2">
        <v>5176376</v>
      </c>
      <c r="B98" s="522" t="s">
        <v>312</v>
      </c>
      <c r="C98" s="522">
        <v>2018</v>
      </c>
      <c r="D98" s="522" t="s">
        <v>297</v>
      </c>
      <c r="E98" s="522" t="s">
        <v>333</v>
      </c>
      <c r="F98" s="522" t="s">
        <v>299</v>
      </c>
      <c r="G98" s="522"/>
      <c r="H98" s="522" t="s">
        <v>337</v>
      </c>
      <c r="I98" s="522"/>
      <c r="J98" s="2" t="s">
        <v>301</v>
      </c>
      <c r="K98" s="522" t="str">
        <f t="shared" si="25"/>
        <v>12-hr TWA</v>
      </c>
      <c r="L98" s="522" t="s">
        <v>302</v>
      </c>
      <c r="M98" s="535">
        <v>39680</v>
      </c>
      <c r="N98" s="2">
        <v>720</v>
      </c>
      <c r="O98" s="2">
        <v>1</v>
      </c>
      <c r="P98" s="2"/>
      <c r="Q98" s="2"/>
      <c r="R98" s="2"/>
      <c r="S98" s="2"/>
      <c r="T98" s="2"/>
      <c r="U98" s="2"/>
      <c r="V98" s="2"/>
      <c r="W98" s="2">
        <v>0.14000000000000001</v>
      </c>
      <c r="X98" s="2" t="str">
        <f t="shared" si="14"/>
        <v/>
      </c>
      <c r="Y98" s="2">
        <f t="shared" si="15"/>
        <v>7.0000000000000007E-2</v>
      </c>
      <c r="Z98" s="2"/>
      <c r="AA98" s="2"/>
      <c r="AB98" s="2"/>
      <c r="AC98" s="2"/>
      <c r="AD98" s="536">
        <f t="shared" si="26"/>
        <v>0.8807689161554193</v>
      </c>
      <c r="AE98" s="536" t="str">
        <f t="shared" si="16"/>
        <v/>
      </c>
      <c r="AF98" s="536">
        <f t="shared" si="17"/>
        <v>0.44038445807770965</v>
      </c>
      <c r="AG98" s="537" t="str">
        <f t="shared" si="22"/>
        <v/>
      </c>
      <c r="AH98" s="537" t="str">
        <f t="shared" si="23"/>
        <v/>
      </c>
      <c r="AI98" s="525" t="str">
        <f t="shared" si="24"/>
        <v/>
      </c>
      <c r="AJ98" s="522"/>
      <c r="AK98" s="522" t="s">
        <v>315</v>
      </c>
      <c r="AL98" s="526" t="str">
        <f t="shared" si="18"/>
        <v/>
      </c>
      <c r="AM98" s="526" t="str">
        <f t="shared" si="19"/>
        <v/>
      </c>
      <c r="AN98" s="526" t="str">
        <f t="shared" si="20"/>
        <v/>
      </c>
      <c r="AO98" s="526" t="str">
        <f t="shared" si="21"/>
        <v/>
      </c>
    </row>
    <row r="99" spans="1:41" x14ac:dyDescent="0.25">
      <c r="A99" s="2">
        <v>5176376</v>
      </c>
      <c r="B99" s="522" t="s">
        <v>312</v>
      </c>
      <c r="C99" s="522">
        <v>2018</v>
      </c>
      <c r="D99" s="522" t="s">
        <v>297</v>
      </c>
      <c r="E99" s="522" t="s">
        <v>333</v>
      </c>
      <c r="F99" s="522" t="s">
        <v>299</v>
      </c>
      <c r="G99" s="522"/>
      <c r="H99" s="522" t="s">
        <v>337</v>
      </c>
      <c r="I99" s="522"/>
      <c r="J99" s="2" t="s">
        <v>301</v>
      </c>
      <c r="K99" s="522" t="str">
        <f t="shared" si="25"/>
        <v>12-hr TWA</v>
      </c>
      <c r="L99" s="522" t="s">
        <v>302</v>
      </c>
      <c r="M99" s="535">
        <v>39847</v>
      </c>
      <c r="N99" s="2">
        <v>720</v>
      </c>
      <c r="O99" s="2">
        <v>1</v>
      </c>
      <c r="P99" s="2"/>
      <c r="Q99" s="2"/>
      <c r="R99" s="2"/>
      <c r="S99" s="2"/>
      <c r="T99" s="2"/>
      <c r="U99" s="2"/>
      <c r="V99" s="2"/>
      <c r="W99" s="2">
        <v>0.14000000000000001</v>
      </c>
      <c r="X99" s="2" t="str">
        <f t="shared" si="14"/>
        <v/>
      </c>
      <c r="Y99" s="2">
        <f t="shared" si="15"/>
        <v>7.0000000000000007E-2</v>
      </c>
      <c r="Z99" s="2"/>
      <c r="AA99" s="2"/>
      <c r="AB99" s="2"/>
      <c r="AC99" s="2"/>
      <c r="AD99" s="536">
        <f t="shared" si="26"/>
        <v>0.8807689161554193</v>
      </c>
      <c r="AE99" s="536" t="str">
        <f t="shared" si="16"/>
        <v/>
      </c>
      <c r="AF99" s="536">
        <f t="shared" si="17"/>
        <v>0.44038445807770965</v>
      </c>
      <c r="AG99" s="537" t="str">
        <f t="shared" si="22"/>
        <v/>
      </c>
      <c r="AH99" s="537" t="str">
        <f t="shared" si="23"/>
        <v/>
      </c>
      <c r="AI99" s="525" t="str">
        <f t="shared" si="24"/>
        <v/>
      </c>
      <c r="AJ99" s="522"/>
      <c r="AK99" s="522" t="s">
        <v>315</v>
      </c>
      <c r="AL99" s="526" t="str">
        <f t="shared" si="18"/>
        <v/>
      </c>
      <c r="AM99" s="526" t="str">
        <f t="shared" si="19"/>
        <v/>
      </c>
      <c r="AN99" s="526" t="str">
        <f t="shared" si="20"/>
        <v/>
      </c>
      <c r="AO99" s="526" t="str">
        <f t="shared" si="21"/>
        <v/>
      </c>
    </row>
    <row r="100" spans="1:41" x14ac:dyDescent="0.25">
      <c r="A100" s="2">
        <v>5176376</v>
      </c>
      <c r="B100" s="522" t="s">
        <v>312</v>
      </c>
      <c r="C100" s="522">
        <v>2018</v>
      </c>
      <c r="D100" s="522" t="s">
        <v>297</v>
      </c>
      <c r="E100" s="522" t="s">
        <v>333</v>
      </c>
      <c r="F100" s="522" t="s">
        <v>299</v>
      </c>
      <c r="G100" s="522"/>
      <c r="H100" s="522" t="s">
        <v>335</v>
      </c>
      <c r="I100" s="522"/>
      <c r="J100" s="2" t="s">
        <v>301</v>
      </c>
      <c r="K100" s="522" t="str">
        <f t="shared" si="25"/>
        <v>8-hr TWA</v>
      </c>
      <c r="L100" s="522" t="s">
        <v>302</v>
      </c>
      <c r="M100" s="535">
        <v>39756</v>
      </c>
      <c r="N100" s="2">
        <v>480</v>
      </c>
      <c r="O100" s="2">
        <v>1</v>
      </c>
      <c r="P100" s="2"/>
      <c r="Q100" s="2"/>
      <c r="R100" s="2"/>
      <c r="S100" s="2"/>
      <c r="T100" s="2"/>
      <c r="U100" s="2"/>
      <c r="V100" s="2"/>
      <c r="W100" s="2">
        <v>0.14000000000000001</v>
      </c>
      <c r="X100" s="524">
        <f t="shared" si="14"/>
        <v>9.899494936611665E-2</v>
      </c>
      <c r="Y100" s="2" t="str">
        <f t="shared" si="15"/>
        <v/>
      </c>
      <c r="Z100" s="2"/>
      <c r="AA100" s="2"/>
      <c r="AB100" s="2"/>
      <c r="AC100" s="2"/>
      <c r="AD100" s="536">
        <f t="shared" si="26"/>
        <v>0.8807689161554193</v>
      </c>
      <c r="AE100" s="536">
        <f t="shared" si="16"/>
        <v>0.62279767327182267</v>
      </c>
      <c r="AF100" s="536" t="str">
        <f t="shared" si="17"/>
        <v/>
      </c>
      <c r="AG100" s="537" t="str">
        <f t="shared" si="22"/>
        <v/>
      </c>
      <c r="AH100" s="537" t="str">
        <f t="shared" si="23"/>
        <v/>
      </c>
      <c r="AI100" s="525" t="str">
        <f t="shared" si="24"/>
        <v/>
      </c>
      <c r="AJ100" s="522"/>
      <c r="AK100" s="522" t="s">
        <v>315</v>
      </c>
      <c r="AL100" s="526" t="str">
        <f t="shared" si="18"/>
        <v/>
      </c>
      <c r="AM100" s="526" t="str">
        <f t="shared" si="19"/>
        <v/>
      </c>
      <c r="AN100" s="526" t="str">
        <f t="shared" si="20"/>
        <v/>
      </c>
      <c r="AO100" s="526" t="str">
        <f t="shared" si="21"/>
        <v/>
      </c>
    </row>
    <row r="101" spans="1:41" x14ac:dyDescent="0.25">
      <c r="A101" s="2">
        <v>5176376</v>
      </c>
      <c r="B101" s="522" t="s">
        <v>312</v>
      </c>
      <c r="C101" s="522">
        <v>2018</v>
      </c>
      <c r="D101" s="522" t="s">
        <v>297</v>
      </c>
      <c r="E101" s="522" t="s">
        <v>333</v>
      </c>
      <c r="F101" s="522" t="s">
        <v>299</v>
      </c>
      <c r="G101" s="522"/>
      <c r="H101" s="522" t="s">
        <v>345</v>
      </c>
      <c r="I101" s="522"/>
      <c r="J101" s="2" t="s">
        <v>301</v>
      </c>
      <c r="K101" s="522" t="str">
        <f t="shared" si="25"/>
        <v>8-hr TWA</v>
      </c>
      <c r="L101" s="522" t="s">
        <v>302</v>
      </c>
      <c r="M101" s="535">
        <v>39756</v>
      </c>
      <c r="N101" s="2">
        <v>480</v>
      </c>
      <c r="O101" s="2">
        <v>1</v>
      </c>
      <c r="P101" s="2"/>
      <c r="Q101" s="2"/>
      <c r="R101" s="2"/>
      <c r="S101" s="2"/>
      <c r="T101" s="2"/>
      <c r="U101" s="2"/>
      <c r="V101" s="2"/>
      <c r="W101" s="2">
        <v>0.14000000000000001</v>
      </c>
      <c r="X101" s="524">
        <f t="shared" si="14"/>
        <v>9.899494936611665E-2</v>
      </c>
      <c r="Y101" s="2" t="str">
        <f t="shared" si="15"/>
        <v/>
      </c>
      <c r="Z101" s="2"/>
      <c r="AA101" s="2"/>
      <c r="AB101" s="2"/>
      <c r="AC101" s="2"/>
      <c r="AD101" s="536">
        <f t="shared" si="26"/>
        <v>0.8807689161554193</v>
      </c>
      <c r="AE101" s="536">
        <f t="shared" si="16"/>
        <v>0.62279767327182267</v>
      </c>
      <c r="AF101" s="536" t="str">
        <f t="shared" si="17"/>
        <v/>
      </c>
      <c r="AG101" s="537" t="str">
        <f t="shared" si="22"/>
        <v/>
      </c>
      <c r="AH101" s="537" t="str">
        <f t="shared" si="23"/>
        <v/>
      </c>
      <c r="AI101" s="525" t="str">
        <f t="shared" si="24"/>
        <v/>
      </c>
      <c r="AJ101" s="522"/>
      <c r="AK101" s="522" t="s">
        <v>315</v>
      </c>
      <c r="AL101" s="526" t="str">
        <f t="shared" si="18"/>
        <v/>
      </c>
      <c r="AM101" s="526" t="str">
        <f t="shared" si="19"/>
        <v/>
      </c>
      <c r="AN101" s="526" t="str">
        <f t="shared" si="20"/>
        <v/>
      </c>
      <c r="AO101" s="526" t="str">
        <f t="shared" si="21"/>
        <v/>
      </c>
    </row>
    <row r="102" spans="1:41" x14ac:dyDescent="0.25">
      <c r="A102" s="2">
        <v>5176376</v>
      </c>
      <c r="B102" s="522" t="s">
        <v>312</v>
      </c>
      <c r="C102" s="522">
        <v>2018</v>
      </c>
      <c r="D102" s="522" t="s">
        <v>297</v>
      </c>
      <c r="E102" s="522" t="s">
        <v>333</v>
      </c>
      <c r="F102" s="522" t="s">
        <v>299</v>
      </c>
      <c r="G102" s="522"/>
      <c r="H102" s="522" t="s">
        <v>346</v>
      </c>
      <c r="I102" s="522"/>
      <c r="J102" s="2" t="s">
        <v>301</v>
      </c>
      <c r="K102" s="522" t="str">
        <f t="shared" si="25"/>
        <v>8-hr TWA</v>
      </c>
      <c r="L102" s="522" t="s">
        <v>302</v>
      </c>
      <c r="M102" s="535">
        <v>39552</v>
      </c>
      <c r="N102" s="2">
        <v>480</v>
      </c>
      <c r="O102" s="2">
        <v>1</v>
      </c>
      <c r="P102" s="2"/>
      <c r="Q102" s="2"/>
      <c r="R102" s="2"/>
      <c r="S102" s="2"/>
      <c r="T102" s="2"/>
      <c r="U102" s="2"/>
      <c r="V102" s="2"/>
      <c r="W102" s="2">
        <v>0.14000000000000001</v>
      </c>
      <c r="X102" s="524">
        <f t="shared" si="14"/>
        <v>9.899494936611665E-2</v>
      </c>
      <c r="Y102" s="2" t="str">
        <f t="shared" si="15"/>
        <v/>
      </c>
      <c r="Z102" s="2"/>
      <c r="AA102" s="2"/>
      <c r="AB102" s="2"/>
      <c r="AC102" s="2"/>
      <c r="AD102" s="536">
        <f t="shared" si="26"/>
        <v>0.8807689161554193</v>
      </c>
      <c r="AE102" s="536">
        <f t="shared" si="16"/>
        <v>0.62279767327182267</v>
      </c>
      <c r="AF102" s="536" t="str">
        <f t="shared" si="17"/>
        <v/>
      </c>
      <c r="AG102" s="537" t="str">
        <f t="shared" si="22"/>
        <v/>
      </c>
      <c r="AH102" s="537" t="str">
        <f t="shared" si="23"/>
        <v/>
      </c>
      <c r="AI102" s="525" t="str">
        <f t="shared" si="24"/>
        <v/>
      </c>
      <c r="AJ102" s="522"/>
      <c r="AK102" s="522" t="s">
        <v>315</v>
      </c>
      <c r="AL102" s="526" t="str">
        <f t="shared" si="18"/>
        <v/>
      </c>
      <c r="AM102" s="526" t="str">
        <f t="shared" si="19"/>
        <v/>
      </c>
      <c r="AN102" s="526" t="str">
        <f t="shared" si="20"/>
        <v/>
      </c>
      <c r="AO102" s="526" t="str">
        <f t="shared" si="21"/>
        <v/>
      </c>
    </row>
    <row r="103" spans="1:41" x14ac:dyDescent="0.25">
      <c r="A103" s="2">
        <v>5176376</v>
      </c>
      <c r="B103" s="522" t="s">
        <v>312</v>
      </c>
      <c r="C103" s="522">
        <v>2018</v>
      </c>
      <c r="D103" s="522" t="s">
        <v>297</v>
      </c>
      <c r="E103" s="522" t="s">
        <v>333</v>
      </c>
      <c r="F103" s="522" t="s">
        <v>299</v>
      </c>
      <c r="G103" s="522"/>
      <c r="H103" s="522" t="s">
        <v>347</v>
      </c>
      <c r="I103" s="522"/>
      <c r="J103" s="2" t="s">
        <v>301</v>
      </c>
      <c r="K103" s="522" t="str">
        <f t="shared" si="25"/>
        <v>12-hr TWA</v>
      </c>
      <c r="L103" s="522" t="s">
        <v>302</v>
      </c>
      <c r="M103" s="535">
        <v>39552</v>
      </c>
      <c r="N103" s="2">
        <v>720</v>
      </c>
      <c r="O103" s="2">
        <v>1</v>
      </c>
      <c r="P103" s="2"/>
      <c r="Q103" s="2"/>
      <c r="R103" s="2"/>
      <c r="S103" s="2"/>
      <c r="T103" s="2"/>
      <c r="U103" s="2"/>
      <c r="V103" s="2"/>
      <c r="W103" s="2">
        <v>0.14000000000000001</v>
      </c>
      <c r="X103" s="2" t="str">
        <f t="shared" si="14"/>
        <v/>
      </c>
      <c r="Y103" s="524">
        <f t="shared" si="15"/>
        <v>7.0000000000000007E-2</v>
      </c>
      <c r="Z103" s="2"/>
      <c r="AA103" s="2"/>
      <c r="AB103" s="2"/>
      <c r="AC103" s="2"/>
      <c r="AD103" s="536">
        <f t="shared" si="26"/>
        <v>0.8807689161554193</v>
      </c>
      <c r="AE103" s="536" t="str">
        <f t="shared" si="16"/>
        <v/>
      </c>
      <c r="AF103" s="536">
        <f t="shared" si="17"/>
        <v>0.44038445807770965</v>
      </c>
      <c r="AG103" s="537" t="str">
        <f t="shared" si="22"/>
        <v/>
      </c>
      <c r="AH103" s="537" t="str">
        <f t="shared" si="23"/>
        <v/>
      </c>
      <c r="AI103" s="525" t="str">
        <f t="shared" si="24"/>
        <v/>
      </c>
      <c r="AJ103" s="522"/>
      <c r="AK103" s="522" t="s">
        <v>315</v>
      </c>
      <c r="AL103" s="526" t="str">
        <f t="shared" si="18"/>
        <v/>
      </c>
      <c r="AM103" s="526" t="str">
        <f t="shared" si="19"/>
        <v/>
      </c>
      <c r="AN103" s="526" t="str">
        <f t="shared" si="20"/>
        <v/>
      </c>
      <c r="AO103" s="526" t="str">
        <f t="shared" si="21"/>
        <v/>
      </c>
    </row>
    <row r="104" spans="1:41" x14ac:dyDescent="0.25">
      <c r="A104" s="2">
        <v>5176376</v>
      </c>
      <c r="B104" s="522" t="s">
        <v>312</v>
      </c>
      <c r="C104" s="522">
        <v>2018</v>
      </c>
      <c r="D104" s="522" t="s">
        <v>297</v>
      </c>
      <c r="E104" s="522" t="s">
        <v>333</v>
      </c>
      <c r="F104" s="522" t="s">
        <v>299</v>
      </c>
      <c r="G104" s="522"/>
      <c r="H104" s="522" t="s">
        <v>334</v>
      </c>
      <c r="I104" s="522"/>
      <c r="J104" s="2" t="s">
        <v>301</v>
      </c>
      <c r="K104" s="522" t="str">
        <f t="shared" si="25"/>
        <v>12-hr TWA</v>
      </c>
      <c r="L104" s="522" t="s">
        <v>302</v>
      </c>
      <c r="M104" s="535">
        <v>39734</v>
      </c>
      <c r="N104" s="2">
        <v>720</v>
      </c>
      <c r="O104" s="2">
        <v>1</v>
      </c>
      <c r="P104" s="2"/>
      <c r="Q104" s="2"/>
      <c r="R104" s="2"/>
      <c r="S104" s="2"/>
      <c r="T104" s="2"/>
      <c r="U104" s="2"/>
      <c r="V104" s="2"/>
      <c r="W104" s="2">
        <v>0.14000000000000001</v>
      </c>
      <c r="X104" s="2" t="str">
        <f t="shared" si="14"/>
        <v/>
      </c>
      <c r="Y104" s="524">
        <f t="shared" si="15"/>
        <v>7.0000000000000007E-2</v>
      </c>
      <c r="Z104" s="2"/>
      <c r="AA104" s="2"/>
      <c r="AB104" s="2"/>
      <c r="AC104" s="2"/>
      <c r="AD104" s="536">
        <f t="shared" si="26"/>
        <v>0.8807689161554193</v>
      </c>
      <c r="AE104" s="536" t="str">
        <f t="shared" si="16"/>
        <v/>
      </c>
      <c r="AF104" s="536">
        <f t="shared" si="17"/>
        <v>0.44038445807770965</v>
      </c>
      <c r="AG104" s="537" t="str">
        <f t="shared" si="22"/>
        <v/>
      </c>
      <c r="AH104" s="537" t="str">
        <f t="shared" si="23"/>
        <v/>
      </c>
      <c r="AI104" s="525" t="str">
        <f t="shared" si="24"/>
        <v/>
      </c>
      <c r="AJ104" s="522"/>
      <c r="AK104" s="522" t="s">
        <v>315</v>
      </c>
      <c r="AL104" s="526" t="str">
        <f t="shared" si="18"/>
        <v/>
      </c>
      <c r="AM104" s="526" t="str">
        <f t="shared" si="19"/>
        <v/>
      </c>
      <c r="AN104" s="526" t="str">
        <f t="shared" si="20"/>
        <v/>
      </c>
      <c r="AO104" s="526" t="str">
        <f t="shared" si="21"/>
        <v/>
      </c>
    </row>
    <row r="105" spans="1:41" x14ac:dyDescent="0.25">
      <c r="A105" s="2">
        <v>5176376</v>
      </c>
      <c r="B105" s="522" t="s">
        <v>312</v>
      </c>
      <c r="C105" s="522">
        <v>2018</v>
      </c>
      <c r="D105" s="522" t="s">
        <v>297</v>
      </c>
      <c r="E105" s="522" t="s">
        <v>333</v>
      </c>
      <c r="F105" s="522" t="s">
        <v>299</v>
      </c>
      <c r="G105" s="522"/>
      <c r="H105" s="522" t="s">
        <v>344</v>
      </c>
      <c r="I105" s="522"/>
      <c r="J105" s="2" t="s">
        <v>301</v>
      </c>
      <c r="K105" s="522" t="str">
        <f t="shared" si="25"/>
        <v>12-hr TWA</v>
      </c>
      <c r="L105" s="522" t="s">
        <v>302</v>
      </c>
      <c r="M105" s="535">
        <v>39394</v>
      </c>
      <c r="N105" s="2">
        <v>720</v>
      </c>
      <c r="O105" s="2">
        <v>1</v>
      </c>
      <c r="P105" s="2"/>
      <c r="Q105" s="2"/>
      <c r="R105" s="2"/>
      <c r="S105" s="2"/>
      <c r="T105" s="2"/>
      <c r="U105" s="2"/>
      <c r="V105" s="2"/>
      <c r="W105" s="2">
        <v>0.14000000000000001</v>
      </c>
      <c r="X105" s="2" t="str">
        <f t="shared" si="14"/>
        <v/>
      </c>
      <c r="Y105" s="524">
        <f t="shared" si="15"/>
        <v>7.0000000000000007E-2</v>
      </c>
      <c r="Z105" s="2"/>
      <c r="AA105" s="2"/>
      <c r="AB105" s="2"/>
      <c r="AC105" s="2"/>
      <c r="AD105" s="536">
        <f t="shared" si="26"/>
        <v>0.8807689161554193</v>
      </c>
      <c r="AE105" s="536" t="str">
        <f t="shared" si="16"/>
        <v/>
      </c>
      <c r="AF105" s="536">
        <f t="shared" si="17"/>
        <v>0.44038445807770965</v>
      </c>
      <c r="AG105" s="537" t="str">
        <f t="shared" si="22"/>
        <v/>
      </c>
      <c r="AH105" s="537" t="str">
        <f t="shared" si="23"/>
        <v/>
      </c>
      <c r="AI105" s="525" t="str">
        <f t="shared" si="24"/>
        <v/>
      </c>
      <c r="AJ105" s="522"/>
      <c r="AK105" s="522" t="s">
        <v>315</v>
      </c>
      <c r="AL105" s="526" t="str">
        <f t="shared" si="18"/>
        <v/>
      </c>
      <c r="AM105" s="526" t="str">
        <f t="shared" si="19"/>
        <v/>
      </c>
      <c r="AN105" s="526" t="str">
        <f t="shared" si="20"/>
        <v/>
      </c>
      <c r="AO105" s="526" t="str">
        <f t="shared" si="21"/>
        <v/>
      </c>
    </row>
    <row r="106" spans="1:41" x14ac:dyDescent="0.25">
      <c r="A106" s="2">
        <v>5176376</v>
      </c>
      <c r="B106" s="522" t="s">
        <v>312</v>
      </c>
      <c r="C106" s="522">
        <v>2018</v>
      </c>
      <c r="D106" s="522" t="s">
        <v>297</v>
      </c>
      <c r="E106" s="522" t="s">
        <v>333</v>
      </c>
      <c r="F106" s="522" t="s">
        <v>299</v>
      </c>
      <c r="G106" s="522"/>
      <c r="H106" s="522" t="s">
        <v>348</v>
      </c>
      <c r="I106" s="522"/>
      <c r="J106" s="2" t="s">
        <v>301</v>
      </c>
      <c r="K106" s="522" t="str">
        <f t="shared" si="25"/>
        <v>12-hr TWA</v>
      </c>
      <c r="L106" s="522" t="s">
        <v>302</v>
      </c>
      <c r="M106" s="535">
        <v>39742</v>
      </c>
      <c r="N106" s="2">
        <v>720</v>
      </c>
      <c r="O106" s="2">
        <v>1</v>
      </c>
      <c r="P106" s="2"/>
      <c r="Q106" s="2"/>
      <c r="R106" s="2"/>
      <c r="S106" s="2"/>
      <c r="T106" s="2"/>
      <c r="U106" s="2"/>
      <c r="V106" s="2"/>
      <c r="W106" s="2">
        <v>0.14000000000000001</v>
      </c>
      <c r="X106" s="2" t="str">
        <f t="shared" si="14"/>
        <v/>
      </c>
      <c r="Y106" s="524">
        <f t="shared" si="15"/>
        <v>7.0000000000000007E-2</v>
      </c>
      <c r="Z106" s="2"/>
      <c r="AA106" s="2"/>
      <c r="AB106" s="2"/>
      <c r="AC106" s="2"/>
      <c r="AD106" s="536">
        <f t="shared" si="26"/>
        <v>0.8807689161554193</v>
      </c>
      <c r="AE106" s="536" t="str">
        <f t="shared" si="16"/>
        <v/>
      </c>
      <c r="AF106" s="536">
        <f t="shared" si="17"/>
        <v>0.44038445807770965</v>
      </c>
      <c r="AG106" s="537" t="str">
        <f t="shared" si="22"/>
        <v/>
      </c>
      <c r="AH106" s="537" t="str">
        <f t="shared" si="23"/>
        <v/>
      </c>
      <c r="AI106" s="525" t="str">
        <f t="shared" si="24"/>
        <v/>
      </c>
      <c r="AJ106" s="522"/>
      <c r="AK106" s="522" t="s">
        <v>315</v>
      </c>
      <c r="AL106" s="526" t="str">
        <f t="shared" si="18"/>
        <v/>
      </c>
      <c r="AM106" s="526" t="str">
        <f t="shared" si="19"/>
        <v/>
      </c>
      <c r="AN106" s="526" t="str">
        <f t="shared" si="20"/>
        <v/>
      </c>
      <c r="AO106" s="526" t="str">
        <f t="shared" si="21"/>
        <v/>
      </c>
    </row>
    <row r="107" spans="1:41" x14ac:dyDescent="0.25">
      <c r="A107" s="2">
        <v>5176376</v>
      </c>
      <c r="B107" s="522" t="s">
        <v>312</v>
      </c>
      <c r="C107" s="522">
        <v>2018</v>
      </c>
      <c r="D107" s="522" t="s">
        <v>297</v>
      </c>
      <c r="E107" s="522" t="s">
        <v>333</v>
      </c>
      <c r="F107" s="522" t="s">
        <v>299</v>
      </c>
      <c r="G107" s="522"/>
      <c r="H107" s="522" t="s">
        <v>348</v>
      </c>
      <c r="I107" s="522"/>
      <c r="J107" s="2" t="s">
        <v>301</v>
      </c>
      <c r="K107" s="522" t="str">
        <f t="shared" si="25"/>
        <v>12-hr TWA</v>
      </c>
      <c r="L107" s="522" t="s">
        <v>302</v>
      </c>
      <c r="M107" s="535">
        <v>39743</v>
      </c>
      <c r="N107" s="2">
        <v>720</v>
      </c>
      <c r="O107" s="2">
        <v>1</v>
      </c>
      <c r="P107" s="2"/>
      <c r="Q107" s="2"/>
      <c r="R107" s="2"/>
      <c r="S107" s="2"/>
      <c r="T107" s="2"/>
      <c r="U107" s="2"/>
      <c r="V107" s="2"/>
      <c r="W107" s="2">
        <v>0.14000000000000001</v>
      </c>
      <c r="X107" s="2" t="str">
        <f t="shared" si="14"/>
        <v/>
      </c>
      <c r="Y107" s="524">
        <f t="shared" si="15"/>
        <v>7.0000000000000007E-2</v>
      </c>
      <c r="Z107" s="2"/>
      <c r="AA107" s="2"/>
      <c r="AB107" s="2"/>
      <c r="AC107" s="2"/>
      <c r="AD107" s="536">
        <f t="shared" si="26"/>
        <v>0.8807689161554193</v>
      </c>
      <c r="AE107" s="536" t="str">
        <f t="shared" si="16"/>
        <v/>
      </c>
      <c r="AF107" s="536">
        <f t="shared" si="17"/>
        <v>0.44038445807770965</v>
      </c>
      <c r="AG107" s="537" t="str">
        <f t="shared" si="22"/>
        <v/>
      </c>
      <c r="AH107" s="537" t="str">
        <f t="shared" si="23"/>
        <v/>
      </c>
      <c r="AI107" s="525" t="str">
        <f t="shared" si="24"/>
        <v/>
      </c>
      <c r="AJ107" s="522"/>
      <c r="AK107" s="522" t="s">
        <v>315</v>
      </c>
      <c r="AL107" s="526" t="str">
        <f t="shared" si="18"/>
        <v/>
      </c>
      <c r="AM107" s="526" t="str">
        <f t="shared" si="19"/>
        <v/>
      </c>
      <c r="AN107" s="526" t="str">
        <f t="shared" si="20"/>
        <v/>
      </c>
      <c r="AO107" s="526" t="str">
        <f t="shared" si="21"/>
        <v/>
      </c>
    </row>
    <row r="108" spans="1:41" x14ac:dyDescent="0.25">
      <c r="A108" s="2">
        <v>5176376</v>
      </c>
      <c r="B108" s="522" t="s">
        <v>312</v>
      </c>
      <c r="C108" s="522">
        <v>2018</v>
      </c>
      <c r="D108" s="522" t="s">
        <v>297</v>
      </c>
      <c r="E108" s="522" t="s">
        <v>333</v>
      </c>
      <c r="F108" s="522" t="s">
        <v>299</v>
      </c>
      <c r="G108" s="522"/>
      <c r="H108" s="522" t="s">
        <v>348</v>
      </c>
      <c r="I108" s="522"/>
      <c r="J108" s="2" t="s">
        <v>301</v>
      </c>
      <c r="K108" s="522" t="str">
        <f t="shared" si="25"/>
        <v>12-hr TWA</v>
      </c>
      <c r="L108" s="522" t="s">
        <v>302</v>
      </c>
      <c r="M108" s="535">
        <v>39744</v>
      </c>
      <c r="N108" s="2">
        <v>720</v>
      </c>
      <c r="O108" s="2">
        <v>1</v>
      </c>
      <c r="P108" s="2"/>
      <c r="Q108" s="2"/>
      <c r="R108" s="2"/>
      <c r="S108" s="2"/>
      <c r="T108" s="2"/>
      <c r="U108" s="2"/>
      <c r="V108" s="2"/>
      <c r="W108" s="2">
        <v>0.14000000000000001</v>
      </c>
      <c r="X108" s="2" t="str">
        <f t="shared" si="14"/>
        <v/>
      </c>
      <c r="Y108" s="524">
        <f t="shared" si="15"/>
        <v>7.0000000000000007E-2</v>
      </c>
      <c r="Z108" s="2"/>
      <c r="AA108" s="2"/>
      <c r="AB108" s="2"/>
      <c r="AC108" s="2"/>
      <c r="AD108" s="536">
        <f t="shared" si="26"/>
        <v>0.8807689161554193</v>
      </c>
      <c r="AE108" s="536" t="str">
        <f t="shared" si="16"/>
        <v/>
      </c>
      <c r="AF108" s="536">
        <f t="shared" si="17"/>
        <v>0.44038445807770965</v>
      </c>
      <c r="AG108" s="537" t="str">
        <f t="shared" si="22"/>
        <v/>
      </c>
      <c r="AH108" s="537" t="str">
        <f t="shared" si="23"/>
        <v/>
      </c>
      <c r="AI108" s="525" t="str">
        <f t="shared" si="24"/>
        <v/>
      </c>
      <c r="AJ108" s="522"/>
      <c r="AK108" s="522" t="s">
        <v>315</v>
      </c>
      <c r="AL108" s="526" t="str">
        <f t="shared" si="18"/>
        <v/>
      </c>
      <c r="AM108" s="526" t="str">
        <f t="shared" si="19"/>
        <v/>
      </c>
      <c r="AN108" s="526" t="str">
        <f t="shared" si="20"/>
        <v/>
      </c>
      <c r="AO108" s="526" t="str">
        <f t="shared" si="21"/>
        <v/>
      </c>
    </row>
    <row r="109" spans="1:41" x14ac:dyDescent="0.25">
      <c r="A109" s="2">
        <v>5176376</v>
      </c>
      <c r="B109" s="522" t="s">
        <v>312</v>
      </c>
      <c r="C109" s="522">
        <v>2018</v>
      </c>
      <c r="D109" s="522" t="s">
        <v>297</v>
      </c>
      <c r="E109" s="522" t="s">
        <v>333</v>
      </c>
      <c r="F109" s="522" t="s">
        <v>299</v>
      </c>
      <c r="G109" s="522"/>
      <c r="H109" s="522" t="s">
        <v>337</v>
      </c>
      <c r="I109" s="522"/>
      <c r="J109" s="2" t="s">
        <v>301</v>
      </c>
      <c r="K109" s="522" t="str">
        <f t="shared" si="25"/>
        <v>12-hr TWA</v>
      </c>
      <c r="L109" s="522" t="s">
        <v>302</v>
      </c>
      <c r="M109" s="535">
        <v>39848</v>
      </c>
      <c r="N109" s="2">
        <v>720</v>
      </c>
      <c r="O109" s="2">
        <v>1</v>
      </c>
      <c r="P109" s="2"/>
      <c r="Q109" s="2"/>
      <c r="R109" s="2"/>
      <c r="S109" s="2"/>
      <c r="T109" s="2"/>
      <c r="U109" s="2"/>
      <c r="V109" s="2"/>
      <c r="W109" s="2">
        <v>0.15</v>
      </c>
      <c r="X109" s="2" t="str">
        <f t="shared" si="14"/>
        <v/>
      </c>
      <c r="Y109" s="2">
        <f t="shared" si="15"/>
        <v>7.4999999999999997E-2</v>
      </c>
      <c r="Z109" s="2"/>
      <c r="AA109" s="2"/>
      <c r="AB109" s="2"/>
      <c r="AC109" s="2"/>
      <c r="AD109" s="536">
        <f t="shared" si="26"/>
        <v>0.94368098159509195</v>
      </c>
      <c r="AE109" s="536" t="str">
        <f t="shared" si="16"/>
        <v/>
      </c>
      <c r="AF109" s="536">
        <f t="shared" si="17"/>
        <v>0.47184049079754597</v>
      </c>
      <c r="AG109" s="537" t="str">
        <f t="shared" si="22"/>
        <v/>
      </c>
      <c r="AH109" s="537" t="str">
        <f t="shared" si="23"/>
        <v/>
      </c>
      <c r="AI109" s="525" t="str">
        <f t="shared" si="24"/>
        <v/>
      </c>
      <c r="AJ109" s="522"/>
      <c r="AK109" s="522" t="s">
        <v>315</v>
      </c>
      <c r="AL109" s="526" t="str">
        <f t="shared" si="18"/>
        <v/>
      </c>
      <c r="AM109" s="526" t="str">
        <f t="shared" si="19"/>
        <v/>
      </c>
      <c r="AN109" s="526" t="str">
        <f t="shared" si="20"/>
        <v/>
      </c>
      <c r="AO109" s="526" t="str">
        <f t="shared" si="21"/>
        <v/>
      </c>
    </row>
    <row r="110" spans="1:41" x14ac:dyDescent="0.25">
      <c r="A110" s="2">
        <v>5176376</v>
      </c>
      <c r="B110" s="522" t="s">
        <v>312</v>
      </c>
      <c r="C110" s="522">
        <v>2018</v>
      </c>
      <c r="D110" s="522" t="s">
        <v>297</v>
      </c>
      <c r="E110" s="522" t="s">
        <v>333</v>
      </c>
      <c r="F110" s="522" t="s">
        <v>299</v>
      </c>
      <c r="G110" s="522"/>
      <c r="H110" s="522" t="s">
        <v>337</v>
      </c>
      <c r="I110" s="522"/>
      <c r="J110" s="2" t="s">
        <v>301</v>
      </c>
      <c r="K110" s="522" t="str">
        <f t="shared" si="25"/>
        <v>12-hr TWA</v>
      </c>
      <c r="L110" s="522" t="s">
        <v>302</v>
      </c>
      <c r="M110" s="535">
        <v>39849</v>
      </c>
      <c r="N110" s="2">
        <v>720</v>
      </c>
      <c r="O110" s="2">
        <v>1</v>
      </c>
      <c r="P110" s="2"/>
      <c r="Q110" s="2"/>
      <c r="R110" s="2"/>
      <c r="S110" s="2"/>
      <c r="T110" s="2"/>
      <c r="U110" s="2"/>
      <c r="V110" s="2"/>
      <c r="W110" s="2">
        <v>0.15</v>
      </c>
      <c r="X110" s="2" t="str">
        <f t="shared" si="14"/>
        <v/>
      </c>
      <c r="Y110" s="2">
        <f t="shared" si="15"/>
        <v>7.4999999999999997E-2</v>
      </c>
      <c r="Z110" s="2"/>
      <c r="AA110" s="2"/>
      <c r="AB110" s="2"/>
      <c r="AC110" s="2"/>
      <c r="AD110" s="536">
        <f t="shared" si="26"/>
        <v>0.94368098159509195</v>
      </c>
      <c r="AE110" s="536" t="str">
        <f t="shared" si="16"/>
        <v/>
      </c>
      <c r="AF110" s="536">
        <f t="shared" si="17"/>
        <v>0.47184049079754597</v>
      </c>
      <c r="AG110" s="537" t="str">
        <f t="shared" si="22"/>
        <v/>
      </c>
      <c r="AH110" s="537" t="str">
        <f t="shared" si="23"/>
        <v/>
      </c>
      <c r="AI110" s="525" t="str">
        <f t="shared" si="24"/>
        <v/>
      </c>
      <c r="AJ110" s="522"/>
      <c r="AK110" s="522" t="s">
        <v>315</v>
      </c>
      <c r="AL110" s="526" t="str">
        <f t="shared" si="18"/>
        <v/>
      </c>
      <c r="AM110" s="526" t="str">
        <f t="shared" si="19"/>
        <v/>
      </c>
      <c r="AN110" s="526" t="str">
        <f t="shared" si="20"/>
        <v/>
      </c>
      <c r="AO110" s="526" t="str">
        <f t="shared" si="21"/>
        <v/>
      </c>
    </row>
    <row r="111" spans="1:41" x14ac:dyDescent="0.25">
      <c r="A111" s="2">
        <v>5176376</v>
      </c>
      <c r="B111" s="522" t="s">
        <v>312</v>
      </c>
      <c r="C111" s="522">
        <v>2018</v>
      </c>
      <c r="D111" s="522" t="s">
        <v>297</v>
      </c>
      <c r="E111" s="522" t="s">
        <v>333</v>
      </c>
      <c r="F111" s="522" t="s">
        <v>299</v>
      </c>
      <c r="G111" s="522"/>
      <c r="H111" s="522" t="s">
        <v>335</v>
      </c>
      <c r="I111" s="522"/>
      <c r="J111" s="2" t="s">
        <v>301</v>
      </c>
      <c r="K111" s="522" t="str">
        <f t="shared" si="25"/>
        <v>8-hr TWA</v>
      </c>
      <c r="L111" s="522" t="s">
        <v>302</v>
      </c>
      <c r="M111" s="535">
        <v>39055</v>
      </c>
      <c r="N111" s="2">
        <v>480</v>
      </c>
      <c r="O111" s="2">
        <v>1</v>
      </c>
      <c r="P111" s="2"/>
      <c r="Q111" s="2"/>
      <c r="R111" s="2"/>
      <c r="S111" s="2"/>
      <c r="T111" s="2"/>
      <c r="U111" s="2"/>
      <c r="V111" s="2"/>
      <c r="W111" s="2">
        <v>0.15</v>
      </c>
      <c r="X111" s="444">
        <f t="shared" si="14"/>
        <v>0.10606601717798211</v>
      </c>
      <c r="Y111" s="2" t="str">
        <f t="shared" si="15"/>
        <v/>
      </c>
      <c r="Z111" s="2"/>
      <c r="AA111" s="2"/>
      <c r="AB111" s="2"/>
      <c r="AC111" s="2"/>
      <c r="AD111" s="536">
        <f t="shared" si="26"/>
        <v>0.94368098159509195</v>
      </c>
      <c r="AE111" s="536">
        <f t="shared" si="16"/>
        <v>0.66728322136266705</v>
      </c>
      <c r="AF111" s="536" t="str">
        <f t="shared" si="17"/>
        <v/>
      </c>
      <c r="AG111" s="537" t="str">
        <f t="shared" si="22"/>
        <v/>
      </c>
      <c r="AH111" s="537" t="str">
        <f t="shared" si="23"/>
        <v/>
      </c>
      <c r="AI111" s="525" t="str">
        <f t="shared" si="24"/>
        <v/>
      </c>
      <c r="AJ111" s="522"/>
      <c r="AK111" s="522" t="s">
        <v>315</v>
      </c>
      <c r="AL111" s="526" t="str">
        <f t="shared" si="18"/>
        <v/>
      </c>
      <c r="AM111" s="526" t="str">
        <f t="shared" si="19"/>
        <v/>
      </c>
      <c r="AN111" s="526" t="str">
        <f t="shared" si="20"/>
        <v/>
      </c>
      <c r="AO111" s="526" t="str">
        <f t="shared" si="21"/>
        <v/>
      </c>
    </row>
    <row r="112" spans="1:41" x14ac:dyDescent="0.25">
      <c r="A112" s="2">
        <v>5176376</v>
      </c>
      <c r="B112" s="522" t="s">
        <v>312</v>
      </c>
      <c r="C112" s="522">
        <v>2018</v>
      </c>
      <c r="D112" s="522" t="s">
        <v>297</v>
      </c>
      <c r="E112" s="522" t="s">
        <v>333</v>
      </c>
      <c r="F112" s="522" t="s">
        <v>299</v>
      </c>
      <c r="G112" s="522"/>
      <c r="H112" s="522" t="s">
        <v>335</v>
      </c>
      <c r="I112" s="522"/>
      <c r="J112" s="2" t="s">
        <v>301</v>
      </c>
      <c r="K112" s="522" t="str">
        <f t="shared" si="25"/>
        <v>8-hr TWA</v>
      </c>
      <c r="L112" s="522" t="s">
        <v>302</v>
      </c>
      <c r="M112" s="535">
        <v>39056</v>
      </c>
      <c r="N112" s="2">
        <v>480</v>
      </c>
      <c r="O112" s="2">
        <v>1</v>
      </c>
      <c r="P112" s="2"/>
      <c r="Q112" s="2"/>
      <c r="R112" s="2"/>
      <c r="S112" s="2"/>
      <c r="T112" s="2"/>
      <c r="U112" s="2"/>
      <c r="V112" s="2"/>
      <c r="W112" s="2">
        <v>0.15</v>
      </c>
      <c r="X112" s="444">
        <f t="shared" si="14"/>
        <v>0.10606601717798211</v>
      </c>
      <c r="Y112" s="2" t="str">
        <f t="shared" si="15"/>
        <v/>
      </c>
      <c r="Z112" s="2"/>
      <c r="AA112" s="2"/>
      <c r="AB112" s="2"/>
      <c r="AC112" s="2"/>
      <c r="AD112" s="536">
        <f t="shared" si="26"/>
        <v>0.94368098159509195</v>
      </c>
      <c r="AE112" s="536">
        <f t="shared" si="16"/>
        <v>0.66728322136266705</v>
      </c>
      <c r="AF112" s="536" t="str">
        <f t="shared" si="17"/>
        <v/>
      </c>
      <c r="AG112" s="537" t="str">
        <f t="shared" si="22"/>
        <v/>
      </c>
      <c r="AH112" s="537" t="str">
        <f t="shared" si="23"/>
        <v/>
      </c>
      <c r="AI112" s="525" t="str">
        <f t="shared" si="24"/>
        <v/>
      </c>
      <c r="AJ112" s="522"/>
      <c r="AK112" s="522" t="s">
        <v>315</v>
      </c>
      <c r="AL112" s="526" t="str">
        <f t="shared" si="18"/>
        <v/>
      </c>
      <c r="AM112" s="526" t="str">
        <f t="shared" si="19"/>
        <v/>
      </c>
      <c r="AN112" s="526" t="str">
        <f t="shared" si="20"/>
        <v/>
      </c>
      <c r="AO112" s="526" t="str">
        <f t="shared" si="21"/>
        <v/>
      </c>
    </row>
    <row r="113" spans="1:41" x14ac:dyDescent="0.25">
      <c r="A113" s="3">
        <v>5176376</v>
      </c>
      <c r="B113" s="454" t="s">
        <v>312</v>
      </c>
      <c r="C113" s="454">
        <v>2018</v>
      </c>
      <c r="D113" s="454" t="s">
        <v>297</v>
      </c>
      <c r="E113" s="454" t="s">
        <v>333</v>
      </c>
      <c r="F113" s="454" t="s">
        <v>299</v>
      </c>
      <c r="G113" s="454"/>
      <c r="H113" s="454" t="s">
        <v>349</v>
      </c>
      <c r="I113" s="454"/>
      <c r="J113" s="3" t="s">
        <v>41</v>
      </c>
      <c r="K113" s="454" t="str">
        <f t="shared" si="25"/>
        <v>8-hr TWA</v>
      </c>
      <c r="L113" s="454" t="s">
        <v>302</v>
      </c>
      <c r="M113" s="572">
        <v>39055</v>
      </c>
      <c r="N113" s="3">
        <v>480</v>
      </c>
      <c r="O113" s="3">
        <v>1</v>
      </c>
      <c r="P113" s="3"/>
      <c r="Q113" s="3"/>
      <c r="R113" s="3"/>
      <c r="S113" s="3"/>
      <c r="T113" s="3"/>
      <c r="U113" s="3"/>
      <c r="V113" s="3"/>
      <c r="W113" s="3">
        <v>0.15</v>
      </c>
      <c r="X113" s="574"/>
      <c r="Y113" s="3"/>
      <c r="Z113" s="2"/>
      <c r="AA113" s="2"/>
      <c r="AB113" s="2"/>
      <c r="AC113" s="2"/>
      <c r="AD113" s="536">
        <f t="shared" si="26"/>
        <v>0.94368098159509195</v>
      </c>
      <c r="AE113" s="536"/>
      <c r="AF113" s="536"/>
      <c r="AG113" s="537">
        <f t="shared" si="22"/>
        <v>0.94368098159509195</v>
      </c>
      <c r="AH113" s="537" t="str">
        <f t="shared" si="23"/>
        <v/>
      </c>
      <c r="AI113" s="525" t="str">
        <f t="shared" si="24"/>
        <v/>
      </c>
      <c r="AJ113" s="522"/>
      <c r="AK113" s="522" t="s">
        <v>315</v>
      </c>
      <c r="AL113" s="526"/>
      <c r="AM113" s="526"/>
      <c r="AN113" s="526"/>
      <c r="AO113" s="526"/>
    </row>
    <row r="114" spans="1:41" x14ac:dyDescent="0.25">
      <c r="A114" s="3">
        <v>5176376</v>
      </c>
      <c r="B114" s="454" t="s">
        <v>312</v>
      </c>
      <c r="C114" s="454">
        <v>2018</v>
      </c>
      <c r="D114" s="454" t="s">
        <v>297</v>
      </c>
      <c r="E114" s="454" t="s">
        <v>333</v>
      </c>
      <c r="F114" s="454" t="s">
        <v>299</v>
      </c>
      <c r="G114" s="454"/>
      <c r="H114" s="454" t="s">
        <v>349</v>
      </c>
      <c r="I114" s="454"/>
      <c r="J114" s="3" t="s">
        <v>41</v>
      </c>
      <c r="K114" s="454" t="str">
        <f t="shared" si="25"/>
        <v>8-hr TWA</v>
      </c>
      <c r="L114" s="454" t="s">
        <v>302</v>
      </c>
      <c r="M114" s="572">
        <v>39056</v>
      </c>
      <c r="N114" s="3">
        <v>480</v>
      </c>
      <c r="O114" s="3">
        <v>1</v>
      </c>
      <c r="P114" s="3"/>
      <c r="Q114" s="3"/>
      <c r="R114" s="3"/>
      <c r="S114" s="3"/>
      <c r="T114" s="3"/>
      <c r="U114" s="3"/>
      <c r="V114" s="3"/>
      <c r="W114" s="3">
        <v>0.15</v>
      </c>
      <c r="X114" s="574"/>
      <c r="Y114" s="3"/>
      <c r="Z114" s="2"/>
      <c r="AA114" s="2"/>
      <c r="AB114" s="2"/>
      <c r="AC114" s="2"/>
      <c r="AD114" s="536">
        <f t="shared" si="26"/>
        <v>0.94368098159509195</v>
      </c>
      <c r="AE114" s="536"/>
      <c r="AF114" s="536"/>
      <c r="AG114" s="537">
        <f t="shared" si="22"/>
        <v>0.94368098159509195</v>
      </c>
      <c r="AH114" s="537" t="str">
        <f t="shared" si="23"/>
        <v/>
      </c>
      <c r="AI114" s="525" t="str">
        <f t="shared" si="24"/>
        <v/>
      </c>
      <c r="AJ114" s="522"/>
      <c r="AK114" s="522" t="s">
        <v>315</v>
      </c>
      <c r="AL114" s="526"/>
      <c r="AM114" s="526"/>
      <c r="AN114" s="526"/>
      <c r="AO114" s="526"/>
    </row>
    <row r="115" spans="1:41" x14ac:dyDescent="0.25">
      <c r="A115" s="3">
        <v>5176376</v>
      </c>
      <c r="B115" s="454" t="s">
        <v>312</v>
      </c>
      <c r="C115" s="454">
        <v>2018</v>
      </c>
      <c r="D115" s="454" t="s">
        <v>297</v>
      </c>
      <c r="E115" s="454" t="s">
        <v>333</v>
      </c>
      <c r="F115" s="454" t="s">
        <v>299</v>
      </c>
      <c r="G115" s="454"/>
      <c r="H115" s="454" t="s">
        <v>349</v>
      </c>
      <c r="I115" s="454"/>
      <c r="J115" s="3" t="s">
        <v>41</v>
      </c>
      <c r="K115" s="454" t="str">
        <f t="shared" si="25"/>
        <v>8-hr TWA</v>
      </c>
      <c r="L115" s="454" t="s">
        <v>302</v>
      </c>
      <c r="M115" s="572">
        <v>39757</v>
      </c>
      <c r="N115" s="3">
        <v>480</v>
      </c>
      <c r="O115" s="3">
        <v>1</v>
      </c>
      <c r="P115" s="3"/>
      <c r="Q115" s="3"/>
      <c r="R115" s="3"/>
      <c r="S115" s="3"/>
      <c r="T115" s="3"/>
      <c r="U115" s="3"/>
      <c r="V115" s="3"/>
      <c r="W115" s="3">
        <v>0.15</v>
      </c>
      <c r="X115" s="574"/>
      <c r="Y115" s="3"/>
      <c r="Z115" s="2"/>
      <c r="AA115" s="2"/>
      <c r="AB115" s="2"/>
      <c r="AC115" s="2"/>
      <c r="AD115" s="536">
        <f t="shared" si="26"/>
        <v>0.94368098159509195</v>
      </c>
      <c r="AE115" s="536"/>
      <c r="AF115" s="536"/>
      <c r="AG115" s="537">
        <f t="shared" si="22"/>
        <v>0.94368098159509195</v>
      </c>
      <c r="AH115" s="537" t="str">
        <f t="shared" si="23"/>
        <v/>
      </c>
      <c r="AI115" s="525" t="str">
        <f t="shared" si="24"/>
        <v/>
      </c>
      <c r="AJ115" s="522"/>
      <c r="AK115" s="522" t="s">
        <v>315</v>
      </c>
      <c r="AM115" s="526"/>
      <c r="AN115" s="526"/>
      <c r="AO115" s="526"/>
    </row>
    <row r="116" spans="1:41" x14ac:dyDescent="0.25">
      <c r="A116" s="2">
        <v>5176376</v>
      </c>
      <c r="B116" s="522" t="s">
        <v>312</v>
      </c>
      <c r="C116" s="522">
        <v>2018</v>
      </c>
      <c r="D116" s="522" t="s">
        <v>297</v>
      </c>
      <c r="E116" s="522" t="s">
        <v>333</v>
      </c>
      <c r="F116" s="522" t="s">
        <v>299</v>
      </c>
      <c r="G116" s="522"/>
      <c r="H116" s="522" t="s">
        <v>345</v>
      </c>
      <c r="I116" s="522"/>
      <c r="J116" s="2" t="s">
        <v>301</v>
      </c>
      <c r="K116" s="522" t="str">
        <f t="shared" si="25"/>
        <v>8-hr TWA</v>
      </c>
      <c r="L116" s="522" t="s">
        <v>302</v>
      </c>
      <c r="M116" s="535">
        <v>39055</v>
      </c>
      <c r="N116" s="2">
        <v>480</v>
      </c>
      <c r="O116" s="2">
        <v>1</v>
      </c>
      <c r="P116" s="2"/>
      <c r="Q116" s="2"/>
      <c r="R116" s="2"/>
      <c r="S116" s="2"/>
      <c r="T116" s="2"/>
      <c r="U116" s="2"/>
      <c r="V116" s="2"/>
      <c r="W116" s="2">
        <v>0.15</v>
      </c>
      <c r="X116" s="444">
        <f t="shared" ref="X116:X131" si="27">IF($K116="8-hr TWA", IF($N116&lt;480,IF($AK116="ND",IF($AR$9&lt;3,($W116/SQRT(2))*$N116/480, ($W116/2)*$N116/480),$W116*$N116/480),IF($AK116="ND",IF($AR$9&lt;3,($W116/SQRT(2)), ($W116/2)),$W116)),"")</f>
        <v>0.10606601717798211</v>
      </c>
      <c r="Y116" s="2" t="str">
        <f t="shared" ref="Y116:Y131" si="28">IF($K116="12-hr TWA", IF($N116&lt;720,IF($AK116="ND",IF($AS$9&lt;3,($W116/SQRT(2))*$N116/720, ($W116/2)*$N116/720),$W116*$N116/720),IF($AK116="ND",IF($AS$9&lt;3,($W116/SQRT(2)), ($W116/2)),$W116)),"")</f>
        <v/>
      </c>
      <c r="Z116" s="2"/>
      <c r="AA116" s="2"/>
      <c r="AB116" s="2"/>
      <c r="AC116" s="2"/>
      <c r="AD116" s="536">
        <f t="shared" si="26"/>
        <v>0.94368098159509195</v>
      </c>
      <c r="AE116" s="536">
        <f t="shared" ref="AE116:AE131" si="29">+IFERROR(X116*MolW/MolVol,"")</f>
        <v>0.66728322136266705</v>
      </c>
      <c r="AF116" s="536" t="str">
        <f t="shared" ref="AF116:AF131" si="30">+IFERROR(Y116*MolW/MolVol,"")</f>
        <v/>
      </c>
      <c r="AG116" s="537" t="str">
        <f t="shared" si="22"/>
        <v/>
      </c>
      <c r="AH116" s="537" t="str">
        <f t="shared" si="23"/>
        <v/>
      </c>
      <c r="AI116" s="525" t="str">
        <f t="shared" si="24"/>
        <v/>
      </c>
      <c r="AJ116" s="522"/>
      <c r="AK116" s="522" t="s">
        <v>315</v>
      </c>
      <c r="AL116" s="526" t="str">
        <f t="shared" ref="AL116:AL131" si="31">IF($K116="8-hr TWA", IF($AK116&lt;&gt;"ND", IF($N116&lt;480, $W116*$N116/480,$W116),""),"")</f>
        <v/>
      </c>
      <c r="AM116" s="526" t="str">
        <f t="shared" ref="AM116:AM131" si="32">+IFERROR(LN(AL116), "")</f>
        <v/>
      </c>
      <c r="AN116" s="526" t="str">
        <f t="shared" ref="AN116:AN131" si="33">IF($K116="12-hr TWA", IF($AK116&lt;&gt;"ND", IF($N116&lt;720, $W116*$N116/720,$W116),""),"")</f>
        <v/>
      </c>
      <c r="AO116" s="526" t="str">
        <f t="shared" ref="AO116:AO131" si="34">+IFERROR(LN(AN116), "")</f>
        <v/>
      </c>
    </row>
    <row r="117" spans="1:41" x14ac:dyDescent="0.25">
      <c r="A117" s="2">
        <v>5176376</v>
      </c>
      <c r="B117" s="522" t="s">
        <v>312</v>
      </c>
      <c r="C117" s="522">
        <v>2018</v>
      </c>
      <c r="D117" s="522" t="s">
        <v>297</v>
      </c>
      <c r="E117" s="522" t="s">
        <v>333</v>
      </c>
      <c r="F117" s="522" t="s">
        <v>299</v>
      </c>
      <c r="G117" s="522"/>
      <c r="H117" s="522" t="s">
        <v>345</v>
      </c>
      <c r="I117" s="522"/>
      <c r="J117" s="2" t="s">
        <v>301</v>
      </c>
      <c r="K117" s="522" t="str">
        <f t="shared" si="25"/>
        <v>8-hr TWA</v>
      </c>
      <c r="L117" s="522" t="s">
        <v>302</v>
      </c>
      <c r="M117" s="535">
        <v>39056</v>
      </c>
      <c r="N117" s="2">
        <v>480</v>
      </c>
      <c r="O117" s="2">
        <v>1</v>
      </c>
      <c r="P117" s="2"/>
      <c r="Q117" s="2"/>
      <c r="R117" s="2"/>
      <c r="S117" s="2"/>
      <c r="T117" s="2"/>
      <c r="U117" s="2"/>
      <c r="V117" s="2"/>
      <c r="W117" s="2">
        <v>0.15</v>
      </c>
      <c r="X117" s="444">
        <f t="shared" si="27"/>
        <v>0.10606601717798211</v>
      </c>
      <c r="Y117" s="2" t="str">
        <f t="shared" si="28"/>
        <v/>
      </c>
      <c r="Z117" s="2"/>
      <c r="AA117" s="2"/>
      <c r="AB117" s="2"/>
      <c r="AC117" s="2"/>
      <c r="AD117" s="536">
        <f t="shared" si="26"/>
        <v>0.94368098159509195</v>
      </c>
      <c r="AE117" s="536">
        <f t="shared" si="29"/>
        <v>0.66728322136266705</v>
      </c>
      <c r="AF117" s="536" t="str">
        <f t="shared" si="30"/>
        <v/>
      </c>
      <c r="AG117" s="537" t="str">
        <f t="shared" si="22"/>
        <v/>
      </c>
      <c r="AH117" s="537" t="str">
        <f t="shared" si="23"/>
        <v/>
      </c>
      <c r="AI117" s="525" t="str">
        <f t="shared" si="24"/>
        <v/>
      </c>
      <c r="AJ117" s="522"/>
      <c r="AK117" s="522" t="s">
        <v>315</v>
      </c>
      <c r="AL117" s="526" t="str">
        <f t="shared" si="31"/>
        <v/>
      </c>
      <c r="AM117" s="526" t="str">
        <f t="shared" si="32"/>
        <v/>
      </c>
      <c r="AN117" s="526" t="str">
        <f t="shared" si="33"/>
        <v/>
      </c>
      <c r="AO117" s="526" t="str">
        <f t="shared" si="34"/>
        <v/>
      </c>
    </row>
    <row r="118" spans="1:41" x14ac:dyDescent="0.25">
      <c r="A118" s="2">
        <v>5176376</v>
      </c>
      <c r="B118" s="522" t="s">
        <v>312</v>
      </c>
      <c r="C118" s="522">
        <v>2018</v>
      </c>
      <c r="D118" s="522" t="s">
        <v>297</v>
      </c>
      <c r="E118" s="522" t="s">
        <v>333</v>
      </c>
      <c r="F118" s="522" t="s">
        <v>299</v>
      </c>
      <c r="G118" s="522"/>
      <c r="H118" s="522" t="s">
        <v>345</v>
      </c>
      <c r="I118" s="522"/>
      <c r="J118" s="2" t="s">
        <v>301</v>
      </c>
      <c r="K118" s="522" t="str">
        <f t="shared" si="25"/>
        <v>8-hr TWA</v>
      </c>
      <c r="L118" s="522" t="s">
        <v>302</v>
      </c>
      <c r="M118" s="535">
        <v>39057</v>
      </c>
      <c r="N118" s="2">
        <v>480</v>
      </c>
      <c r="O118" s="2">
        <v>1</v>
      </c>
      <c r="P118" s="2"/>
      <c r="Q118" s="2"/>
      <c r="R118" s="2"/>
      <c r="S118" s="2"/>
      <c r="T118" s="2"/>
      <c r="U118" s="2"/>
      <c r="V118" s="2"/>
      <c r="W118" s="2">
        <v>0.15</v>
      </c>
      <c r="X118" s="444">
        <f t="shared" si="27"/>
        <v>0.10606601717798211</v>
      </c>
      <c r="Y118" s="2" t="str">
        <f t="shared" si="28"/>
        <v/>
      </c>
      <c r="Z118" s="2"/>
      <c r="AA118" s="2"/>
      <c r="AB118" s="2"/>
      <c r="AC118" s="2"/>
      <c r="AD118" s="536">
        <f t="shared" si="26"/>
        <v>0.94368098159509195</v>
      </c>
      <c r="AE118" s="536">
        <f t="shared" si="29"/>
        <v>0.66728322136266705</v>
      </c>
      <c r="AF118" s="536" t="str">
        <f t="shared" si="30"/>
        <v/>
      </c>
      <c r="AG118" s="537" t="str">
        <f t="shared" si="22"/>
        <v/>
      </c>
      <c r="AH118" s="537" t="str">
        <f t="shared" si="23"/>
        <v/>
      </c>
      <c r="AI118" s="525" t="str">
        <f t="shared" si="24"/>
        <v/>
      </c>
      <c r="AJ118" s="522"/>
      <c r="AK118" s="522" t="s">
        <v>315</v>
      </c>
      <c r="AL118" s="526" t="str">
        <f t="shared" si="31"/>
        <v/>
      </c>
      <c r="AM118" s="526" t="str">
        <f t="shared" si="32"/>
        <v/>
      </c>
      <c r="AN118" s="526" t="str">
        <f t="shared" si="33"/>
        <v/>
      </c>
      <c r="AO118" s="526" t="str">
        <f t="shared" si="34"/>
        <v/>
      </c>
    </row>
    <row r="119" spans="1:41" x14ac:dyDescent="0.25">
      <c r="A119" s="2">
        <v>5176376</v>
      </c>
      <c r="B119" s="522" t="s">
        <v>312</v>
      </c>
      <c r="C119" s="522">
        <v>2018</v>
      </c>
      <c r="D119" s="522" t="s">
        <v>297</v>
      </c>
      <c r="E119" s="522" t="s">
        <v>333</v>
      </c>
      <c r="F119" s="522" t="s">
        <v>299</v>
      </c>
      <c r="G119" s="522"/>
      <c r="H119" s="522" t="s">
        <v>344</v>
      </c>
      <c r="I119" s="522"/>
      <c r="J119" s="2" t="s">
        <v>301</v>
      </c>
      <c r="K119" s="522" t="str">
        <f t="shared" si="25"/>
        <v>12-hr TWA</v>
      </c>
      <c r="L119" s="522" t="s">
        <v>302</v>
      </c>
      <c r="M119" s="535">
        <v>39037</v>
      </c>
      <c r="N119" s="2">
        <v>720</v>
      </c>
      <c r="O119" s="2">
        <v>1</v>
      </c>
      <c r="P119" s="2"/>
      <c r="Q119" s="2"/>
      <c r="R119" s="2"/>
      <c r="S119" s="2"/>
      <c r="T119" s="2"/>
      <c r="U119" s="2"/>
      <c r="V119" s="2"/>
      <c r="W119" s="2">
        <v>0.15</v>
      </c>
      <c r="X119" s="2" t="str">
        <f t="shared" si="27"/>
        <v/>
      </c>
      <c r="Y119" s="2">
        <f t="shared" si="28"/>
        <v>7.4999999999999997E-2</v>
      </c>
      <c r="Z119" s="2"/>
      <c r="AA119" s="2"/>
      <c r="AB119" s="2"/>
      <c r="AC119" s="2"/>
      <c r="AD119" s="536">
        <f t="shared" si="26"/>
        <v>0.94368098159509195</v>
      </c>
      <c r="AE119" s="536" t="str">
        <f t="shared" si="29"/>
        <v/>
      </c>
      <c r="AF119" s="536">
        <f t="shared" si="30"/>
        <v>0.47184049079754597</v>
      </c>
      <c r="AG119" s="537" t="str">
        <f t="shared" si="22"/>
        <v/>
      </c>
      <c r="AH119" s="537" t="str">
        <f t="shared" si="23"/>
        <v/>
      </c>
      <c r="AI119" s="525" t="str">
        <f t="shared" si="24"/>
        <v/>
      </c>
      <c r="AJ119" s="522"/>
      <c r="AK119" s="522" t="s">
        <v>315</v>
      </c>
      <c r="AL119" s="526" t="str">
        <f t="shared" si="31"/>
        <v/>
      </c>
      <c r="AM119" s="526" t="str">
        <f t="shared" si="32"/>
        <v/>
      </c>
      <c r="AN119" s="526" t="str">
        <f t="shared" si="33"/>
        <v/>
      </c>
      <c r="AO119" s="526" t="str">
        <f t="shared" si="34"/>
        <v/>
      </c>
    </row>
    <row r="120" spans="1:41" x14ac:dyDescent="0.25">
      <c r="A120" s="2">
        <v>5176376</v>
      </c>
      <c r="B120" s="522" t="s">
        <v>312</v>
      </c>
      <c r="C120" s="522">
        <v>2018</v>
      </c>
      <c r="D120" s="522" t="s">
        <v>297</v>
      </c>
      <c r="E120" s="522" t="s">
        <v>333</v>
      </c>
      <c r="F120" s="522" t="s">
        <v>299</v>
      </c>
      <c r="G120" s="522"/>
      <c r="H120" s="522" t="s">
        <v>344</v>
      </c>
      <c r="I120" s="522"/>
      <c r="J120" s="2" t="s">
        <v>301</v>
      </c>
      <c r="K120" s="522" t="str">
        <f t="shared" si="25"/>
        <v>12-hr TWA</v>
      </c>
      <c r="L120" s="522" t="s">
        <v>302</v>
      </c>
      <c r="M120" s="535">
        <v>39395</v>
      </c>
      <c r="N120" s="2">
        <v>720</v>
      </c>
      <c r="O120" s="2">
        <v>1</v>
      </c>
      <c r="P120" s="2"/>
      <c r="Q120" s="2"/>
      <c r="R120" s="2"/>
      <c r="S120" s="2"/>
      <c r="T120" s="2"/>
      <c r="U120" s="2"/>
      <c r="V120" s="2"/>
      <c r="W120" s="2">
        <v>0.15</v>
      </c>
      <c r="X120" s="2" t="str">
        <f t="shared" si="27"/>
        <v/>
      </c>
      <c r="Y120" s="2">
        <f t="shared" si="28"/>
        <v>7.4999999999999997E-2</v>
      </c>
      <c r="Z120" s="2"/>
      <c r="AA120" s="2"/>
      <c r="AB120" s="2"/>
      <c r="AC120" s="2"/>
      <c r="AD120" s="536">
        <f t="shared" si="26"/>
        <v>0.94368098159509195</v>
      </c>
      <c r="AE120" s="536" t="str">
        <f t="shared" si="29"/>
        <v/>
      </c>
      <c r="AF120" s="536">
        <f t="shared" si="30"/>
        <v>0.47184049079754597</v>
      </c>
      <c r="AG120" s="537" t="str">
        <f t="shared" si="22"/>
        <v/>
      </c>
      <c r="AH120" s="537" t="str">
        <f t="shared" si="23"/>
        <v/>
      </c>
      <c r="AI120" s="525" t="str">
        <f t="shared" si="24"/>
        <v/>
      </c>
      <c r="AJ120" s="522"/>
      <c r="AK120" s="522" t="s">
        <v>315</v>
      </c>
      <c r="AL120" s="526" t="str">
        <f t="shared" si="31"/>
        <v/>
      </c>
      <c r="AM120" s="526" t="str">
        <f t="shared" si="32"/>
        <v/>
      </c>
      <c r="AN120" s="526" t="str">
        <f t="shared" si="33"/>
        <v/>
      </c>
      <c r="AO120" s="526" t="str">
        <f t="shared" si="34"/>
        <v/>
      </c>
    </row>
    <row r="121" spans="1:41" x14ac:dyDescent="0.25">
      <c r="A121" s="2">
        <v>5176376</v>
      </c>
      <c r="B121" s="522" t="s">
        <v>312</v>
      </c>
      <c r="C121" s="522">
        <v>2018</v>
      </c>
      <c r="D121" s="522" t="s">
        <v>297</v>
      </c>
      <c r="E121" s="522" t="s">
        <v>333</v>
      </c>
      <c r="F121" s="522" t="s">
        <v>299</v>
      </c>
      <c r="G121" s="522"/>
      <c r="H121" s="522" t="s">
        <v>344</v>
      </c>
      <c r="I121" s="522"/>
      <c r="J121" s="2" t="s">
        <v>301</v>
      </c>
      <c r="K121" s="522" t="str">
        <f t="shared" si="25"/>
        <v>12-hr TWA</v>
      </c>
      <c r="L121" s="522" t="s">
        <v>302</v>
      </c>
      <c r="M121" s="535">
        <v>39398</v>
      </c>
      <c r="N121" s="2">
        <v>720</v>
      </c>
      <c r="O121" s="2">
        <v>1</v>
      </c>
      <c r="P121" s="2"/>
      <c r="Q121" s="2"/>
      <c r="R121" s="2"/>
      <c r="S121" s="2"/>
      <c r="T121" s="2"/>
      <c r="U121" s="2"/>
      <c r="V121" s="2"/>
      <c r="W121" s="2">
        <v>0.15</v>
      </c>
      <c r="X121" s="2" t="str">
        <f t="shared" si="27"/>
        <v/>
      </c>
      <c r="Y121" s="2">
        <f t="shared" si="28"/>
        <v>7.4999999999999997E-2</v>
      </c>
      <c r="Z121" s="2"/>
      <c r="AA121" s="2"/>
      <c r="AB121" s="2"/>
      <c r="AC121" s="2"/>
      <c r="AD121" s="536">
        <f t="shared" si="26"/>
        <v>0.94368098159509195</v>
      </c>
      <c r="AE121" s="536" t="str">
        <f t="shared" si="29"/>
        <v/>
      </c>
      <c r="AF121" s="536">
        <f t="shared" si="30"/>
        <v>0.47184049079754597</v>
      </c>
      <c r="AG121" s="537" t="str">
        <f t="shared" si="22"/>
        <v/>
      </c>
      <c r="AH121" s="537" t="str">
        <f t="shared" si="23"/>
        <v/>
      </c>
      <c r="AI121" s="525" t="str">
        <f t="shared" si="24"/>
        <v/>
      </c>
      <c r="AJ121" s="522"/>
      <c r="AK121" s="522" t="s">
        <v>315</v>
      </c>
      <c r="AL121" s="526" t="str">
        <f t="shared" si="31"/>
        <v/>
      </c>
      <c r="AM121" s="526" t="str">
        <f t="shared" si="32"/>
        <v/>
      </c>
      <c r="AN121" s="526" t="str">
        <f t="shared" si="33"/>
        <v/>
      </c>
      <c r="AO121" s="526" t="str">
        <f t="shared" si="34"/>
        <v/>
      </c>
    </row>
    <row r="122" spans="1:41" x14ac:dyDescent="0.25">
      <c r="A122" s="2">
        <v>5176376</v>
      </c>
      <c r="B122" s="522" t="s">
        <v>312</v>
      </c>
      <c r="C122" s="522">
        <v>2018</v>
      </c>
      <c r="D122" s="522" t="s">
        <v>297</v>
      </c>
      <c r="E122" s="522" t="s">
        <v>333</v>
      </c>
      <c r="F122" s="522" t="s">
        <v>299</v>
      </c>
      <c r="G122" s="522"/>
      <c r="H122" s="522" t="s">
        <v>348</v>
      </c>
      <c r="I122" s="522"/>
      <c r="J122" s="2" t="s">
        <v>301</v>
      </c>
      <c r="K122" s="522" t="str">
        <f t="shared" si="25"/>
        <v>12-hr TWA</v>
      </c>
      <c r="L122" s="522" t="s">
        <v>302</v>
      </c>
      <c r="M122" s="535">
        <v>39394</v>
      </c>
      <c r="N122" s="2">
        <v>720</v>
      </c>
      <c r="O122" s="2">
        <v>1</v>
      </c>
      <c r="P122" s="2"/>
      <c r="Q122" s="2"/>
      <c r="R122" s="2"/>
      <c r="S122" s="2"/>
      <c r="T122" s="2"/>
      <c r="U122" s="2"/>
      <c r="V122" s="2"/>
      <c r="W122" s="2">
        <v>0.15</v>
      </c>
      <c r="X122" s="2" t="str">
        <f t="shared" si="27"/>
        <v/>
      </c>
      <c r="Y122" s="2">
        <f t="shared" si="28"/>
        <v>7.4999999999999997E-2</v>
      </c>
      <c r="Z122" s="2"/>
      <c r="AA122" s="2"/>
      <c r="AB122" s="2"/>
      <c r="AC122" s="2"/>
      <c r="AD122" s="536">
        <f t="shared" si="26"/>
        <v>0.94368098159509195</v>
      </c>
      <c r="AE122" s="536" t="str">
        <f t="shared" si="29"/>
        <v/>
      </c>
      <c r="AF122" s="536">
        <f t="shared" si="30"/>
        <v>0.47184049079754597</v>
      </c>
      <c r="AG122" s="537" t="str">
        <f t="shared" si="22"/>
        <v/>
      </c>
      <c r="AH122" s="537" t="str">
        <f t="shared" si="23"/>
        <v/>
      </c>
      <c r="AI122" s="525" t="str">
        <f t="shared" si="24"/>
        <v/>
      </c>
      <c r="AJ122" s="522"/>
      <c r="AK122" s="522" t="s">
        <v>315</v>
      </c>
      <c r="AL122" s="526" t="str">
        <f t="shared" si="31"/>
        <v/>
      </c>
      <c r="AM122" s="526" t="str">
        <f t="shared" si="32"/>
        <v/>
      </c>
      <c r="AN122" s="526" t="str">
        <f t="shared" si="33"/>
        <v/>
      </c>
      <c r="AO122" s="526" t="str">
        <f t="shared" si="34"/>
        <v/>
      </c>
    </row>
    <row r="123" spans="1:41" x14ac:dyDescent="0.25">
      <c r="A123" s="2">
        <v>5176376</v>
      </c>
      <c r="B123" s="522" t="s">
        <v>312</v>
      </c>
      <c r="C123" s="522">
        <v>2018</v>
      </c>
      <c r="D123" s="522" t="s">
        <v>297</v>
      </c>
      <c r="E123" s="522" t="s">
        <v>333</v>
      </c>
      <c r="F123" s="522" t="s">
        <v>299</v>
      </c>
      <c r="G123" s="522"/>
      <c r="H123" s="522" t="s">
        <v>348</v>
      </c>
      <c r="I123" s="522"/>
      <c r="J123" s="2" t="s">
        <v>301</v>
      </c>
      <c r="K123" s="522" t="str">
        <f t="shared" si="25"/>
        <v>12-hr TWA</v>
      </c>
      <c r="L123" s="522" t="s">
        <v>302</v>
      </c>
      <c r="M123" s="535">
        <v>39395</v>
      </c>
      <c r="N123" s="2">
        <v>720</v>
      </c>
      <c r="O123" s="2">
        <v>1</v>
      </c>
      <c r="P123" s="2"/>
      <c r="Q123" s="2"/>
      <c r="R123" s="2"/>
      <c r="S123" s="2"/>
      <c r="T123" s="2"/>
      <c r="U123" s="2"/>
      <c r="V123" s="2"/>
      <c r="W123" s="2">
        <v>0.15</v>
      </c>
      <c r="X123" s="2" t="str">
        <f t="shared" si="27"/>
        <v/>
      </c>
      <c r="Y123" s="2">
        <f t="shared" si="28"/>
        <v>7.4999999999999997E-2</v>
      </c>
      <c r="Z123" s="2"/>
      <c r="AA123" s="2"/>
      <c r="AB123" s="2"/>
      <c r="AC123" s="2"/>
      <c r="AD123" s="536">
        <f t="shared" si="26"/>
        <v>0.94368098159509195</v>
      </c>
      <c r="AE123" s="536" t="str">
        <f t="shared" si="29"/>
        <v/>
      </c>
      <c r="AF123" s="536">
        <f t="shared" si="30"/>
        <v>0.47184049079754597</v>
      </c>
      <c r="AG123" s="537" t="str">
        <f t="shared" si="22"/>
        <v/>
      </c>
      <c r="AH123" s="537" t="str">
        <f t="shared" si="23"/>
        <v/>
      </c>
      <c r="AI123" s="525" t="str">
        <f t="shared" si="24"/>
        <v/>
      </c>
      <c r="AJ123" s="522"/>
      <c r="AK123" s="522" t="s">
        <v>315</v>
      </c>
      <c r="AL123" s="526" t="str">
        <f t="shared" si="31"/>
        <v/>
      </c>
      <c r="AM123" s="526" t="str">
        <f t="shared" si="32"/>
        <v/>
      </c>
      <c r="AN123" s="526" t="str">
        <f t="shared" si="33"/>
        <v/>
      </c>
      <c r="AO123" s="526" t="str">
        <f t="shared" si="34"/>
        <v/>
      </c>
    </row>
    <row r="124" spans="1:41" x14ac:dyDescent="0.25">
      <c r="A124" s="2">
        <v>5176376</v>
      </c>
      <c r="B124" s="522" t="s">
        <v>312</v>
      </c>
      <c r="C124" s="522">
        <v>2018</v>
      </c>
      <c r="D124" s="522" t="s">
        <v>297</v>
      </c>
      <c r="E124" s="522" t="s">
        <v>333</v>
      </c>
      <c r="F124" s="522" t="s">
        <v>299</v>
      </c>
      <c r="G124" s="522"/>
      <c r="H124" s="522" t="s">
        <v>348</v>
      </c>
      <c r="I124" s="522"/>
      <c r="J124" s="2" t="s">
        <v>301</v>
      </c>
      <c r="K124" s="522" t="str">
        <f t="shared" si="25"/>
        <v>12-hr TWA</v>
      </c>
      <c r="L124" s="522" t="s">
        <v>302</v>
      </c>
      <c r="M124" s="535">
        <v>39398</v>
      </c>
      <c r="N124" s="2">
        <v>720</v>
      </c>
      <c r="O124" s="2">
        <v>1</v>
      </c>
      <c r="P124" s="2"/>
      <c r="Q124" s="2"/>
      <c r="R124" s="2"/>
      <c r="S124" s="2"/>
      <c r="T124" s="2"/>
      <c r="U124" s="2"/>
      <c r="V124" s="2"/>
      <c r="W124" s="2">
        <v>0.15</v>
      </c>
      <c r="X124" s="2" t="str">
        <f t="shared" si="27"/>
        <v/>
      </c>
      <c r="Y124" s="2">
        <f t="shared" si="28"/>
        <v>7.4999999999999997E-2</v>
      </c>
      <c r="Z124" s="2"/>
      <c r="AA124" s="2"/>
      <c r="AB124" s="2"/>
      <c r="AC124" s="2"/>
      <c r="AD124" s="536">
        <f t="shared" si="26"/>
        <v>0.94368098159509195</v>
      </c>
      <c r="AE124" s="536" t="str">
        <f t="shared" si="29"/>
        <v/>
      </c>
      <c r="AF124" s="536">
        <f t="shared" si="30"/>
        <v>0.47184049079754597</v>
      </c>
      <c r="AG124" s="537" t="str">
        <f t="shared" si="22"/>
        <v/>
      </c>
      <c r="AH124" s="537" t="str">
        <f t="shared" si="23"/>
        <v/>
      </c>
      <c r="AI124" s="525" t="str">
        <f t="shared" si="24"/>
        <v/>
      </c>
      <c r="AJ124" s="522"/>
      <c r="AK124" s="522" t="s">
        <v>315</v>
      </c>
      <c r="AL124" s="526" t="str">
        <f t="shared" si="31"/>
        <v/>
      </c>
      <c r="AM124" s="526" t="str">
        <f t="shared" si="32"/>
        <v/>
      </c>
      <c r="AN124" s="526" t="str">
        <f t="shared" si="33"/>
        <v/>
      </c>
      <c r="AO124" s="526" t="str">
        <f t="shared" si="34"/>
        <v/>
      </c>
    </row>
    <row r="125" spans="1:41" x14ac:dyDescent="0.25">
      <c r="A125" s="2">
        <v>5176376</v>
      </c>
      <c r="B125" s="522" t="s">
        <v>312</v>
      </c>
      <c r="C125" s="522">
        <v>2018</v>
      </c>
      <c r="D125" s="522" t="s">
        <v>297</v>
      </c>
      <c r="E125" s="522" t="s">
        <v>333</v>
      </c>
      <c r="F125" s="522" t="s">
        <v>299</v>
      </c>
      <c r="G125" s="522"/>
      <c r="H125" s="522" t="s">
        <v>340</v>
      </c>
      <c r="I125" s="522"/>
      <c r="J125" s="2" t="s">
        <v>301</v>
      </c>
      <c r="K125" s="522" t="str">
        <f t="shared" si="25"/>
        <v>12-hr TWA</v>
      </c>
      <c r="L125" s="522" t="s">
        <v>302</v>
      </c>
      <c r="M125" s="535">
        <v>39300</v>
      </c>
      <c r="N125" s="2">
        <v>720</v>
      </c>
      <c r="O125" s="2">
        <v>1</v>
      </c>
      <c r="P125" s="2"/>
      <c r="Q125" s="2"/>
      <c r="R125" s="2"/>
      <c r="S125" s="2"/>
      <c r="T125" s="2"/>
      <c r="U125" s="2"/>
      <c r="V125" s="2"/>
      <c r="W125" s="2">
        <v>0.16</v>
      </c>
      <c r="X125" s="2" t="str">
        <f t="shared" si="27"/>
        <v/>
      </c>
      <c r="Y125" s="2">
        <f t="shared" si="28"/>
        <v>0.16</v>
      </c>
      <c r="Z125" s="2"/>
      <c r="AA125" s="2"/>
      <c r="AB125" s="2"/>
      <c r="AC125" s="2"/>
      <c r="AD125" s="537">
        <f t="shared" si="26"/>
        <v>1.0065930470347648</v>
      </c>
      <c r="AE125" s="536" t="str">
        <f t="shared" si="29"/>
        <v/>
      </c>
      <c r="AF125" s="537">
        <f t="shared" si="30"/>
        <v>1.0065930470347648</v>
      </c>
      <c r="AG125" s="537" t="str">
        <f t="shared" si="22"/>
        <v/>
      </c>
      <c r="AH125" s="537" t="str">
        <f t="shared" si="23"/>
        <v/>
      </c>
      <c r="AI125" s="525" t="str">
        <f t="shared" si="24"/>
        <v/>
      </c>
      <c r="AJ125" s="522"/>
      <c r="AK125" s="522"/>
      <c r="AL125" s="526" t="str">
        <f t="shared" si="31"/>
        <v/>
      </c>
      <c r="AM125" s="526" t="str">
        <f t="shared" si="32"/>
        <v/>
      </c>
      <c r="AN125" s="526">
        <f t="shared" si="33"/>
        <v>0.16</v>
      </c>
      <c r="AO125" s="526">
        <f t="shared" si="34"/>
        <v>-1.8325814637483102</v>
      </c>
    </row>
    <row r="126" spans="1:41" x14ac:dyDescent="0.25">
      <c r="A126" s="2">
        <v>5176376</v>
      </c>
      <c r="B126" s="522" t="s">
        <v>312</v>
      </c>
      <c r="C126" s="522">
        <v>2018</v>
      </c>
      <c r="D126" s="522" t="s">
        <v>297</v>
      </c>
      <c r="E126" s="522" t="s">
        <v>333</v>
      </c>
      <c r="F126" s="522" t="s">
        <v>299</v>
      </c>
      <c r="G126" s="522"/>
      <c r="H126" s="522" t="s">
        <v>337</v>
      </c>
      <c r="I126" s="522"/>
      <c r="J126" s="2" t="s">
        <v>301</v>
      </c>
      <c r="K126" s="522" t="str">
        <f t="shared" si="25"/>
        <v>12-hr TWA</v>
      </c>
      <c r="L126" s="522" t="s">
        <v>302</v>
      </c>
      <c r="M126" s="535">
        <v>39678</v>
      </c>
      <c r="N126" s="2">
        <v>720</v>
      </c>
      <c r="O126" s="2">
        <v>1</v>
      </c>
      <c r="P126" s="2"/>
      <c r="Q126" s="2"/>
      <c r="R126" s="2"/>
      <c r="S126" s="2"/>
      <c r="T126" s="2"/>
      <c r="U126" s="2"/>
      <c r="V126" s="2"/>
      <c r="W126" s="2">
        <v>0.16</v>
      </c>
      <c r="X126" s="2" t="str">
        <f t="shared" si="27"/>
        <v/>
      </c>
      <c r="Y126" s="2">
        <f t="shared" si="28"/>
        <v>0.08</v>
      </c>
      <c r="Z126" s="2"/>
      <c r="AA126" s="2"/>
      <c r="AB126" s="2"/>
      <c r="AC126" s="2"/>
      <c r="AD126" s="537">
        <f t="shared" si="26"/>
        <v>1.0065930470347648</v>
      </c>
      <c r="AE126" s="536" t="str">
        <f t="shared" si="29"/>
        <v/>
      </c>
      <c r="AF126" s="536">
        <f t="shared" si="30"/>
        <v>0.50329652351738241</v>
      </c>
      <c r="AG126" s="537" t="str">
        <f t="shared" si="22"/>
        <v/>
      </c>
      <c r="AH126" s="537" t="str">
        <f t="shared" si="23"/>
        <v/>
      </c>
      <c r="AI126" s="525" t="str">
        <f t="shared" si="24"/>
        <v/>
      </c>
      <c r="AJ126" s="522"/>
      <c r="AK126" s="522" t="s">
        <v>315</v>
      </c>
      <c r="AL126" s="526" t="str">
        <f t="shared" si="31"/>
        <v/>
      </c>
      <c r="AM126" s="526" t="str">
        <f t="shared" si="32"/>
        <v/>
      </c>
      <c r="AN126" s="526" t="str">
        <f t="shared" si="33"/>
        <v/>
      </c>
      <c r="AO126" s="526" t="str">
        <f t="shared" si="34"/>
        <v/>
      </c>
    </row>
    <row r="127" spans="1:41" x14ac:dyDescent="0.25">
      <c r="A127" s="2">
        <v>5176376</v>
      </c>
      <c r="B127" s="522" t="s">
        <v>312</v>
      </c>
      <c r="C127" s="522">
        <v>2018</v>
      </c>
      <c r="D127" s="522" t="s">
        <v>297</v>
      </c>
      <c r="E127" s="522" t="s">
        <v>333</v>
      </c>
      <c r="F127" s="522" t="s">
        <v>299</v>
      </c>
      <c r="G127" s="522"/>
      <c r="H127" s="522" t="s">
        <v>337</v>
      </c>
      <c r="I127" s="522"/>
      <c r="J127" s="2" t="s">
        <v>301</v>
      </c>
      <c r="K127" s="522" t="str">
        <f t="shared" si="25"/>
        <v>12-hr TWA</v>
      </c>
      <c r="L127" s="522" t="s">
        <v>302</v>
      </c>
      <c r="M127" s="535">
        <v>39679</v>
      </c>
      <c r="N127" s="2">
        <v>720</v>
      </c>
      <c r="O127" s="2">
        <v>1</v>
      </c>
      <c r="P127" s="2"/>
      <c r="Q127" s="2"/>
      <c r="R127" s="2"/>
      <c r="S127" s="2"/>
      <c r="T127" s="2"/>
      <c r="U127" s="2"/>
      <c r="V127" s="2"/>
      <c r="W127" s="2">
        <v>0.16</v>
      </c>
      <c r="X127" s="2" t="str">
        <f t="shared" si="27"/>
        <v/>
      </c>
      <c r="Y127" s="2">
        <f t="shared" si="28"/>
        <v>0.08</v>
      </c>
      <c r="Z127" s="2"/>
      <c r="AA127" s="2"/>
      <c r="AB127" s="2"/>
      <c r="AC127" s="2"/>
      <c r="AD127" s="537">
        <f t="shared" si="26"/>
        <v>1.0065930470347648</v>
      </c>
      <c r="AE127" s="536" t="str">
        <f t="shared" si="29"/>
        <v/>
      </c>
      <c r="AF127" s="536">
        <f t="shared" si="30"/>
        <v>0.50329652351738241</v>
      </c>
      <c r="AG127" s="537" t="str">
        <f t="shared" si="22"/>
        <v/>
      </c>
      <c r="AH127" s="537" t="str">
        <f t="shared" si="23"/>
        <v/>
      </c>
      <c r="AI127" s="525" t="str">
        <f t="shared" si="24"/>
        <v/>
      </c>
      <c r="AJ127" s="522"/>
      <c r="AK127" s="522" t="s">
        <v>315</v>
      </c>
      <c r="AL127" s="526" t="str">
        <f t="shared" si="31"/>
        <v/>
      </c>
      <c r="AM127" s="526" t="str">
        <f t="shared" si="32"/>
        <v/>
      </c>
      <c r="AN127" s="526" t="str">
        <f t="shared" si="33"/>
        <v/>
      </c>
      <c r="AO127" s="526" t="str">
        <f t="shared" si="34"/>
        <v/>
      </c>
    </row>
    <row r="128" spans="1:41" x14ac:dyDescent="0.25">
      <c r="A128" s="2">
        <v>5176376</v>
      </c>
      <c r="B128" s="522" t="s">
        <v>312</v>
      </c>
      <c r="C128" s="522">
        <v>2018</v>
      </c>
      <c r="D128" s="522" t="s">
        <v>297</v>
      </c>
      <c r="E128" s="522" t="s">
        <v>333</v>
      </c>
      <c r="F128" s="522" t="s">
        <v>299</v>
      </c>
      <c r="G128" s="522"/>
      <c r="H128" s="522" t="s">
        <v>340</v>
      </c>
      <c r="I128" s="522"/>
      <c r="J128" s="2" t="s">
        <v>301</v>
      </c>
      <c r="K128" s="522" t="str">
        <f t="shared" si="25"/>
        <v>12-hr TWA</v>
      </c>
      <c r="L128" s="522" t="s">
        <v>302</v>
      </c>
      <c r="M128" s="535">
        <v>39356</v>
      </c>
      <c r="N128" s="2">
        <v>720</v>
      </c>
      <c r="O128" s="2">
        <v>1</v>
      </c>
      <c r="P128" s="2"/>
      <c r="Q128" s="2"/>
      <c r="R128" s="2"/>
      <c r="S128" s="2"/>
      <c r="T128" s="2"/>
      <c r="U128" s="2"/>
      <c r="V128" s="2"/>
      <c r="W128" s="2">
        <v>0.16</v>
      </c>
      <c r="X128" s="2" t="str">
        <f t="shared" si="27"/>
        <v/>
      </c>
      <c r="Y128" s="2">
        <f t="shared" si="28"/>
        <v>0.08</v>
      </c>
      <c r="Z128" s="2"/>
      <c r="AA128" s="2"/>
      <c r="AB128" s="2"/>
      <c r="AC128" s="2"/>
      <c r="AD128" s="537">
        <f t="shared" si="26"/>
        <v>1.0065930470347648</v>
      </c>
      <c r="AE128" s="536" t="str">
        <f t="shared" si="29"/>
        <v/>
      </c>
      <c r="AF128" s="536">
        <f t="shared" si="30"/>
        <v>0.50329652351738241</v>
      </c>
      <c r="AG128" s="537" t="str">
        <f t="shared" si="22"/>
        <v/>
      </c>
      <c r="AH128" s="537" t="str">
        <f t="shared" si="23"/>
        <v/>
      </c>
      <c r="AI128" s="525" t="str">
        <f t="shared" si="24"/>
        <v/>
      </c>
      <c r="AJ128" s="522"/>
      <c r="AK128" s="522" t="s">
        <v>315</v>
      </c>
      <c r="AL128" s="526" t="str">
        <f t="shared" si="31"/>
        <v/>
      </c>
      <c r="AM128" s="526" t="str">
        <f t="shared" si="32"/>
        <v/>
      </c>
      <c r="AN128" s="526" t="str">
        <f t="shared" si="33"/>
        <v/>
      </c>
      <c r="AO128" s="526" t="str">
        <f t="shared" si="34"/>
        <v/>
      </c>
    </row>
    <row r="129" spans="1:41" x14ac:dyDescent="0.25">
      <c r="A129" s="2">
        <v>5176376</v>
      </c>
      <c r="B129" s="522" t="s">
        <v>312</v>
      </c>
      <c r="C129" s="522">
        <v>2018</v>
      </c>
      <c r="D129" s="522" t="s">
        <v>297</v>
      </c>
      <c r="E129" s="522" t="s">
        <v>333</v>
      </c>
      <c r="F129" s="522" t="s">
        <v>299</v>
      </c>
      <c r="G129" s="522"/>
      <c r="H129" s="522" t="s">
        <v>340</v>
      </c>
      <c r="I129" s="522"/>
      <c r="J129" s="2" t="s">
        <v>301</v>
      </c>
      <c r="K129" s="522" t="str">
        <f t="shared" si="25"/>
        <v>12-hr TWA</v>
      </c>
      <c r="L129" s="522" t="s">
        <v>302</v>
      </c>
      <c r="M129" s="535">
        <v>39289</v>
      </c>
      <c r="N129" s="2">
        <v>720</v>
      </c>
      <c r="O129" s="2">
        <v>1</v>
      </c>
      <c r="P129" s="2"/>
      <c r="Q129" s="2"/>
      <c r="R129" s="2"/>
      <c r="S129" s="2"/>
      <c r="T129" s="2"/>
      <c r="U129" s="2"/>
      <c r="V129" s="2"/>
      <c r="W129" s="2">
        <v>0.16</v>
      </c>
      <c r="X129" s="2" t="str">
        <f t="shared" si="27"/>
        <v/>
      </c>
      <c r="Y129" s="2">
        <f t="shared" si="28"/>
        <v>0.08</v>
      </c>
      <c r="Z129" s="2"/>
      <c r="AA129" s="2"/>
      <c r="AB129" s="2"/>
      <c r="AC129" s="2"/>
      <c r="AD129" s="537">
        <f t="shared" si="26"/>
        <v>1.0065930470347648</v>
      </c>
      <c r="AE129" s="536" t="str">
        <f t="shared" si="29"/>
        <v/>
      </c>
      <c r="AF129" s="536">
        <f t="shared" si="30"/>
        <v>0.50329652351738241</v>
      </c>
      <c r="AG129" s="537" t="str">
        <f t="shared" si="22"/>
        <v/>
      </c>
      <c r="AH129" s="537" t="str">
        <f t="shared" si="23"/>
        <v/>
      </c>
      <c r="AI129" s="525" t="str">
        <f t="shared" si="24"/>
        <v/>
      </c>
      <c r="AJ129" s="522"/>
      <c r="AK129" s="522" t="s">
        <v>315</v>
      </c>
      <c r="AL129" s="526" t="str">
        <f t="shared" si="31"/>
        <v/>
      </c>
      <c r="AM129" s="526" t="str">
        <f t="shared" si="32"/>
        <v/>
      </c>
      <c r="AN129" s="526" t="str">
        <f t="shared" si="33"/>
        <v/>
      </c>
      <c r="AO129" s="526" t="str">
        <f t="shared" si="34"/>
        <v/>
      </c>
    </row>
    <row r="130" spans="1:41" x14ac:dyDescent="0.25">
      <c r="A130" s="2">
        <v>5176376</v>
      </c>
      <c r="B130" s="522" t="s">
        <v>312</v>
      </c>
      <c r="C130" s="522">
        <v>2018</v>
      </c>
      <c r="D130" s="522" t="s">
        <v>297</v>
      </c>
      <c r="E130" s="522" t="s">
        <v>333</v>
      </c>
      <c r="F130" s="522" t="s">
        <v>299</v>
      </c>
      <c r="G130" s="522"/>
      <c r="H130" s="522" t="s">
        <v>340</v>
      </c>
      <c r="I130" s="522"/>
      <c r="J130" s="2" t="s">
        <v>301</v>
      </c>
      <c r="K130" s="522" t="str">
        <f t="shared" si="25"/>
        <v>12-hr TWA</v>
      </c>
      <c r="L130" s="522" t="s">
        <v>302</v>
      </c>
      <c r="M130" s="535">
        <v>39301</v>
      </c>
      <c r="N130" s="2">
        <v>720</v>
      </c>
      <c r="O130" s="2">
        <v>1</v>
      </c>
      <c r="P130" s="2"/>
      <c r="Q130" s="2"/>
      <c r="R130" s="2"/>
      <c r="S130" s="2"/>
      <c r="T130" s="2"/>
      <c r="U130" s="2"/>
      <c r="V130" s="2"/>
      <c r="W130" s="2">
        <v>0.16</v>
      </c>
      <c r="X130" s="2" t="str">
        <f t="shared" si="27"/>
        <v/>
      </c>
      <c r="Y130" s="2">
        <f t="shared" si="28"/>
        <v>0.08</v>
      </c>
      <c r="Z130" s="2"/>
      <c r="AA130" s="2"/>
      <c r="AB130" s="2"/>
      <c r="AC130" s="2"/>
      <c r="AD130" s="537">
        <f t="shared" si="26"/>
        <v>1.0065930470347648</v>
      </c>
      <c r="AE130" s="536" t="str">
        <f t="shared" si="29"/>
        <v/>
      </c>
      <c r="AF130" s="536">
        <f t="shared" si="30"/>
        <v>0.50329652351738241</v>
      </c>
      <c r="AG130" s="537" t="str">
        <f t="shared" si="22"/>
        <v/>
      </c>
      <c r="AH130" s="537" t="str">
        <f t="shared" si="23"/>
        <v/>
      </c>
      <c r="AI130" s="525" t="str">
        <f t="shared" si="24"/>
        <v/>
      </c>
      <c r="AJ130" s="522"/>
      <c r="AK130" s="522" t="s">
        <v>315</v>
      </c>
      <c r="AL130" s="526" t="str">
        <f t="shared" si="31"/>
        <v/>
      </c>
      <c r="AM130" s="526" t="str">
        <f t="shared" si="32"/>
        <v/>
      </c>
      <c r="AN130" s="526" t="str">
        <f t="shared" si="33"/>
        <v/>
      </c>
      <c r="AO130" s="526" t="str">
        <f t="shared" si="34"/>
        <v/>
      </c>
    </row>
    <row r="131" spans="1:41" x14ac:dyDescent="0.25">
      <c r="A131" s="2">
        <v>5176376</v>
      </c>
      <c r="B131" s="522" t="s">
        <v>312</v>
      </c>
      <c r="C131" s="522">
        <v>2018</v>
      </c>
      <c r="D131" s="522" t="s">
        <v>297</v>
      </c>
      <c r="E131" s="522" t="s">
        <v>333</v>
      </c>
      <c r="F131" s="522" t="s">
        <v>299</v>
      </c>
      <c r="G131" s="522"/>
      <c r="H131" s="522" t="s">
        <v>345</v>
      </c>
      <c r="I131" s="522"/>
      <c r="J131" s="2" t="s">
        <v>301</v>
      </c>
      <c r="K131" s="522" t="str">
        <f t="shared" si="25"/>
        <v>8-hr TWA</v>
      </c>
      <c r="L131" s="522" t="s">
        <v>302</v>
      </c>
      <c r="M131" s="535">
        <v>39356</v>
      </c>
      <c r="N131" s="2">
        <v>480</v>
      </c>
      <c r="O131" s="2">
        <v>1</v>
      </c>
      <c r="P131" s="2"/>
      <c r="Q131" s="2"/>
      <c r="R131" s="2"/>
      <c r="S131" s="2"/>
      <c r="T131" s="2"/>
      <c r="U131" s="2"/>
      <c r="V131" s="2"/>
      <c r="W131" s="2">
        <v>0.16</v>
      </c>
      <c r="X131" s="444">
        <f t="shared" si="27"/>
        <v>0.11313708498984759</v>
      </c>
      <c r="Y131" s="2" t="str">
        <f t="shared" si="28"/>
        <v/>
      </c>
      <c r="Z131" s="2"/>
      <c r="AA131" s="2"/>
      <c r="AB131" s="2"/>
      <c r="AC131" s="2"/>
      <c r="AD131" s="537">
        <f t="shared" si="26"/>
        <v>1.0065930470347648</v>
      </c>
      <c r="AE131" s="536">
        <f t="shared" si="29"/>
        <v>0.71176876945351153</v>
      </c>
      <c r="AF131" s="536" t="str">
        <f t="shared" si="30"/>
        <v/>
      </c>
      <c r="AG131" s="537" t="str">
        <f t="shared" si="22"/>
        <v/>
      </c>
      <c r="AH131" s="537" t="str">
        <f t="shared" si="23"/>
        <v/>
      </c>
      <c r="AI131" s="525" t="str">
        <f t="shared" si="24"/>
        <v/>
      </c>
      <c r="AJ131" s="522"/>
      <c r="AK131" s="522" t="s">
        <v>315</v>
      </c>
      <c r="AL131" s="526" t="str">
        <f t="shared" si="31"/>
        <v/>
      </c>
      <c r="AM131" s="526" t="str">
        <f t="shared" si="32"/>
        <v/>
      </c>
      <c r="AN131" s="526" t="str">
        <f t="shared" si="33"/>
        <v/>
      </c>
      <c r="AO131" s="526" t="str">
        <f t="shared" si="34"/>
        <v/>
      </c>
    </row>
    <row r="132" spans="1:41" x14ac:dyDescent="0.25">
      <c r="A132" s="3">
        <v>5176376</v>
      </c>
      <c r="B132" s="454" t="s">
        <v>312</v>
      </c>
      <c r="C132" s="454">
        <v>2018</v>
      </c>
      <c r="D132" s="454" t="s">
        <v>297</v>
      </c>
      <c r="E132" s="454" t="s">
        <v>333</v>
      </c>
      <c r="F132" s="454" t="s">
        <v>299</v>
      </c>
      <c r="G132" s="454"/>
      <c r="H132" s="454" t="s">
        <v>349</v>
      </c>
      <c r="I132" s="454"/>
      <c r="J132" s="3" t="s">
        <v>41</v>
      </c>
      <c r="K132" s="454" t="str">
        <f t="shared" si="25"/>
        <v>8-hr TWA</v>
      </c>
      <c r="L132" s="454" t="s">
        <v>302</v>
      </c>
      <c r="M132" s="572">
        <v>39357</v>
      </c>
      <c r="N132" s="3">
        <v>480</v>
      </c>
      <c r="O132" s="3">
        <v>1</v>
      </c>
      <c r="P132" s="3"/>
      <c r="Q132" s="3"/>
      <c r="R132" s="3"/>
      <c r="S132" s="3"/>
      <c r="T132" s="3"/>
      <c r="U132" s="3"/>
      <c r="V132" s="3"/>
      <c r="W132" s="3">
        <v>0.16</v>
      </c>
      <c r="X132" s="574"/>
      <c r="Y132" s="3"/>
      <c r="Z132" s="2"/>
      <c r="AA132" s="2"/>
      <c r="AB132" s="2"/>
      <c r="AC132" s="2"/>
      <c r="AD132" s="537">
        <f t="shared" si="26"/>
        <v>1.0065930470347648</v>
      </c>
      <c r="AE132" s="536"/>
      <c r="AF132" s="536"/>
      <c r="AG132" s="537">
        <f t="shared" si="22"/>
        <v>1.0065930470347648</v>
      </c>
      <c r="AH132" s="537" t="str">
        <f t="shared" si="23"/>
        <v/>
      </c>
      <c r="AI132" s="525" t="str">
        <f t="shared" si="24"/>
        <v/>
      </c>
      <c r="AJ132" s="522"/>
      <c r="AK132" s="522" t="s">
        <v>315</v>
      </c>
      <c r="AL132" s="526"/>
      <c r="AM132" s="526"/>
      <c r="AN132" s="526"/>
      <c r="AO132" s="526"/>
    </row>
    <row r="133" spans="1:41" x14ac:dyDescent="0.25">
      <c r="A133" s="3">
        <v>5176376</v>
      </c>
      <c r="B133" s="454" t="s">
        <v>312</v>
      </c>
      <c r="C133" s="454">
        <v>2018</v>
      </c>
      <c r="D133" s="454" t="s">
        <v>297</v>
      </c>
      <c r="E133" s="454" t="s">
        <v>333</v>
      </c>
      <c r="F133" s="454" t="s">
        <v>299</v>
      </c>
      <c r="G133" s="454"/>
      <c r="H133" s="454" t="s">
        <v>349</v>
      </c>
      <c r="I133" s="454"/>
      <c r="J133" s="3" t="s">
        <v>41</v>
      </c>
      <c r="K133" s="454" t="str">
        <f t="shared" si="25"/>
        <v>8-hr TWA</v>
      </c>
      <c r="L133" s="454" t="s">
        <v>302</v>
      </c>
      <c r="M133" s="572">
        <v>39358</v>
      </c>
      <c r="N133" s="3">
        <v>480</v>
      </c>
      <c r="O133" s="3">
        <v>1</v>
      </c>
      <c r="P133" s="3"/>
      <c r="Q133" s="3"/>
      <c r="R133" s="3"/>
      <c r="S133" s="3"/>
      <c r="T133" s="3"/>
      <c r="U133" s="3"/>
      <c r="V133" s="3"/>
      <c r="W133" s="3">
        <v>0.16</v>
      </c>
      <c r="X133" s="574"/>
      <c r="Y133" s="3"/>
      <c r="Z133" s="2"/>
      <c r="AA133" s="2"/>
      <c r="AB133" s="2"/>
      <c r="AC133" s="2"/>
      <c r="AD133" s="537">
        <f t="shared" si="26"/>
        <v>1.0065930470347648</v>
      </c>
      <c r="AE133" s="536"/>
      <c r="AF133" s="536"/>
      <c r="AG133" s="537">
        <f t="shared" si="22"/>
        <v>1.0065930470347648</v>
      </c>
      <c r="AH133" s="537" t="str">
        <f t="shared" si="23"/>
        <v/>
      </c>
      <c r="AI133" s="525" t="str">
        <f t="shared" si="24"/>
        <v/>
      </c>
      <c r="AJ133" s="522"/>
      <c r="AK133" s="522" t="s">
        <v>315</v>
      </c>
      <c r="AL133" s="526"/>
      <c r="AM133" s="526"/>
      <c r="AN133" s="526"/>
      <c r="AO133" s="526"/>
    </row>
    <row r="134" spans="1:41" x14ac:dyDescent="0.25">
      <c r="A134" s="3">
        <v>5176376</v>
      </c>
      <c r="B134" s="454" t="s">
        <v>312</v>
      </c>
      <c r="C134" s="454">
        <v>2018</v>
      </c>
      <c r="D134" s="454" t="s">
        <v>297</v>
      </c>
      <c r="E134" s="454" t="s">
        <v>333</v>
      </c>
      <c r="F134" s="454" t="s">
        <v>299</v>
      </c>
      <c r="G134" s="454"/>
      <c r="H134" s="454" t="s">
        <v>349</v>
      </c>
      <c r="I134" s="454"/>
      <c r="J134" s="3" t="s">
        <v>41</v>
      </c>
      <c r="K134" s="454" t="str">
        <f t="shared" si="25"/>
        <v>8-hr TWA</v>
      </c>
      <c r="L134" s="454" t="s">
        <v>302</v>
      </c>
      <c r="M134" s="572">
        <v>39422</v>
      </c>
      <c r="N134" s="3">
        <v>480</v>
      </c>
      <c r="O134" s="3">
        <v>1</v>
      </c>
      <c r="P134" s="3"/>
      <c r="Q134" s="3"/>
      <c r="R134" s="3"/>
      <c r="S134" s="3"/>
      <c r="T134" s="3"/>
      <c r="U134" s="3"/>
      <c r="V134" s="3"/>
      <c r="W134" s="3">
        <v>0.16</v>
      </c>
      <c r="X134" s="574"/>
      <c r="Y134" s="3"/>
      <c r="Z134" s="2"/>
      <c r="AA134" s="2"/>
      <c r="AB134" s="2"/>
      <c r="AC134" s="2"/>
      <c r="AD134" s="537">
        <f t="shared" si="26"/>
        <v>1.0065930470347648</v>
      </c>
      <c r="AE134" s="536"/>
      <c r="AF134" s="536"/>
      <c r="AG134" s="537">
        <f t="shared" si="22"/>
        <v>1.0065930470347648</v>
      </c>
      <c r="AH134" s="537" t="str">
        <f t="shared" si="23"/>
        <v/>
      </c>
      <c r="AI134" s="525" t="str">
        <f t="shared" si="24"/>
        <v/>
      </c>
      <c r="AJ134" s="522"/>
      <c r="AK134" s="522" t="s">
        <v>315</v>
      </c>
      <c r="AL134" s="526"/>
      <c r="AM134" s="526"/>
      <c r="AN134" s="526"/>
      <c r="AO134" s="526"/>
    </row>
    <row r="135" spans="1:41" x14ac:dyDescent="0.25">
      <c r="A135" s="3">
        <v>5176376</v>
      </c>
      <c r="B135" s="454" t="s">
        <v>312</v>
      </c>
      <c r="C135" s="454">
        <v>2018</v>
      </c>
      <c r="D135" s="454" t="s">
        <v>297</v>
      </c>
      <c r="E135" s="454" t="s">
        <v>333</v>
      </c>
      <c r="F135" s="454" t="s">
        <v>299</v>
      </c>
      <c r="G135" s="454"/>
      <c r="H135" s="454" t="s">
        <v>349</v>
      </c>
      <c r="I135" s="454"/>
      <c r="J135" s="3" t="s">
        <v>41</v>
      </c>
      <c r="K135" s="454" t="str">
        <f t="shared" si="25"/>
        <v>8-hr TWA</v>
      </c>
      <c r="L135" s="454" t="s">
        <v>302</v>
      </c>
      <c r="M135" s="572">
        <v>39756</v>
      </c>
      <c r="N135" s="3">
        <v>480</v>
      </c>
      <c r="O135" s="3">
        <v>1</v>
      </c>
      <c r="P135" s="3"/>
      <c r="Q135" s="3"/>
      <c r="R135" s="3"/>
      <c r="S135" s="3"/>
      <c r="T135" s="3"/>
      <c r="U135" s="3"/>
      <c r="V135" s="3"/>
      <c r="W135" s="3">
        <v>0.16</v>
      </c>
      <c r="X135" s="574"/>
      <c r="Y135" s="3"/>
      <c r="Z135" s="2"/>
      <c r="AA135" s="2"/>
      <c r="AB135" s="2"/>
      <c r="AC135" s="2"/>
      <c r="AD135" s="537">
        <f t="shared" si="26"/>
        <v>1.0065930470347648</v>
      </c>
      <c r="AE135" s="536"/>
      <c r="AF135" s="536"/>
      <c r="AG135" s="537">
        <f t="shared" si="22"/>
        <v>1.0065930470347648</v>
      </c>
      <c r="AH135" s="537" t="str">
        <f t="shared" si="23"/>
        <v/>
      </c>
      <c r="AI135" s="525" t="str">
        <f t="shared" si="24"/>
        <v/>
      </c>
      <c r="AJ135" s="522"/>
      <c r="AK135" s="522" t="s">
        <v>315</v>
      </c>
      <c r="AL135" s="526"/>
      <c r="AM135" s="526"/>
      <c r="AN135" s="526"/>
      <c r="AO135" s="526"/>
    </row>
    <row r="136" spans="1:41" x14ac:dyDescent="0.25">
      <c r="A136" s="3">
        <v>5176376</v>
      </c>
      <c r="B136" s="454" t="s">
        <v>312</v>
      </c>
      <c r="C136" s="454">
        <v>2018</v>
      </c>
      <c r="D136" s="454" t="s">
        <v>297</v>
      </c>
      <c r="E136" s="454" t="s">
        <v>333</v>
      </c>
      <c r="F136" s="454" t="s">
        <v>299</v>
      </c>
      <c r="G136" s="454"/>
      <c r="H136" s="454" t="s">
        <v>349</v>
      </c>
      <c r="I136" s="454"/>
      <c r="J136" s="3" t="s">
        <v>41</v>
      </c>
      <c r="K136" s="454" t="str">
        <f t="shared" si="25"/>
        <v>8-hr TWA</v>
      </c>
      <c r="L136" s="454" t="s">
        <v>302</v>
      </c>
      <c r="M136" s="572">
        <v>39762</v>
      </c>
      <c r="N136" s="3">
        <v>480</v>
      </c>
      <c r="O136" s="3">
        <v>1</v>
      </c>
      <c r="P136" s="3"/>
      <c r="Q136" s="3"/>
      <c r="R136" s="3"/>
      <c r="S136" s="3"/>
      <c r="T136" s="3"/>
      <c r="U136" s="3"/>
      <c r="V136" s="3"/>
      <c r="W136" s="3">
        <v>0.16</v>
      </c>
      <c r="X136" s="574"/>
      <c r="Y136" s="3"/>
      <c r="Z136" s="2"/>
      <c r="AA136" s="2"/>
      <c r="AB136" s="2"/>
      <c r="AC136" s="2"/>
      <c r="AD136" s="537">
        <f t="shared" si="26"/>
        <v>1.0065930470347648</v>
      </c>
      <c r="AE136" s="536"/>
      <c r="AF136" s="536"/>
      <c r="AG136" s="537">
        <f t="shared" si="22"/>
        <v>1.0065930470347648</v>
      </c>
      <c r="AH136" s="537" t="str">
        <f t="shared" si="23"/>
        <v/>
      </c>
      <c r="AI136" s="525" t="str">
        <f t="shared" si="24"/>
        <v/>
      </c>
      <c r="AJ136" s="522"/>
      <c r="AK136" s="522" t="s">
        <v>315</v>
      </c>
      <c r="AL136" s="526"/>
      <c r="AM136" s="526"/>
      <c r="AN136" s="526"/>
      <c r="AO136" s="526"/>
    </row>
    <row r="137" spans="1:41" x14ac:dyDescent="0.25">
      <c r="A137" s="2">
        <v>5176376</v>
      </c>
      <c r="B137" s="522" t="s">
        <v>312</v>
      </c>
      <c r="C137" s="522">
        <v>2018</v>
      </c>
      <c r="D137" s="522" t="s">
        <v>297</v>
      </c>
      <c r="E137" s="522" t="s">
        <v>333</v>
      </c>
      <c r="F137" s="522" t="s">
        <v>299</v>
      </c>
      <c r="G137" s="522"/>
      <c r="H137" s="522" t="s">
        <v>335</v>
      </c>
      <c r="I137" s="522"/>
      <c r="J137" s="2" t="s">
        <v>301</v>
      </c>
      <c r="K137" s="522" t="str">
        <f t="shared" si="25"/>
        <v>8-hr TWA</v>
      </c>
      <c r="L137" s="522" t="s">
        <v>302</v>
      </c>
      <c r="M137" s="535">
        <v>39356</v>
      </c>
      <c r="N137" s="2">
        <v>480</v>
      </c>
      <c r="O137" s="2">
        <v>1</v>
      </c>
      <c r="P137" s="2"/>
      <c r="Q137" s="2"/>
      <c r="R137" s="2"/>
      <c r="S137" s="2"/>
      <c r="T137" s="2"/>
      <c r="U137" s="2"/>
      <c r="V137" s="2"/>
      <c r="W137" s="2">
        <v>0.16</v>
      </c>
      <c r="X137" s="444">
        <f t="shared" ref="X137:X176" si="35">IF($K137="8-hr TWA", IF($N137&lt;480,IF($AK137="ND",IF($AR$9&lt;3,($W137/SQRT(2))*$N137/480, ($W137/2)*$N137/480),$W137*$N137/480),IF($AK137="ND",IF($AR$9&lt;3,($W137/SQRT(2)), ($W137/2)),$W137)),"")</f>
        <v>0.11313708498984759</v>
      </c>
      <c r="Y137" s="2" t="str">
        <f t="shared" ref="Y137:Y176" si="36">IF($K137="12-hr TWA", IF($N137&lt;720,IF($AK137="ND",IF($AS$9&lt;3,($W137/SQRT(2))*$N137/720, ($W137/2)*$N137/720),$W137*$N137/720),IF($AK137="ND",IF($AS$9&lt;3,($W137/SQRT(2)), ($W137/2)),$W137)),"")</f>
        <v/>
      </c>
      <c r="Z137" s="2"/>
      <c r="AA137" s="2"/>
      <c r="AB137" s="2"/>
      <c r="AC137" s="2"/>
      <c r="AD137" s="537">
        <f t="shared" si="26"/>
        <v>1.0065930470347648</v>
      </c>
      <c r="AE137" s="536">
        <f t="shared" ref="AE137:AE176" si="37">+IFERROR(X137*MolW/MolVol,"")</f>
        <v>0.71176876945351153</v>
      </c>
      <c r="AF137" s="536" t="str">
        <f t="shared" ref="AF137:AF176" si="38">+IFERROR(Y137*MolW/MolVol,"")</f>
        <v/>
      </c>
      <c r="AG137" s="537" t="str">
        <f t="shared" si="22"/>
        <v/>
      </c>
      <c r="AH137" s="537" t="str">
        <f t="shared" si="23"/>
        <v/>
      </c>
      <c r="AI137" s="525" t="str">
        <f t="shared" si="24"/>
        <v/>
      </c>
      <c r="AJ137" s="522"/>
      <c r="AK137" s="522" t="s">
        <v>315</v>
      </c>
      <c r="AL137" s="526" t="str">
        <f t="shared" ref="AL137:AL176" si="39">IF($K137="8-hr TWA", IF($AK137&lt;&gt;"ND", IF($N137&lt;480, $W137*$N137/480,$W137),""),"")</f>
        <v/>
      </c>
      <c r="AM137" s="526" t="str">
        <f t="shared" ref="AM137:AM176" si="40">+IFERROR(LN(AL137), "")</f>
        <v/>
      </c>
      <c r="AN137" s="526" t="str">
        <f t="shared" ref="AN137:AN176" si="41">IF($K137="12-hr TWA", IF($AK137&lt;&gt;"ND", IF($N137&lt;720, $W137*$N137/720,$W137),""),"")</f>
        <v/>
      </c>
      <c r="AO137" s="526" t="str">
        <f t="shared" ref="AO137:AO176" si="42">+IFERROR(LN(AN137), "")</f>
        <v/>
      </c>
    </row>
    <row r="138" spans="1:41" x14ac:dyDescent="0.25">
      <c r="A138" s="2">
        <v>5176376</v>
      </c>
      <c r="B138" s="522" t="s">
        <v>312</v>
      </c>
      <c r="C138" s="522">
        <v>2018</v>
      </c>
      <c r="D138" s="522" t="s">
        <v>297</v>
      </c>
      <c r="E138" s="522" t="s">
        <v>333</v>
      </c>
      <c r="F138" s="522" t="s">
        <v>299</v>
      </c>
      <c r="G138" s="522"/>
      <c r="H138" s="522" t="s">
        <v>345</v>
      </c>
      <c r="I138" s="522"/>
      <c r="J138" s="2" t="s">
        <v>301</v>
      </c>
      <c r="K138" s="522" t="str">
        <f t="shared" si="25"/>
        <v>8-hr TWA</v>
      </c>
      <c r="L138" s="522" t="s">
        <v>302</v>
      </c>
      <c r="M138" s="535">
        <v>39357</v>
      </c>
      <c r="N138" s="2">
        <v>480</v>
      </c>
      <c r="O138" s="2">
        <v>1</v>
      </c>
      <c r="P138" s="2"/>
      <c r="Q138" s="2"/>
      <c r="R138" s="2"/>
      <c r="S138" s="2"/>
      <c r="T138" s="2"/>
      <c r="U138" s="2"/>
      <c r="V138" s="2"/>
      <c r="W138" s="2">
        <v>0.16</v>
      </c>
      <c r="X138" s="444">
        <f t="shared" si="35"/>
        <v>0.11313708498984759</v>
      </c>
      <c r="Y138" s="2" t="str">
        <f t="shared" si="36"/>
        <v/>
      </c>
      <c r="Z138" s="2"/>
      <c r="AA138" s="2"/>
      <c r="AB138" s="2"/>
      <c r="AC138" s="2"/>
      <c r="AD138" s="537">
        <f t="shared" si="26"/>
        <v>1.0065930470347648</v>
      </c>
      <c r="AE138" s="536">
        <f t="shared" si="37"/>
        <v>0.71176876945351153</v>
      </c>
      <c r="AF138" s="536" t="str">
        <f t="shared" si="38"/>
        <v/>
      </c>
      <c r="AG138" s="537" t="str">
        <f t="shared" si="22"/>
        <v/>
      </c>
      <c r="AH138" s="537" t="str">
        <f t="shared" si="23"/>
        <v/>
      </c>
      <c r="AI138" s="525" t="str">
        <f t="shared" si="24"/>
        <v/>
      </c>
      <c r="AJ138" s="522"/>
      <c r="AK138" s="522" t="s">
        <v>315</v>
      </c>
      <c r="AL138" s="526" t="str">
        <f t="shared" si="39"/>
        <v/>
      </c>
      <c r="AM138" s="526" t="str">
        <f t="shared" si="40"/>
        <v/>
      </c>
      <c r="AN138" s="526" t="str">
        <f t="shared" si="41"/>
        <v/>
      </c>
      <c r="AO138" s="526" t="str">
        <f t="shared" si="42"/>
        <v/>
      </c>
    </row>
    <row r="139" spans="1:41" x14ac:dyDescent="0.25">
      <c r="A139" s="2">
        <v>5176376</v>
      </c>
      <c r="B139" s="522" t="s">
        <v>312</v>
      </c>
      <c r="C139" s="522">
        <v>2018</v>
      </c>
      <c r="D139" s="522" t="s">
        <v>297</v>
      </c>
      <c r="E139" s="522" t="s">
        <v>333</v>
      </c>
      <c r="F139" s="522" t="s">
        <v>299</v>
      </c>
      <c r="G139" s="522"/>
      <c r="H139" s="522" t="s">
        <v>346</v>
      </c>
      <c r="I139" s="522"/>
      <c r="J139" s="2" t="s">
        <v>301</v>
      </c>
      <c r="K139" s="522" t="str">
        <f t="shared" si="25"/>
        <v>8-hr TWA</v>
      </c>
      <c r="L139" s="522" t="s">
        <v>302</v>
      </c>
      <c r="M139" s="535">
        <v>38784</v>
      </c>
      <c r="N139" s="2">
        <v>480</v>
      </c>
      <c r="O139" s="2">
        <v>1</v>
      </c>
      <c r="P139" s="2"/>
      <c r="Q139" s="2"/>
      <c r="R139" s="2"/>
      <c r="S139" s="2"/>
      <c r="T139" s="2"/>
      <c r="U139" s="2"/>
      <c r="V139" s="2"/>
      <c r="W139" s="2">
        <v>0.16</v>
      </c>
      <c r="X139" s="444">
        <f t="shared" si="35"/>
        <v>0.11313708498984759</v>
      </c>
      <c r="Y139" s="2" t="str">
        <f t="shared" si="36"/>
        <v/>
      </c>
      <c r="Z139" s="2"/>
      <c r="AA139" s="2"/>
      <c r="AB139" s="2"/>
      <c r="AC139" s="2"/>
      <c r="AD139" s="537">
        <f t="shared" si="26"/>
        <v>1.0065930470347648</v>
      </c>
      <c r="AE139" s="536">
        <f t="shared" si="37"/>
        <v>0.71176876945351153</v>
      </c>
      <c r="AF139" s="536" t="str">
        <f t="shared" si="38"/>
        <v/>
      </c>
      <c r="AG139" s="537" t="str">
        <f t="shared" si="22"/>
        <v/>
      </c>
      <c r="AH139" s="537" t="str">
        <f t="shared" si="23"/>
        <v/>
      </c>
      <c r="AI139" s="525" t="str">
        <f t="shared" si="24"/>
        <v/>
      </c>
      <c r="AJ139" s="522"/>
      <c r="AK139" s="522" t="s">
        <v>315</v>
      </c>
      <c r="AL139" s="526" t="str">
        <f t="shared" si="39"/>
        <v/>
      </c>
      <c r="AM139" s="526" t="str">
        <f t="shared" si="40"/>
        <v/>
      </c>
      <c r="AN139" s="526" t="str">
        <f t="shared" si="41"/>
        <v/>
      </c>
      <c r="AO139" s="526" t="str">
        <f t="shared" si="42"/>
        <v/>
      </c>
    </row>
    <row r="140" spans="1:41" x14ac:dyDescent="0.25">
      <c r="A140" s="2">
        <v>5176376</v>
      </c>
      <c r="B140" s="522" t="s">
        <v>312</v>
      </c>
      <c r="C140" s="522">
        <v>2018</v>
      </c>
      <c r="D140" s="522" t="s">
        <v>297</v>
      </c>
      <c r="E140" s="522" t="s">
        <v>333</v>
      </c>
      <c r="F140" s="522" t="s">
        <v>299</v>
      </c>
      <c r="G140" s="522"/>
      <c r="H140" s="522" t="s">
        <v>347</v>
      </c>
      <c r="I140" s="522"/>
      <c r="J140" s="2" t="s">
        <v>301</v>
      </c>
      <c r="K140" s="522" t="str">
        <f t="shared" si="25"/>
        <v>12-hr TWA</v>
      </c>
      <c r="L140" s="522" t="s">
        <v>302</v>
      </c>
      <c r="M140" s="535">
        <v>39548</v>
      </c>
      <c r="N140" s="2">
        <v>720</v>
      </c>
      <c r="O140" s="2">
        <v>1</v>
      </c>
      <c r="P140" s="2"/>
      <c r="Q140" s="2"/>
      <c r="R140" s="2"/>
      <c r="S140" s="2"/>
      <c r="T140" s="2"/>
      <c r="U140" s="2"/>
      <c r="V140" s="2"/>
      <c r="W140" s="2">
        <v>0.16</v>
      </c>
      <c r="X140" s="2" t="str">
        <f t="shared" si="35"/>
        <v/>
      </c>
      <c r="Y140" s="524">
        <f t="shared" si="36"/>
        <v>0.08</v>
      </c>
      <c r="Z140" s="2"/>
      <c r="AA140" s="2"/>
      <c r="AB140" s="2"/>
      <c r="AC140" s="2"/>
      <c r="AD140" s="537">
        <f t="shared" si="26"/>
        <v>1.0065930470347648</v>
      </c>
      <c r="AE140" s="536" t="str">
        <f t="shared" si="37"/>
        <v/>
      </c>
      <c r="AF140" s="536">
        <f t="shared" si="38"/>
        <v>0.50329652351738241</v>
      </c>
      <c r="AG140" s="537" t="str">
        <f t="shared" ref="AG140:AG203" si="43">IF($K140="8-hr TWA", IF(J140="ONU",W140*MolW/MolVol,""),"")</f>
        <v/>
      </c>
      <c r="AH140" s="537" t="str">
        <f t="shared" ref="AH140:AH203" si="44">IF($K140="12-hr TWA", IF(J140="ONU",W140*MolW/MolVol,""),"")</f>
        <v/>
      </c>
      <c r="AI140" s="525" t="str">
        <f t="shared" ref="AI140:AI203" si="45">IF($K140="8-hr TWA", IF(I140="Y",X140*MolW/MolVol,""),"")</f>
        <v/>
      </c>
      <c r="AJ140" s="522"/>
      <c r="AK140" s="522" t="s">
        <v>315</v>
      </c>
      <c r="AL140" s="526" t="str">
        <f t="shared" si="39"/>
        <v/>
      </c>
      <c r="AM140" s="526" t="str">
        <f t="shared" si="40"/>
        <v/>
      </c>
      <c r="AN140" s="526" t="str">
        <f t="shared" si="41"/>
        <v/>
      </c>
      <c r="AO140" s="526" t="str">
        <f t="shared" si="42"/>
        <v/>
      </c>
    </row>
    <row r="141" spans="1:41" x14ac:dyDescent="0.25">
      <c r="A141" s="2">
        <v>5176376</v>
      </c>
      <c r="B141" s="522" t="s">
        <v>312</v>
      </c>
      <c r="C141" s="522">
        <v>2018</v>
      </c>
      <c r="D141" s="522" t="s">
        <v>297</v>
      </c>
      <c r="E141" s="522" t="s">
        <v>333</v>
      </c>
      <c r="F141" s="522" t="s">
        <v>299</v>
      </c>
      <c r="G141" s="522"/>
      <c r="H141" s="522" t="s">
        <v>347</v>
      </c>
      <c r="I141" s="522"/>
      <c r="J141" s="2" t="s">
        <v>301</v>
      </c>
      <c r="K141" s="522" t="str">
        <f t="shared" si="25"/>
        <v>12-hr TWA</v>
      </c>
      <c r="L141" s="522" t="s">
        <v>302</v>
      </c>
      <c r="M141" s="535">
        <v>38783</v>
      </c>
      <c r="N141" s="2">
        <v>720</v>
      </c>
      <c r="O141" s="2">
        <v>1</v>
      </c>
      <c r="P141" s="2"/>
      <c r="Q141" s="2"/>
      <c r="R141" s="2"/>
      <c r="S141" s="2"/>
      <c r="T141" s="2"/>
      <c r="U141" s="2"/>
      <c r="V141" s="2"/>
      <c r="W141" s="2">
        <v>0.16</v>
      </c>
      <c r="X141" s="2" t="str">
        <f t="shared" si="35"/>
        <v/>
      </c>
      <c r="Y141" s="524">
        <f t="shared" si="36"/>
        <v>0.08</v>
      </c>
      <c r="Z141" s="2"/>
      <c r="AA141" s="2"/>
      <c r="AB141" s="2"/>
      <c r="AC141" s="2"/>
      <c r="AD141" s="537">
        <f t="shared" si="26"/>
        <v>1.0065930470347648</v>
      </c>
      <c r="AE141" s="536" t="str">
        <f t="shared" si="37"/>
        <v/>
      </c>
      <c r="AF141" s="536">
        <f t="shared" si="38"/>
        <v>0.50329652351738241</v>
      </c>
      <c r="AG141" s="537" t="str">
        <f t="shared" si="43"/>
        <v/>
      </c>
      <c r="AH141" s="537" t="str">
        <f t="shared" si="44"/>
        <v/>
      </c>
      <c r="AI141" s="525" t="str">
        <f t="shared" si="45"/>
        <v/>
      </c>
      <c r="AJ141" s="522"/>
      <c r="AK141" s="522" t="s">
        <v>315</v>
      </c>
      <c r="AL141" s="526" t="str">
        <f t="shared" si="39"/>
        <v/>
      </c>
      <c r="AM141" s="526" t="str">
        <f t="shared" si="40"/>
        <v/>
      </c>
      <c r="AN141" s="526" t="str">
        <f t="shared" si="41"/>
        <v/>
      </c>
      <c r="AO141" s="526" t="str">
        <f t="shared" si="42"/>
        <v/>
      </c>
    </row>
    <row r="142" spans="1:41" x14ac:dyDescent="0.25">
      <c r="A142" s="2">
        <v>5176376</v>
      </c>
      <c r="B142" s="522" t="s">
        <v>312</v>
      </c>
      <c r="C142" s="522">
        <v>2018</v>
      </c>
      <c r="D142" s="522" t="s">
        <v>297</v>
      </c>
      <c r="E142" s="522" t="s">
        <v>333</v>
      </c>
      <c r="F142" s="522" t="s">
        <v>299</v>
      </c>
      <c r="G142" s="522"/>
      <c r="H142" s="522" t="s">
        <v>347</v>
      </c>
      <c r="I142" s="522"/>
      <c r="J142" s="2" t="s">
        <v>301</v>
      </c>
      <c r="K142" s="522" t="str">
        <f t="shared" si="25"/>
        <v>12-hr TWA</v>
      </c>
      <c r="L142" s="522" t="s">
        <v>302</v>
      </c>
      <c r="M142" s="535">
        <v>38784</v>
      </c>
      <c r="N142" s="2">
        <v>720</v>
      </c>
      <c r="O142" s="2">
        <v>1</v>
      </c>
      <c r="P142" s="2"/>
      <c r="Q142" s="2"/>
      <c r="R142" s="2"/>
      <c r="S142" s="2"/>
      <c r="T142" s="2"/>
      <c r="U142" s="2"/>
      <c r="V142" s="2"/>
      <c r="W142" s="2">
        <v>0.16</v>
      </c>
      <c r="X142" s="2" t="str">
        <f t="shared" si="35"/>
        <v/>
      </c>
      <c r="Y142" s="524">
        <f t="shared" si="36"/>
        <v>0.08</v>
      </c>
      <c r="Z142" s="2"/>
      <c r="AA142" s="2"/>
      <c r="AB142" s="2"/>
      <c r="AC142" s="2"/>
      <c r="AD142" s="537">
        <f t="shared" si="26"/>
        <v>1.0065930470347648</v>
      </c>
      <c r="AE142" s="536" t="str">
        <f t="shared" si="37"/>
        <v/>
      </c>
      <c r="AF142" s="536">
        <f t="shared" si="38"/>
        <v>0.50329652351738241</v>
      </c>
      <c r="AG142" s="537" t="str">
        <f t="shared" si="43"/>
        <v/>
      </c>
      <c r="AH142" s="537" t="str">
        <f t="shared" si="44"/>
        <v/>
      </c>
      <c r="AI142" s="525" t="str">
        <f t="shared" si="45"/>
        <v/>
      </c>
      <c r="AJ142" s="522"/>
      <c r="AK142" s="522" t="s">
        <v>315</v>
      </c>
      <c r="AL142" s="526" t="str">
        <f t="shared" si="39"/>
        <v/>
      </c>
      <c r="AM142" s="526" t="str">
        <f t="shared" si="40"/>
        <v/>
      </c>
      <c r="AN142" s="526" t="str">
        <f t="shared" si="41"/>
        <v/>
      </c>
      <c r="AO142" s="526" t="str">
        <f t="shared" si="42"/>
        <v/>
      </c>
    </row>
    <row r="143" spans="1:41" x14ac:dyDescent="0.25">
      <c r="A143" s="2">
        <v>5176376</v>
      </c>
      <c r="B143" s="522" t="s">
        <v>312</v>
      </c>
      <c r="C143" s="522">
        <v>2018</v>
      </c>
      <c r="D143" s="522" t="s">
        <v>297</v>
      </c>
      <c r="E143" s="522" t="s">
        <v>333</v>
      </c>
      <c r="F143" s="522" t="s">
        <v>299</v>
      </c>
      <c r="G143" s="522"/>
      <c r="H143" s="522" t="s">
        <v>347</v>
      </c>
      <c r="I143" s="522"/>
      <c r="J143" s="2" t="s">
        <v>301</v>
      </c>
      <c r="K143" s="522" t="str">
        <f t="shared" si="25"/>
        <v>12-hr TWA</v>
      </c>
      <c r="L143" s="522" t="s">
        <v>302</v>
      </c>
      <c r="M143" s="535">
        <v>39223</v>
      </c>
      <c r="N143" s="2">
        <v>720</v>
      </c>
      <c r="O143" s="2">
        <v>1</v>
      </c>
      <c r="P143" s="2"/>
      <c r="Q143" s="2"/>
      <c r="R143" s="2"/>
      <c r="S143" s="2"/>
      <c r="T143" s="2"/>
      <c r="U143" s="2"/>
      <c r="V143" s="2"/>
      <c r="W143" s="2">
        <v>0.16</v>
      </c>
      <c r="X143" s="2" t="str">
        <f t="shared" si="35"/>
        <v/>
      </c>
      <c r="Y143" s="524">
        <f t="shared" si="36"/>
        <v>0.08</v>
      </c>
      <c r="Z143" s="2"/>
      <c r="AA143" s="2"/>
      <c r="AB143" s="2"/>
      <c r="AC143" s="2"/>
      <c r="AD143" s="537">
        <f t="shared" si="26"/>
        <v>1.0065930470347648</v>
      </c>
      <c r="AE143" s="536" t="str">
        <f t="shared" si="37"/>
        <v/>
      </c>
      <c r="AF143" s="536">
        <f t="shared" si="38"/>
        <v>0.50329652351738241</v>
      </c>
      <c r="AG143" s="537" t="str">
        <f t="shared" si="43"/>
        <v/>
      </c>
      <c r="AH143" s="537" t="str">
        <f t="shared" si="44"/>
        <v/>
      </c>
      <c r="AI143" s="525" t="str">
        <f t="shared" si="45"/>
        <v/>
      </c>
      <c r="AJ143" s="522"/>
      <c r="AK143" s="522" t="s">
        <v>315</v>
      </c>
      <c r="AL143" s="526" t="str">
        <f t="shared" si="39"/>
        <v/>
      </c>
      <c r="AM143" s="526" t="str">
        <f t="shared" si="40"/>
        <v/>
      </c>
      <c r="AN143" s="526" t="str">
        <f t="shared" si="41"/>
        <v/>
      </c>
      <c r="AO143" s="526" t="str">
        <f t="shared" si="42"/>
        <v/>
      </c>
    </row>
    <row r="144" spans="1:41" x14ac:dyDescent="0.25">
      <c r="A144" s="2">
        <v>5176376</v>
      </c>
      <c r="B144" s="522" t="s">
        <v>312</v>
      </c>
      <c r="C144" s="522">
        <v>2018</v>
      </c>
      <c r="D144" s="522" t="s">
        <v>297</v>
      </c>
      <c r="E144" s="522" t="s">
        <v>333</v>
      </c>
      <c r="F144" s="522" t="s">
        <v>299</v>
      </c>
      <c r="G144" s="522"/>
      <c r="H144" s="522" t="s">
        <v>346</v>
      </c>
      <c r="I144" s="522"/>
      <c r="J144" s="2" t="s">
        <v>301</v>
      </c>
      <c r="K144" s="522" t="str">
        <f t="shared" si="25"/>
        <v>8-hr TWA</v>
      </c>
      <c r="L144" s="522" t="s">
        <v>302</v>
      </c>
      <c r="M144" s="535">
        <v>39548</v>
      </c>
      <c r="N144" s="2">
        <v>480</v>
      </c>
      <c r="O144" s="2">
        <v>1</v>
      </c>
      <c r="P144" s="2"/>
      <c r="Q144" s="2"/>
      <c r="R144" s="2"/>
      <c r="S144" s="2"/>
      <c r="T144" s="2"/>
      <c r="U144" s="2"/>
      <c r="V144" s="2"/>
      <c r="W144" s="2">
        <v>0.16</v>
      </c>
      <c r="X144" s="444">
        <f t="shared" si="35"/>
        <v>0.11313708498984759</v>
      </c>
      <c r="Y144" s="2" t="str">
        <f t="shared" si="36"/>
        <v/>
      </c>
      <c r="Z144" s="2"/>
      <c r="AA144" s="2"/>
      <c r="AB144" s="2"/>
      <c r="AC144" s="2"/>
      <c r="AD144" s="537">
        <f t="shared" si="26"/>
        <v>1.0065930470347648</v>
      </c>
      <c r="AE144" s="536">
        <f t="shared" si="37"/>
        <v>0.71176876945351153</v>
      </c>
      <c r="AF144" s="536" t="str">
        <f t="shared" si="38"/>
        <v/>
      </c>
      <c r="AG144" s="537" t="str">
        <f t="shared" si="43"/>
        <v/>
      </c>
      <c r="AH144" s="537" t="str">
        <f t="shared" si="44"/>
        <v/>
      </c>
      <c r="AI144" s="525" t="str">
        <f t="shared" si="45"/>
        <v/>
      </c>
      <c r="AJ144" s="522"/>
      <c r="AK144" s="522" t="s">
        <v>315</v>
      </c>
      <c r="AL144" s="526" t="str">
        <f t="shared" si="39"/>
        <v/>
      </c>
      <c r="AM144" s="526" t="str">
        <f t="shared" si="40"/>
        <v/>
      </c>
      <c r="AN144" s="526" t="str">
        <f t="shared" si="41"/>
        <v/>
      </c>
      <c r="AO144" s="526" t="str">
        <f t="shared" si="42"/>
        <v/>
      </c>
    </row>
    <row r="145" spans="1:41" x14ac:dyDescent="0.25">
      <c r="A145" s="2">
        <v>5176376</v>
      </c>
      <c r="B145" s="522" t="s">
        <v>312</v>
      </c>
      <c r="C145" s="522">
        <v>2018</v>
      </c>
      <c r="D145" s="522" t="s">
        <v>297</v>
      </c>
      <c r="E145" s="522" t="s">
        <v>333</v>
      </c>
      <c r="F145" s="522" t="s">
        <v>299</v>
      </c>
      <c r="G145" s="522"/>
      <c r="H145" s="522" t="s">
        <v>340</v>
      </c>
      <c r="I145" s="522"/>
      <c r="J145" s="2" t="s">
        <v>301</v>
      </c>
      <c r="K145" s="522" t="str">
        <f t="shared" si="25"/>
        <v>12-hr TWA</v>
      </c>
      <c r="L145" s="522" t="s">
        <v>302</v>
      </c>
      <c r="M145" s="535">
        <v>39301</v>
      </c>
      <c r="N145" s="2">
        <v>720</v>
      </c>
      <c r="O145" s="2">
        <v>1</v>
      </c>
      <c r="P145" s="2"/>
      <c r="Q145" s="2"/>
      <c r="R145" s="2"/>
      <c r="S145" s="2"/>
      <c r="T145" s="2"/>
      <c r="U145" s="2"/>
      <c r="V145" s="2"/>
      <c r="W145" s="2">
        <v>0.16</v>
      </c>
      <c r="X145" s="444" t="str">
        <f t="shared" si="35"/>
        <v/>
      </c>
      <c r="Y145" s="524">
        <f t="shared" si="36"/>
        <v>0.08</v>
      </c>
      <c r="Z145" s="2"/>
      <c r="AA145" s="2"/>
      <c r="AB145" s="2"/>
      <c r="AC145" s="2"/>
      <c r="AD145" s="537">
        <f t="shared" si="26"/>
        <v>1.0065930470347648</v>
      </c>
      <c r="AE145" s="536" t="str">
        <f t="shared" si="37"/>
        <v/>
      </c>
      <c r="AF145" s="536">
        <f t="shared" si="38"/>
        <v>0.50329652351738241</v>
      </c>
      <c r="AG145" s="537" t="str">
        <f t="shared" si="43"/>
        <v/>
      </c>
      <c r="AH145" s="537" t="str">
        <f t="shared" si="44"/>
        <v/>
      </c>
      <c r="AI145" s="525" t="str">
        <f t="shared" si="45"/>
        <v/>
      </c>
      <c r="AJ145" s="522"/>
      <c r="AK145" s="522" t="s">
        <v>315</v>
      </c>
      <c r="AL145" s="526" t="str">
        <f t="shared" si="39"/>
        <v/>
      </c>
      <c r="AM145" s="526" t="str">
        <f t="shared" si="40"/>
        <v/>
      </c>
      <c r="AN145" s="526" t="str">
        <f t="shared" si="41"/>
        <v/>
      </c>
      <c r="AO145" s="526" t="str">
        <f t="shared" si="42"/>
        <v/>
      </c>
    </row>
    <row r="146" spans="1:41" x14ac:dyDescent="0.25">
      <c r="A146" s="2">
        <v>5176376</v>
      </c>
      <c r="B146" s="522" t="s">
        <v>312</v>
      </c>
      <c r="C146" s="522">
        <v>2018</v>
      </c>
      <c r="D146" s="522" t="s">
        <v>297</v>
      </c>
      <c r="E146" s="522" t="s">
        <v>333</v>
      </c>
      <c r="F146" s="522" t="s">
        <v>299</v>
      </c>
      <c r="G146" s="522"/>
      <c r="H146" s="522" t="s">
        <v>350</v>
      </c>
      <c r="I146" s="522"/>
      <c r="J146" s="2" t="s">
        <v>301</v>
      </c>
      <c r="K146" s="522" t="str">
        <f t="shared" si="25"/>
        <v>8-hr TWA</v>
      </c>
      <c r="L146" s="522" t="s">
        <v>302</v>
      </c>
      <c r="M146" s="535">
        <v>39723</v>
      </c>
      <c r="N146" s="2">
        <v>480</v>
      </c>
      <c r="O146" s="2">
        <v>1</v>
      </c>
      <c r="P146" s="2"/>
      <c r="Q146" s="2"/>
      <c r="R146" s="2"/>
      <c r="S146" s="2"/>
      <c r="T146" s="2"/>
      <c r="U146" s="2"/>
      <c r="V146" s="2"/>
      <c r="W146" s="2">
        <v>0.16</v>
      </c>
      <c r="X146" s="444">
        <f t="shared" si="35"/>
        <v>0.11313708498984759</v>
      </c>
      <c r="Y146" s="2" t="str">
        <f t="shared" si="36"/>
        <v/>
      </c>
      <c r="Z146" s="2"/>
      <c r="AA146" s="2"/>
      <c r="AB146" s="2"/>
      <c r="AC146" s="2"/>
      <c r="AD146" s="537">
        <f t="shared" si="26"/>
        <v>1.0065930470347648</v>
      </c>
      <c r="AE146" s="536">
        <f t="shared" si="37"/>
        <v>0.71176876945351153</v>
      </c>
      <c r="AF146" s="536" t="str">
        <f t="shared" si="38"/>
        <v/>
      </c>
      <c r="AG146" s="537" t="str">
        <f t="shared" si="43"/>
        <v/>
      </c>
      <c r="AH146" s="537" t="str">
        <f t="shared" si="44"/>
        <v/>
      </c>
      <c r="AI146" s="525" t="str">
        <f t="shared" si="45"/>
        <v/>
      </c>
      <c r="AJ146" s="522"/>
      <c r="AK146" s="522" t="s">
        <v>315</v>
      </c>
      <c r="AL146" s="526" t="str">
        <f t="shared" si="39"/>
        <v/>
      </c>
      <c r="AM146" s="526" t="str">
        <f t="shared" si="40"/>
        <v/>
      </c>
      <c r="AN146" s="526" t="str">
        <f t="shared" si="41"/>
        <v/>
      </c>
      <c r="AO146" s="526" t="str">
        <f t="shared" si="42"/>
        <v/>
      </c>
    </row>
    <row r="147" spans="1:41" x14ac:dyDescent="0.25">
      <c r="A147" s="2">
        <v>5176376</v>
      </c>
      <c r="B147" s="522" t="s">
        <v>312</v>
      </c>
      <c r="C147" s="522">
        <v>2018</v>
      </c>
      <c r="D147" s="522" t="s">
        <v>297</v>
      </c>
      <c r="E147" s="522" t="s">
        <v>333</v>
      </c>
      <c r="F147" s="522" t="s">
        <v>299</v>
      </c>
      <c r="G147" s="522"/>
      <c r="H147" s="522" t="s">
        <v>350</v>
      </c>
      <c r="I147" s="522"/>
      <c r="J147" s="2" t="s">
        <v>301</v>
      </c>
      <c r="K147" s="522" t="str">
        <f t="shared" si="25"/>
        <v>8-hr TWA</v>
      </c>
      <c r="L147" s="522" t="s">
        <v>302</v>
      </c>
      <c r="M147" s="535">
        <v>39743</v>
      </c>
      <c r="N147" s="2">
        <v>480</v>
      </c>
      <c r="O147" s="2">
        <v>1</v>
      </c>
      <c r="P147" s="2"/>
      <c r="Q147" s="2"/>
      <c r="R147" s="2"/>
      <c r="S147" s="2"/>
      <c r="T147" s="2"/>
      <c r="U147" s="2"/>
      <c r="V147" s="2"/>
      <c r="W147" s="2">
        <v>0.16</v>
      </c>
      <c r="X147" s="444">
        <f t="shared" si="35"/>
        <v>0.11313708498984759</v>
      </c>
      <c r="Y147" s="2" t="str">
        <f t="shared" si="36"/>
        <v/>
      </c>
      <c r="Z147" s="2"/>
      <c r="AA147" s="2"/>
      <c r="AB147" s="2"/>
      <c r="AC147" s="2"/>
      <c r="AD147" s="537">
        <f t="shared" si="26"/>
        <v>1.0065930470347648</v>
      </c>
      <c r="AE147" s="536">
        <f t="shared" si="37"/>
        <v>0.71176876945351153</v>
      </c>
      <c r="AF147" s="536" t="str">
        <f t="shared" si="38"/>
        <v/>
      </c>
      <c r="AG147" s="537" t="str">
        <f t="shared" si="43"/>
        <v/>
      </c>
      <c r="AH147" s="537" t="str">
        <f t="shared" si="44"/>
        <v/>
      </c>
      <c r="AI147" s="525" t="str">
        <f t="shared" si="45"/>
        <v/>
      </c>
      <c r="AJ147" s="522"/>
      <c r="AK147" s="522" t="s">
        <v>315</v>
      </c>
      <c r="AL147" s="526" t="str">
        <f t="shared" si="39"/>
        <v/>
      </c>
      <c r="AM147" s="526" t="str">
        <f t="shared" si="40"/>
        <v/>
      </c>
      <c r="AN147" s="526" t="str">
        <f t="shared" si="41"/>
        <v/>
      </c>
      <c r="AO147" s="526" t="str">
        <f t="shared" si="42"/>
        <v/>
      </c>
    </row>
    <row r="148" spans="1:41" x14ac:dyDescent="0.25">
      <c r="A148" s="2">
        <v>5176376</v>
      </c>
      <c r="B148" s="522" t="s">
        <v>312</v>
      </c>
      <c r="C148" s="522">
        <v>2018</v>
      </c>
      <c r="D148" s="522" t="s">
        <v>297</v>
      </c>
      <c r="E148" s="522" t="s">
        <v>333</v>
      </c>
      <c r="F148" s="522" t="s">
        <v>299</v>
      </c>
      <c r="G148" s="522"/>
      <c r="H148" s="522" t="s">
        <v>350</v>
      </c>
      <c r="I148" s="522"/>
      <c r="J148" s="2" t="s">
        <v>301</v>
      </c>
      <c r="K148" s="522" t="str">
        <f t="shared" ref="K148:K211" si="46">+IF(N148&lt;=540, "8-hr TWA", IF(N148&gt;540, "12-hr TWA", "Error"))</f>
        <v>8-hr TWA</v>
      </c>
      <c r="L148" s="522" t="s">
        <v>302</v>
      </c>
      <c r="M148" s="535">
        <v>39744</v>
      </c>
      <c r="N148" s="2">
        <v>480</v>
      </c>
      <c r="O148" s="2">
        <v>1</v>
      </c>
      <c r="P148" s="2"/>
      <c r="Q148" s="2"/>
      <c r="R148" s="2"/>
      <c r="S148" s="2"/>
      <c r="T148" s="2"/>
      <c r="U148" s="2"/>
      <c r="V148" s="2"/>
      <c r="W148" s="2">
        <v>0.16</v>
      </c>
      <c r="X148" s="444">
        <f t="shared" si="35"/>
        <v>0.11313708498984759</v>
      </c>
      <c r="Y148" s="2" t="str">
        <f t="shared" si="36"/>
        <v/>
      </c>
      <c r="Z148" s="2"/>
      <c r="AA148" s="2"/>
      <c r="AB148" s="2"/>
      <c r="AC148" s="2"/>
      <c r="AD148" s="537">
        <f t="shared" si="26"/>
        <v>1.0065930470347648</v>
      </c>
      <c r="AE148" s="536">
        <f t="shared" si="37"/>
        <v>0.71176876945351153</v>
      </c>
      <c r="AF148" s="536" t="str">
        <f t="shared" si="38"/>
        <v/>
      </c>
      <c r="AG148" s="537" t="str">
        <f t="shared" si="43"/>
        <v/>
      </c>
      <c r="AH148" s="537" t="str">
        <f t="shared" si="44"/>
        <v/>
      </c>
      <c r="AI148" s="525" t="str">
        <f t="shared" si="45"/>
        <v/>
      </c>
      <c r="AJ148" s="522"/>
      <c r="AK148" s="522" t="s">
        <v>315</v>
      </c>
      <c r="AL148" s="526" t="str">
        <f t="shared" si="39"/>
        <v/>
      </c>
      <c r="AM148" s="526" t="str">
        <f t="shared" si="40"/>
        <v/>
      </c>
      <c r="AN148" s="526" t="str">
        <f t="shared" si="41"/>
        <v/>
      </c>
      <c r="AO148" s="526" t="str">
        <f t="shared" si="42"/>
        <v/>
      </c>
    </row>
    <row r="149" spans="1:41" x14ac:dyDescent="0.25">
      <c r="A149" s="2">
        <v>5176376</v>
      </c>
      <c r="B149" s="522" t="s">
        <v>312</v>
      </c>
      <c r="C149" s="522">
        <v>2018</v>
      </c>
      <c r="D149" s="522" t="s">
        <v>297</v>
      </c>
      <c r="E149" s="522" t="s">
        <v>333</v>
      </c>
      <c r="F149" s="522" t="s">
        <v>299</v>
      </c>
      <c r="G149" s="522"/>
      <c r="H149" s="522" t="s">
        <v>344</v>
      </c>
      <c r="I149" s="522"/>
      <c r="J149" s="2" t="s">
        <v>301</v>
      </c>
      <c r="K149" s="522" t="str">
        <f t="shared" si="46"/>
        <v>12-hr TWA</v>
      </c>
      <c r="L149" s="522" t="s">
        <v>302</v>
      </c>
      <c r="M149" s="535">
        <v>39048</v>
      </c>
      <c r="N149" s="2">
        <v>720</v>
      </c>
      <c r="O149" s="2">
        <v>1</v>
      </c>
      <c r="P149" s="2"/>
      <c r="Q149" s="2"/>
      <c r="R149" s="2"/>
      <c r="S149" s="2"/>
      <c r="T149" s="2"/>
      <c r="U149" s="2"/>
      <c r="V149" s="2"/>
      <c r="W149" s="2">
        <v>0.16</v>
      </c>
      <c r="X149" s="444" t="str">
        <f t="shared" si="35"/>
        <v/>
      </c>
      <c r="Y149" s="524">
        <f t="shared" si="36"/>
        <v>0.08</v>
      </c>
      <c r="Z149" s="2"/>
      <c r="AA149" s="2"/>
      <c r="AB149" s="2"/>
      <c r="AC149" s="2"/>
      <c r="AD149" s="537">
        <f t="shared" si="26"/>
        <v>1.0065930470347648</v>
      </c>
      <c r="AE149" s="536" t="str">
        <f t="shared" si="37"/>
        <v/>
      </c>
      <c r="AF149" s="536">
        <f t="shared" si="38"/>
        <v>0.50329652351738241</v>
      </c>
      <c r="AG149" s="537" t="str">
        <f t="shared" si="43"/>
        <v/>
      </c>
      <c r="AH149" s="537" t="str">
        <f t="shared" si="44"/>
        <v/>
      </c>
      <c r="AI149" s="525" t="str">
        <f t="shared" si="45"/>
        <v/>
      </c>
      <c r="AJ149" s="522"/>
      <c r="AK149" s="522" t="s">
        <v>315</v>
      </c>
      <c r="AL149" s="526" t="str">
        <f t="shared" si="39"/>
        <v/>
      </c>
      <c r="AM149" s="526" t="str">
        <f t="shared" si="40"/>
        <v/>
      </c>
      <c r="AN149" s="526" t="str">
        <f t="shared" si="41"/>
        <v/>
      </c>
      <c r="AO149" s="526" t="str">
        <f t="shared" si="42"/>
        <v/>
      </c>
    </row>
    <row r="150" spans="1:41" x14ac:dyDescent="0.25">
      <c r="A150" s="2">
        <v>5176376</v>
      </c>
      <c r="B150" s="522" t="s">
        <v>312</v>
      </c>
      <c r="C150" s="522">
        <v>2018</v>
      </c>
      <c r="D150" s="522" t="s">
        <v>297</v>
      </c>
      <c r="E150" s="522" t="s">
        <v>333</v>
      </c>
      <c r="F150" s="522" t="s">
        <v>299</v>
      </c>
      <c r="G150" s="522"/>
      <c r="H150" s="522" t="s">
        <v>348</v>
      </c>
      <c r="I150" s="522"/>
      <c r="J150" s="2" t="s">
        <v>301</v>
      </c>
      <c r="K150" s="522" t="str">
        <f t="shared" si="46"/>
        <v>12-hr TWA</v>
      </c>
      <c r="L150" s="522" t="s">
        <v>302</v>
      </c>
      <c r="M150" s="535">
        <v>39037</v>
      </c>
      <c r="N150" s="2">
        <v>720</v>
      </c>
      <c r="O150" s="2">
        <v>1</v>
      </c>
      <c r="P150" s="2"/>
      <c r="Q150" s="2"/>
      <c r="R150" s="2"/>
      <c r="S150" s="2"/>
      <c r="T150" s="2"/>
      <c r="U150" s="2"/>
      <c r="V150" s="2"/>
      <c r="W150" s="2">
        <v>0.16</v>
      </c>
      <c r="X150" s="444" t="str">
        <f t="shared" si="35"/>
        <v/>
      </c>
      <c r="Y150" s="524">
        <f t="shared" si="36"/>
        <v>0.08</v>
      </c>
      <c r="Z150" s="2"/>
      <c r="AA150" s="2"/>
      <c r="AB150" s="2"/>
      <c r="AC150" s="2"/>
      <c r="AD150" s="537">
        <f t="shared" ref="AD150:AD213" si="47">+W150*MolW/MolVol</f>
        <v>1.0065930470347648</v>
      </c>
      <c r="AE150" s="536" t="str">
        <f t="shared" si="37"/>
        <v/>
      </c>
      <c r="AF150" s="536">
        <f t="shared" si="38"/>
        <v>0.50329652351738241</v>
      </c>
      <c r="AG150" s="537" t="str">
        <f t="shared" si="43"/>
        <v/>
      </c>
      <c r="AH150" s="537" t="str">
        <f t="shared" si="44"/>
        <v/>
      </c>
      <c r="AI150" s="525" t="str">
        <f t="shared" si="45"/>
        <v/>
      </c>
      <c r="AJ150" s="522"/>
      <c r="AK150" s="522" t="s">
        <v>315</v>
      </c>
      <c r="AL150" s="526" t="str">
        <f t="shared" si="39"/>
        <v/>
      </c>
      <c r="AM150" s="526" t="str">
        <f t="shared" si="40"/>
        <v/>
      </c>
      <c r="AN150" s="526" t="str">
        <f t="shared" si="41"/>
        <v/>
      </c>
      <c r="AO150" s="526" t="str">
        <f t="shared" si="42"/>
        <v/>
      </c>
    </row>
    <row r="151" spans="1:41" x14ac:dyDescent="0.25">
      <c r="A151" s="2">
        <v>5176376</v>
      </c>
      <c r="B151" s="522" t="s">
        <v>312</v>
      </c>
      <c r="C151" s="522">
        <v>2018</v>
      </c>
      <c r="D151" s="522" t="s">
        <v>297</v>
      </c>
      <c r="E151" s="522" t="s">
        <v>333</v>
      </c>
      <c r="F151" s="522" t="s">
        <v>299</v>
      </c>
      <c r="G151" s="522"/>
      <c r="H151" s="522" t="s">
        <v>351</v>
      </c>
      <c r="I151" s="522"/>
      <c r="J151" s="2" t="s">
        <v>301</v>
      </c>
      <c r="K151" s="522" t="str">
        <f t="shared" si="46"/>
        <v>8-hr TWA</v>
      </c>
      <c r="L151" s="522" t="s">
        <v>302</v>
      </c>
      <c r="M151" s="535">
        <v>39721</v>
      </c>
      <c r="N151" s="2">
        <v>480</v>
      </c>
      <c r="O151" s="2">
        <v>1</v>
      </c>
      <c r="P151" s="2"/>
      <c r="Q151" s="2"/>
      <c r="R151" s="2"/>
      <c r="S151" s="2"/>
      <c r="T151" s="2"/>
      <c r="U151" s="2"/>
      <c r="V151" s="2"/>
      <c r="W151" s="2">
        <v>0.16</v>
      </c>
      <c r="X151" s="444">
        <f t="shared" si="35"/>
        <v>0.11313708498984759</v>
      </c>
      <c r="Y151" s="2" t="str">
        <f t="shared" si="36"/>
        <v/>
      </c>
      <c r="Z151" s="2"/>
      <c r="AA151" s="2"/>
      <c r="AB151" s="2"/>
      <c r="AC151" s="2"/>
      <c r="AD151" s="537">
        <f t="shared" si="47"/>
        <v>1.0065930470347648</v>
      </c>
      <c r="AE151" s="536">
        <f t="shared" si="37"/>
        <v>0.71176876945351153</v>
      </c>
      <c r="AF151" s="536" t="str">
        <f t="shared" si="38"/>
        <v/>
      </c>
      <c r="AG151" s="537" t="str">
        <f t="shared" si="43"/>
        <v/>
      </c>
      <c r="AH151" s="537" t="str">
        <f t="shared" si="44"/>
        <v/>
      </c>
      <c r="AI151" s="525" t="str">
        <f t="shared" si="45"/>
        <v/>
      </c>
      <c r="AJ151" s="522"/>
      <c r="AK151" s="522" t="s">
        <v>315</v>
      </c>
      <c r="AL151" s="526" t="str">
        <f t="shared" si="39"/>
        <v/>
      </c>
      <c r="AM151" s="526" t="str">
        <f t="shared" si="40"/>
        <v/>
      </c>
      <c r="AN151" s="526" t="str">
        <f t="shared" si="41"/>
        <v/>
      </c>
      <c r="AO151" s="526" t="str">
        <f t="shared" si="42"/>
        <v/>
      </c>
    </row>
    <row r="152" spans="1:41" x14ac:dyDescent="0.25">
      <c r="A152" s="2">
        <v>5176376</v>
      </c>
      <c r="B152" s="522" t="s">
        <v>312</v>
      </c>
      <c r="C152" s="522">
        <v>2018</v>
      </c>
      <c r="D152" s="522" t="s">
        <v>297</v>
      </c>
      <c r="E152" s="522" t="s">
        <v>333</v>
      </c>
      <c r="F152" s="522" t="s">
        <v>299</v>
      </c>
      <c r="G152" s="522"/>
      <c r="H152" s="522" t="s">
        <v>342</v>
      </c>
      <c r="I152" s="522"/>
      <c r="J152" s="2" t="s">
        <v>301</v>
      </c>
      <c r="K152" s="522" t="str">
        <f t="shared" si="46"/>
        <v>12-hr TWA</v>
      </c>
      <c r="L152" s="522" t="s">
        <v>302</v>
      </c>
      <c r="M152" s="535">
        <v>38919</v>
      </c>
      <c r="N152" s="2">
        <v>720</v>
      </c>
      <c r="O152" s="2">
        <v>1</v>
      </c>
      <c r="P152" s="2"/>
      <c r="Q152" s="2"/>
      <c r="R152" s="2"/>
      <c r="S152" s="2"/>
      <c r="T152" s="2"/>
      <c r="U152" s="2"/>
      <c r="V152" s="2"/>
      <c r="W152" s="2">
        <v>0.16</v>
      </c>
      <c r="X152" s="444" t="str">
        <f t="shared" si="35"/>
        <v/>
      </c>
      <c r="Y152" s="524">
        <f t="shared" si="36"/>
        <v>0.08</v>
      </c>
      <c r="Z152" s="2"/>
      <c r="AA152" s="2"/>
      <c r="AB152" s="2"/>
      <c r="AC152" s="2"/>
      <c r="AD152" s="537">
        <f t="shared" si="47"/>
        <v>1.0065930470347648</v>
      </c>
      <c r="AE152" s="536" t="str">
        <f t="shared" si="37"/>
        <v/>
      </c>
      <c r="AF152" s="536">
        <f t="shared" si="38"/>
        <v>0.50329652351738241</v>
      </c>
      <c r="AG152" s="537" t="str">
        <f t="shared" si="43"/>
        <v/>
      </c>
      <c r="AH152" s="537" t="str">
        <f t="shared" si="44"/>
        <v/>
      </c>
      <c r="AI152" s="525" t="str">
        <f t="shared" si="45"/>
        <v/>
      </c>
      <c r="AJ152" s="522"/>
      <c r="AK152" s="522" t="s">
        <v>315</v>
      </c>
      <c r="AL152" s="526" t="str">
        <f t="shared" si="39"/>
        <v/>
      </c>
      <c r="AM152" s="526" t="str">
        <f t="shared" si="40"/>
        <v/>
      </c>
      <c r="AN152" s="526" t="str">
        <f t="shared" si="41"/>
        <v/>
      </c>
      <c r="AO152" s="526" t="str">
        <f t="shared" si="42"/>
        <v/>
      </c>
    </row>
    <row r="153" spans="1:41" x14ac:dyDescent="0.25">
      <c r="A153" s="2">
        <v>5176376</v>
      </c>
      <c r="B153" s="522" t="s">
        <v>312</v>
      </c>
      <c r="C153" s="522">
        <v>2018</v>
      </c>
      <c r="D153" s="522" t="s">
        <v>297</v>
      </c>
      <c r="E153" s="522" t="s">
        <v>333</v>
      </c>
      <c r="F153" s="522" t="s">
        <v>299</v>
      </c>
      <c r="G153" s="522"/>
      <c r="H153" s="522" t="s">
        <v>340</v>
      </c>
      <c r="I153" s="522"/>
      <c r="J153" s="2" t="s">
        <v>301</v>
      </c>
      <c r="K153" s="522" t="str">
        <f t="shared" si="46"/>
        <v>12-hr TWA</v>
      </c>
      <c r="L153" s="522" t="s">
        <v>302</v>
      </c>
      <c r="M153" s="535">
        <v>39300</v>
      </c>
      <c r="N153" s="2">
        <v>720</v>
      </c>
      <c r="O153" s="2">
        <v>1</v>
      </c>
      <c r="P153" s="2"/>
      <c r="Q153" s="2"/>
      <c r="R153" s="2"/>
      <c r="S153" s="2"/>
      <c r="T153" s="2"/>
      <c r="U153" s="2"/>
      <c r="V153" s="2"/>
      <c r="W153" s="2">
        <v>0.16</v>
      </c>
      <c r="X153" s="444" t="str">
        <f t="shared" si="35"/>
        <v/>
      </c>
      <c r="Y153" s="524">
        <f t="shared" si="36"/>
        <v>0.08</v>
      </c>
      <c r="Z153" s="2"/>
      <c r="AA153" s="2"/>
      <c r="AB153" s="2"/>
      <c r="AC153" s="2"/>
      <c r="AD153" s="537">
        <f t="shared" si="47"/>
        <v>1.0065930470347648</v>
      </c>
      <c r="AE153" s="536" t="str">
        <f t="shared" si="37"/>
        <v/>
      </c>
      <c r="AF153" s="536">
        <f t="shared" si="38"/>
        <v>0.50329652351738241</v>
      </c>
      <c r="AG153" s="537" t="str">
        <f t="shared" si="43"/>
        <v/>
      </c>
      <c r="AH153" s="537" t="str">
        <f t="shared" si="44"/>
        <v/>
      </c>
      <c r="AI153" s="525" t="str">
        <f t="shared" si="45"/>
        <v/>
      </c>
      <c r="AJ153" s="522"/>
      <c r="AK153" s="522" t="s">
        <v>315</v>
      </c>
      <c r="AL153" s="526" t="str">
        <f t="shared" si="39"/>
        <v/>
      </c>
      <c r="AM153" s="526" t="str">
        <f t="shared" si="40"/>
        <v/>
      </c>
      <c r="AN153" s="526" t="str">
        <f t="shared" si="41"/>
        <v/>
      </c>
      <c r="AO153" s="526" t="str">
        <f t="shared" si="42"/>
        <v/>
      </c>
    </row>
    <row r="154" spans="1:41" x14ac:dyDescent="0.25">
      <c r="A154" s="4">
        <v>5176376</v>
      </c>
      <c r="B154" s="554" t="s">
        <v>312</v>
      </c>
      <c r="C154" s="554">
        <v>2018</v>
      </c>
      <c r="D154" s="554" t="s">
        <v>297</v>
      </c>
      <c r="E154" s="554" t="s">
        <v>333</v>
      </c>
      <c r="F154" s="554" t="s">
        <v>299</v>
      </c>
      <c r="G154" s="554"/>
      <c r="H154" s="554" t="s">
        <v>336</v>
      </c>
      <c r="I154" s="557" t="s">
        <v>320</v>
      </c>
      <c r="J154" s="4" t="s">
        <v>301</v>
      </c>
      <c r="K154" s="554" t="str">
        <f t="shared" si="46"/>
        <v>8-hr TWA</v>
      </c>
      <c r="L154" s="554" t="s">
        <v>302</v>
      </c>
      <c r="M154" s="571">
        <v>39567</v>
      </c>
      <c r="N154" s="4">
        <v>480</v>
      </c>
      <c r="O154" s="4">
        <v>1</v>
      </c>
      <c r="P154" s="4"/>
      <c r="Q154" s="4"/>
      <c r="R154" s="4"/>
      <c r="S154" s="4"/>
      <c r="T154" s="4"/>
      <c r="U154" s="4"/>
      <c r="V154" s="4"/>
      <c r="W154" s="4">
        <v>0.16</v>
      </c>
      <c r="X154" s="566">
        <f t="shared" si="35"/>
        <v>0.11313708498984759</v>
      </c>
      <c r="Y154" s="4" t="str">
        <f t="shared" si="36"/>
        <v/>
      </c>
      <c r="Z154" s="4"/>
      <c r="AA154" s="4"/>
      <c r="AB154" s="4"/>
      <c r="AC154" s="4"/>
      <c r="AD154" s="559">
        <f t="shared" si="47"/>
        <v>1.0065930470347648</v>
      </c>
      <c r="AE154" s="566">
        <f t="shared" si="37"/>
        <v>0.71176876945351153</v>
      </c>
      <c r="AF154" s="566" t="str">
        <f t="shared" si="38"/>
        <v/>
      </c>
      <c r="AG154" s="537" t="str">
        <f t="shared" si="43"/>
        <v/>
      </c>
      <c r="AH154" s="537" t="str">
        <f t="shared" si="44"/>
        <v/>
      </c>
      <c r="AI154" s="525">
        <f t="shared" si="45"/>
        <v>0.71176876945351153</v>
      </c>
      <c r="AJ154" s="554"/>
      <c r="AK154" s="554" t="s">
        <v>315</v>
      </c>
      <c r="AL154" s="560" t="str">
        <f t="shared" si="39"/>
        <v/>
      </c>
      <c r="AM154" s="560" t="str">
        <f t="shared" si="40"/>
        <v/>
      </c>
      <c r="AN154" s="560" t="str">
        <f t="shared" si="41"/>
        <v/>
      </c>
      <c r="AO154" s="560" t="str">
        <f t="shared" si="42"/>
        <v/>
      </c>
    </row>
    <row r="155" spans="1:41" x14ac:dyDescent="0.25">
      <c r="A155" s="2">
        <v>5176376</v>
      </c>
      <c r="B155" s="522" t="s">
        <v>312</v>
      </c>
      <c r="C155" s="522">
        <v>2018</v>
      </c>
      <c r="D155" s="522" t="s">
        <v>297</v>
      </c>
      <c r="E155" s="522" t="s">
        <v>333</v>
      </c>
      <c r="F155" s="522" t="s">
        <v>299</v>
      </c>
      <c r="G155" s="522"/>
      <c r="H155" s="522" t="s">
        <v>339</v>
      </c>
      <c r="I155" s="522"/>
      <c r="J155" s="2" t="s">
        <v>301</v>
      </c>
      <c r="K155" s="522" t="str">
        <f t="shared" si="46"/>
        <v>12-hr TWA</v>
      </c>
      <c r="L155" s="522" t="s">
        <v>302</v>
      </c>
      <c r="M155" s="535">
        <v>39207</v>
      </c>
      <c r="N155" s="2">
        <v>720</v>
      </c>
      <c r="O155" s="2">
        <v>1</v>
      </c>
      <c r="P155" s="2"/>
      <c r="Q155" s="2"/>
      <c r="R155" s="2"/>
      <c r="S155" s="2"/>
      <c r="T155" s="2"/>
      <c r="U155" s="2"/>
      <c r="V155" s="2"/>
      <c r="W155" s="2">
        <v>0.16</v>
      </c>
      <c r="X155" s="444" t="str">
        <f t="shared" si="35"/>
        <v/>
      </c>
      <c r="Y155" s="524">
        <f t="shared" si="36"/>
        <v>0.08</v>
      </c>
      <c r="Z155" s="2"/>
      <c r="AA155" s="2"/>
      <c r="AB155" s="2"/>
      <c r="AC155" s="2"/>
      <c r="AD155" s="537">
        <f t="shared" si="47"/>
        <v>1.0065930470347648</v>
      </c>
      <c r="AE155" s="536" t="str">
        <f t="shared" si="37"/>
        <v/>
      </c>
      <c r="AF155" s="536">
        <f t="shared" si="38"/>
        <v>0.50329652351738241</v>
      </c>
      <c r="AG155" s="537" t="str">
        <f t="shared" si="43"/>
        <v/>
      </c>
      <c r="AH155" s="537" t="str">
        <f t="shared" si="44"/>
        <v/>
      </c>
      <c r="AI155" s="525" t="str">
        <f t="shared" si="45"/>
        <v/>
      </c>
      <c r="AJ155" s="522"/>
      <c r="AK155" s="522" t="s">
        <v>315</v>
      </c>
      <c r="AL155" s="526" t="str">
        <f t="shared" si="39"/>
        <v/>
      </c>
      <c r="AM155" s="526" t="str">
        <f t="shared" si="40"/>
        <v/>
      </c>
      <c r="AN155" s="526" t="str">
        <f t="shared" si="41"/>
        <v/>
      </c>
      <c r="AO155" s="526" t="str">
        <f t="shared" si="42"/>
        <v/>
      </c>
    </row>
    <row r="156" spans="1:41" x14ac:dyDescent="0.25">
      <c r="A156" s="2">
        <v>5176376</v>
      </c>
      <c r="B156" s="522" t="s">
        <v>312</v>
      </c>
      <c r="C156" s="522">
        <v>2018</v>
      </c>
      <c r="D156" s="522" t="s">
        <v>297</v>
      </c>
      <c r="E156" s="522" t="s">
        <v>333</v>
      </c>
      <c r="F156" s="522" t="s">
        <v>299</v>
      </c>
      <c r="G156" s="522"/>
      <c r="H156" s="522" t="s">
        <v>339</v>
      </c>
      <c r="I156" s="522"/>
      <c r="J156" s="2" t="s">
        <v>301</v>
      </c>
      <c r="K156" s="522" t="str">
        <f t="shared" si="46"/>
        <v>12-hr TWA</v>
      </c>
      <c r="L156" s="522" t="s">
        <v>302</v>
      </c>
      <c r="M156" s="535">
        <v>39210</v>
      </c>
      <c r="N156" s="2">
        <v>720</v>
      </c>
      <c r="O156" s="2">
        <v>1</v>
      </c>
      <c r="P156" s="2"/>
      <c r="Q156" s="2"/>
      <c r="R156" s="2"/>
      <c r="S156" s="2"/>
      <c r="T156" s="2"/>
      <c r="U156" s="2"/>
      <c r="V156" s="2"/>
      <c r="W156" s="2">
        <v>0.16</v>
      </c>
      <c r="X156" s="444" t="str">
        <f t="shared" si="35"/>
        <v/>
      </c>
      <c r="Y156" s="524">
        <f t="shared" si="36"/>
        <v>0.08</v>
      </c>
      <c r="Z156" s="2"/>
      <c r="AA156" s="2"/>
      <c r="AB156" s="2"/>
      <c r="AC156" s="2"/>
      <c r="AD156" s="537">
        <f t="shared" si="47"/>
        <v>1.0065930470347648</v>
      </c>
      <c r="AE156" s="536" t="str">
        <f t="shared" si="37"/>
        <v/>
      </c>
      <c r="AF156" s="536">
        <f t="shared" si="38"/>
        <v>0.50329652351738241</v>
      </c>
      <c r="AG156" s="537" t="str">
        <f t="shared" si="43"/>
        <v/>
      </c>
      <c r="AH156" s="537" t="str">
        <f t="shared" si="44"/>
        <v/>
      </c>
      <c r="AI156" s="525" t="str">
        <f t="shared" si="45"/>
        <v/>
      </c>
      <c r="AJ156" s="522"/>
      <c r="AK156" s="522" t="s">
        <v>315</v>
      </c>
      <c r="AL156" s="526" t="str">
        <f t="shared" si="39"/>
        <v/>
      </c>
      <c r="AM156" s="526" t="str">
        <f t="shared" si="40"/>
        <v/>
      </c>
      <c r="AN156" s="526" t="str">
        <f t="shared" si="41"/>
        <v/>
      </c>
      <c r="AO156" s="526" t="str">
        <f t="shared" si="42"/>
        <v/>
      </c>
    </row>
    <row r="157" spans="1:41" x14ac:dyDescent="0.25">
      <c r="A157" s="2">
        <v>5176376</v>
      </c>
      <c r="B157" s="522" t="s">
        <v>312</v>
      </c>
      <c r="C157" s="522">
        <v>2018</v>
      </c>
      <c r="D157" s="522" t="s">
        <v>297</v>
      </c>
      <c r="E157" s="522" t="s">
        <v>333</v>
      </c>
      <c r="F157" s="522" t="s">
        <v>299</v>
      </c>
      <c r="G157" s="522"/>
      <c r="H157" s="522" t="s">
        <v>340</v>
      </c>
      <c r="I157" s="522"/>
      <c r="J157" s="2" t="s">
        <v>301</v>
      </c>
      <c r="K157" s="522" t="str">
        <f t="shared" si="46"/>
        <v>12-hr TWA</v>
      </c>
      <c r="L157" s="522" t="s">
        <v>302</v>
      </c>
      <c r="M157" s="535">
        <v>39301</v>
      </c>
      <c r="N157" s="2">
        <v>720</v>
      </c>
      <c r="O157" s="2">
        <v>1</v>
      </c>
      <c r="P157" s="2"/>
      <c r="Q157" s="2"/>
      <c r="R157" s="2"/>
      <c r="S157" s="2"/>
      <c r="T157" s="2"/>
      <c r="U157" s="2"/>
      <c r="V157" s="2"/>
      <c r="W157" s="2">
        <v>0.17</v>
      </c>
      <c r="X157" s="444" t="str">
        <f t="shared" si="35"/>
        <v/>
      </c>
      <c r="Y157" s="2">
        <f t="shared" si="36"/>
        <v>0.17</v>
      </c>
      <c r="Z157" s="2"/>
      <c r="AA157" s="2"/>
      <c r="AB157" s="2"/>
      <c r="AC157" s="2"/>
      <c r="AD157" s="537">
        <f t="shared" si="47"/>
        <v>1.0695051124744377</v>
      </c>
      <c r="AE157" s="536" t="str">
        <f t="shared" si="37"/>
        <v/>
      </c>
      <c r="AF157" s="537">
        <f t="shared" si="38"/>
        <v>1.0695051124744377</v>
      </c>
      <c r="AG157" s="537" t="str">
        <f t="shared" si="43"/>
        <v/>
      </c>
      <c r="AH157" s="537" t="str">
        <f t="shared" si="44"/>
        <v/>
      </c>
      <c r="AI157" s="525" t="str">
        <f t="shared" si="45"/>
        <v/>
      </c>
      <c r="AJ157" s="522"/>
      <c r="AK157" s="522"/>
      <c r="AL157" s="526" t="str">
        <f t="shared" si="39"/>
        <v/>
      </c>
      <c r="AM157" s="526" t="str">
        <f t="shared" si="40"/>
        <v/>
      </c>
      <c r="AN157" s="526">
        <f t="shared" si="41"/>
        <v>0.17</v>
      </c>
      <c r="AO157" s="526">
        <f t="shared" si="42"/>
        <v>-1.7719568419318752</v>
      </c>
    </row>
    <row r="158" spans="1:41" x14ac:dyDescent="0.25">
      <c r="A158" s="2">
        <v>5176376</v>
      </c>
      <c r="B158" s="522" t="s">
        <v>312</v>
      </c>
      <c r="C158" s="522">
        <v>2018</v>
      </c>
      <c r="D158" s="522" t="s">
        <v>297</v>
      </c>
      <c r="E158" s="522" t="s">
        <v>333</v>
      </c>
      <c r="F158" s="522" t="s">
        <v>299</v>
      </c>
      <c r="G158" s="522"/>
      <c r="H158" s="522" t="s">
        <v>342</v>
      </c>
      <c r="I158" s="522"/>
      <c r="J158" s="2" t="s">
        <v>301</v>
      </c>
      <c r="K158" s="522" t="str">
        <f t="shared" si="46"/>
        <v>12-hr TWA</v>
      </c>
      <c r="L158" s="522" t="s">
        <v>302</v>
      </c>
      <c r="M158" s="535">
        <v>41065</v>
      </c>
      <c r="N158" s="2">
        <v>720</v>
      </c>
      <c r="O158" s="2">
        <v>1</v>
      </c>
      <c r="P158" s="2"/>
      <c r="Q158" s="2"/>
      <c r="R158" s="2"/>
      <c r="S158" s="2"/>
      <c r="T158" s="2"/>
      <c r="U158" s="2"/>
      <c r="V158" s="2"/>
      <c r="W158" s="2">
        <v>0.17</v>
      </c>
      <c r="X158" s="444" t="str">
        <f t="shared" si="35"/>
        <v/>
      </c>
      <c r="Y158" s="2">
        <f t="shared" si="36"/>
        <v>0.17</v>
      </c>
      <c r="Z158" s="2"/>
      <c r="AA158" s="2"/>
      <c r="AB158" s="2"/>
      <c r="AC158" s="2"/>
      <c r="AD158" s="537">
        <f t="shared" si="47"/>
        <v>1.0695051124744377</v>
      </c>
      <c r="AE158" s="536" t="str">
        <f t="shared" si="37"/>
        <v/>
      </c>
      <c r="AF158" s="537">
        <f t="shared" si="38"/>
        <v>1.0695051124744377</v>
      </c>
      <c r="AG158" s="537" t="str">
        <f t="shared" si="43"/>
        <v/>
      </c>
      <c r="AH158" s="537" t="str">
        <f t="shared" si="44"/>
        <v/>
      </c>
      <c r="AI158" s="525" t="str">
        <f t="shared" si="45"/>
        <v/>
      </c>
      <c r="AJ158" s="522"/>
      <c r="AK158" s="522"/>
      <c r="AL158" s="526" t="str">
        <f t="shared" si="39"/>
        <v/>
      </c>
      <c r="AM158" s="526" t="str">
        <f t="shared" si="40"/>
        <v/>
      </c>
      <c r="AN158" s="526">
        <f t="shared" si="41"/>
        <v>0.17</v>
      </c>
      <c r="AO158" s="526">
        <f t="shared" si="42"/>
        <v>-1.7719568419318752</v>
      </c>
    </row>
    <row r="159" spans="1:41" x14ac:dyDescent="0.25">
      <c r="A159" s="2">
        <v>5176376</v>
      </c>
      <c r="B159" s="522" t="s">
        <v>312</v>
      </c>
      <c r="C159" s="522">
        <v>2018</v>
      </c>
      <c r="D159" s="522" t="s">
        <v>297</v>
      </c>
      <c r="E159" s="522" t="s">
        <v>333</v>
      </c>
      <c r="F159" s="522" t="s">
        <v>299</v>
      </c>
      <c r="G159" s="522"/>
      <c r="H159" s="522" t="s">
        <v>335</v>
      </c>
      <c r="I159" s="522"/>
      <c r="J159" s="2" t="s">
        <v>301</v>
      </c>
      <c r="K159" s="522" t="str">
        <f t="shared" si="46"/>
        <v>8-hr TWA</v>
      </c>
      <c r="L159" s="522" t="s">
        <v>302</v>
      </c>
      <c r="M159" s="535">
        <v>39357</v>
      </c>
      <c r="N159" s="2">
        <v>480</v>
      </c>
      <c r="O159" s="2">
        <v>1</v>
      </c>
      <c r="P159" s="2"/>
      <c r="Q159" s="2"/>
      <c r="R159" s="2"/>
      <c r="S159" s="2"/>
      <c r="T159" s="2"/>
      <c r="U159" s="2"/>
      <c r="V159" s="2"/>
      <c r="W159" s="2">
        <v>0.17</v>
      </c>
      <c r="X159" s="444">
        <f t="shared" si="35"/>
        <v>0.12020815280171308</v>
      </c>
      <c r="Y159" s="2" t="str">
        <f t="shared" si="36"/>
        <v/>
      </c>
      <c r="Z159" s="2"/>
      <c r="AA159" s="2"/>
      <c r="AB159" s="2"/>
      <c r="AC159" s="2"/>
      <c r="AD159" s="537">
        <f t="shared" si="47"/>
        <v>1.0695051124744377</v>
      </c>
      <c r="AE159" s="536">
        <f t="shared" si="37"/>
        <v>0.75625431754435612</v>
      </c>
      <c r="AF159" s="536" t="str">
        <f t="shared" si="38"/>
        <v/>
      </c>
      <c r="AG159" s="537" t="str">
        <f t="shared" si="43"/>
        <v/>
      </c>
      <c r="AH159" s="537" t="str">
        <f t="shared" si="44"/>
        <v/>
      </c>
      <c r="AI159" s="525" t="str">
        <f t="shared" si="45"/>
        <v/>
      </c>
      <c r="AJ159" s="522"/>
      <c r="AK159" s="522" t="s">
        <v>315</v>
      </c>
      <c r="AL159" s="526" t="str">
        <f t="shared" si="39"/>
        <v/>
      </c>
      <c r="AM159" s="526" t="str">
        <f t="shared" si="40"/>
        <v/>
      </c>
      <c r="AN159" s="526" t="str">
        <f t="shared" si="41"/>
        <v/>
      </c>
      <c r="AO159" s="526" t="str">
        <f t="shared" si="42"/>
        <v/>
      </c>
    </row>
    <row r="160" spans="1:41" x14ac:dyDescent="0.25">
      <c r="A160" s="2">
        <v>5176376</v>
      </c>
      <c r="B160" s="522" t="s">
        <v>312</v>
      </c>
      <c r="C160" s="522">
        <v>2018</v>
      </c>
      <c r="D160" s="522" t="s">
        <v>297</v>
      </c>
      <c r="E160" s="522" t="s">
        <v>333</v>
      </c>
      <c r="F160" s="522" t="s">
        <v>299</v>
      </c>
      <c r="G160" s="522"/>
      <c r="H160" s="522" t="s">
        <v>335</v>
      </c>
      <c r="I160" s="522"/>
      <c r="J160" s="2" t="s">
        <v>301</v>
      </c>
      <c r="K160" s="522" t="str">
        <f t="shared" si="46"/>
        <v>8-hr TWA</v>
      </c>
      <c r="L160" s="522" t="s">
        <v>302</v>
      </c>
      <c r="M160" s="535">
        <v>39358</v>
      </c>
      <c r="N160" s="2">
        <v>480</v>
      </c>
      <c r="O160" s="2">
        <v>1</v>
      </c>
      <c r="P160" s="2"/>
      <c r="Q160" s="2"/>
      <c r="R160" s="2"/>
      <c r="S160" s="2"/>
      <c r="T160" s="2"/>
      <c r="U160" s="2"/>
      <c r="V160" s="2"/>
      <c r="W160" s="2">
        <v>0.17</v>
      </c>
      <c r="X160" s="444">
        <f t="shared" si="35"/>
        <v>0.12020815280171308</v>
      </c>
      <c r="Y160" s="2" t="str">
        <f t="shared" si="36"/>
        <v/>
      </c>
      <c r="Z160" s="2"/>
      <c r="AA160" s="2"/>
      <c r="AB160" s="2"/>
      <c r="AC160" s="2"/>
      <c r="AD160" s="537">
        <f t="shared" si="47"/>
        <v>1.0695051124744377</v>
      </c>
      <c r="AE160" s="536">
        <f t="shared" si="37"/>
        <v>0.75625431754435612</v>
      </c>
      <c r="AF160" s="536" t="str">
        <f t="shared" si="38"/>
        <v/>
      </c>
      <c r="AG160" s="537" t="str">
        <f t="shared" si="43"/>
        <v/>
      </c>
      <c r="AH160" s="537" t="str">
        <f t="shared" si="44"/>
        <v/>
      </c>
      <c r="AI160" s="525" t="str">
        <f t="shared" si="45"/>
        <v/>
      </c>
      <c r="AJ160" s="522"/>
      <c r="AK160" s="522" t="s">
        <v>315</v>
      </c>
      <c r="AL160" s="526" t="str">
        <f t="shared" si="39"/>
        <v/>
      </c>
      <c r="AM160" s="526" t="str">
        <f t="shared" si="40"/>
        <v/>
      </c>
      <c r="AN160" s="526" t="str">
        <f t="shared" si="41"/>
        <v/>
      </c>
      <c r="AO160" s="526" t="str">
        <f t="shared" si="42"/>
        <v/>
      </c>
    </row>
    <row r="161" spans="1:41" x14ac:dyDescent="0.25">
      <c r="A161" s="2">
        <v>5176376</v>
      </c>
      <c r="B161" s="522" t="s">
        <v>312</v>
      </c>
      <c r="C161" s="522">
        <v>2018</v>
      </c>
      <c r="D161" s="522" t="s">
        <v>297</v>
      </c>
      <c r="E161" s="522" t="s">
        <v>333</v>
      </c>
      <c r="F161" s="522" t="s">
        <v>299</v>
      </c>
      <c r="G161" s="522"/>
      <c r="H161" s="522" t="s">
        <v>340</v>
      </c>
      <c r="I161" s="522"/>
      <c r="J161" s="2" t="s">
        <v>301</v>
      </c>
      <c r="K161" s="522" t="str">
        <f t="shared" si="46"/>
        <v>12-hr TWA</v>
      </c>
      <c r="L161" s="522" t="s">
        <v>302</v>
      </c>
      <c r="M161" s="535">
        <v>39289</v>
      </c>
      <c r="N161" s="2">
        <v>720</v>
      </c>
      <c r="O161" s="2">
        <v>1</v>
      </c>
      <c r="P161" s="2"/>
      <c r="Q161" s="2"/>
      <c r="R161" s="2"/>
      <c r="S161" s="2"/>
      <c r="T161" s="2"/>
      <c r="U161" s="2"/>
      <c r="V161" s="2"/>
      <c r="W161" s="2">
        <v>0.17</v>
      </c>
      <c r="X161" s="444" t="str">
        <f t="shared" si="35"/>
        <v/>
      </c>
      <c r="Y161" s="2">
        <f t="shared" si="36"/>
        <v>8.5000000000000006E-2</v>
      </c>
      <c r="Z161" s="2"/>
      <c r="AA161" s="2"/>
      <c r="AB161" s="2"/>
      <c r="AC161" s="2"/>
      <c r="AD161" s="537">
        <f t="shared" si="47"/>
        <v>1.0695051124744377</v>
      </c>
      <c r="AE161" s="536" t="str">
        <f t="shared" si="37"/>
        <v/>
      </c>
      <c r="AF161" s="536">
        <f t="shared" si="38"/>
        <v>0.53475255623721885</v>
      </c>
      <c r="AG161" s="537" t="str">
        <f t="shared" si="43"/>
        <v/>
      </c>
      <c r="AH161" s="537" t="str">
        <f t="shared" si="44"/>
        <v/>
      </c>
      <c r="AI161" s="525" t="str">
        <f t="shared" si="45"/>
        <v/>
      </c>
      <c r="AJ161" s="522"/>
      <c r="AK161" s="522" t="s">
        <v>315</v>
      </c>
      <c r="AL161" s="526" t="str">
        <f t="shared" si="39"/>
        <v/>
      </c>
      <c r="AM161" s="526" t="str">
        <f t="shared" si="40"/>
        <v/>
      </c>
      <c r="AN161" s="526" t="str">
        <f t="shared" si="41"/>
        <v/>
      </c>
      <c r="AO161" s="526" t="str">
        <f t="shared" si="42"/>
        <v/>
      </c>
    </row>
    <row r="162" spans="1:41" x14ac:dyDescent="0.25">
      <c r="A162" s="2">
        <v>5176376</v>
      </c>
      <c r="B162" s="522" t="s">
        <v>312</v>
      </c>
      <c r="C162" s="522">
        <v>2018</v>
      </c>
      <c r="D162" s="522" t="s">
        <v>297</v>
      </c>
      <c r="E162" s="522" t="s">
        <v>333</v>
      </c>
      <c r="F162" s="522" t="s">
        <v>299</v>
      </c>
      <c r="G162" s="522"/>
      <c r="H162" s="522" t="s">
        <v>345</v>
      </c>
      <c r="I162" s="522"/>
      <c r="J162" s="2" t="s">
        <v>301</v>
      </c>
      <c r="K162" s="522" t="str">
        <f t="shared" si="46"/>
        <v>8-hr TWA</v>
      </c>
      <c r="L162" s="522" t="s">
        <v>302</v>
      </c>
      <c r="M162" s="535">
        <v>39358</v>
      </c>
      <c r="N162" s="2">
        <v>480</v>
      </c>
      <c r="O162" s="2">
        <v>1</v>
      </c>
      <c r="P162" s="2"/>
      <c r="Q162" s="2"/>
      <c r="R162" s="2"/>
      <c r="S162" s="2"/>
      <c r="T162" s="2"/>
      <c r="U162" s="2"/>
      <c r="V162" s="2"/>
      <c r="W162" s="2">
        <v>0.17</v>
      </c>
      <c r="X162" s="444">
        <f t="shared" si="35"/>
        <v>0.12020815280171308</v>
      </c>
      <c r="Y162" s="2" t="str">
        <f t="shared" si="36"/>
        <v/>
      </c>
      <c r="Z162" s="2"/>
      <c r="AA162" s="2"/>
      <c r="AB162" s="2"/>
      <c r="AC162" s="2"/>
      <c r="AD162" s="537">
        <f t="shared" si="47"/>
        <v>1.0695051124744377</v>
      </c>
      <c r="AE162" s="536">
        <f t="shared" si="37"/>
        <v>0.75625431754435612</v>
      </c>
      <c r="AF162" s="536" t="str">
        <f t="shared" si="38"/>
        <v/>
      </c>
      <c r="AG162" s="537" t="str">
        <f t="shared" si="43"/>
        <v/>
      </c>
      <c r="AH162" s="537" t="str">
        <f t="shared" si="44"/>
        <v/>
      </c>
      <c r="AI162" s="525" t="str">
        <f t="shared" si="45"/>
        <v/>
      </c>
      <c r="AJ162" s="522"/>
      <c r="AK162" s="522" t="s">
        <v>315</v>
      </c>
      <c r="AL162" s="526" t="str">
        <f t="shared" si="39"/>
        <v/>
      </c>
      <c r="AM162" s="526" t="str">
        <f t="shared" si="40"/>
        <v/>
      </c>
      <c r="AN162" s="526" t="str">
        <f t="shared" si="41"/>
        <v/>
      </c>
      <c r="AO162" s="526" t="str">
        <f t="shared" si="42"/>
        <v/>
      </c>
    </row>
    <row r="163" spans="1:41" x14ac:dyDescent="0.25">
      <c r="A163" s="2">
        <v>5176376</v>
      </c>
      <c r="B163" s="522" t="s">
        <v>312</v>
      </c>
      <c r="C163" s="522">
        <v>2018</v>
      </c>
      <c r="D163" s="522" t="s">
        <v>297</v>
      </c>
      <c r="E163" s="522" t="s">
        <v>333</v>
      </c>
      <c r="F163" s="522" t="s">
        <v>299</v>
      </c>
      <c r="G163" s="522"/>
      <c r="H163" s="522" t="s">
        <v>346</v>
      </c>
      <c r="I163" s="522"/>
      <c r="J163" s="2" t="s">
        <v>301</v>
      </c>
      <c r="K163" s="522" t="str">
        <f t="shared" si="46"/>
        <v>8-hr TWA</v>
      </c>
      <c r="L163" s="522" t="s">
        <v>302</v>
      </c>
      <c r="M163" s="535">
        <v>38783</v>
      </c>
      <c r="N163" s="2">
        <v>480</v>
      </c>
      <c r="O163" s="2">
        <v>1</v>
      </c>
      <c r="P163" s="2"/>
      <c r="Q163" s="2"/>
      <c r="R163" s="2"/>
      <c r="S163" s="2"/>
      <c r="T163" s="2"/>
      <c r="U163" s="2"/>
      <c r="V163" s="2"/>
      <c r="W163" s="2">
        <v>0.17</v>
      </c>
      <c r="X163" s="444">
        <f t="shared" si="35"/>
        <v>0.12020815280171308</v>
      </c>
      <c r="Y163" s="2" t="str">
        <f t="shared" si="36"/>
        <v/>
      </c>
      <c r="Z163" s="2"/>
      <c r="AA163" s="2"/>
      <c r="AB163" s="2"/>
      <c r="AC163" s="2"/>
      <c r="AD163" s="537">
        <f t="shared" si="47"/>
        <v>1.0695051124744377</v>
      </c>
      <c r="AE163" s="536">
        <f t="shared" si="37"/>
        <v>0.75625431754435612</v>
      </c>
      <c r="AF163" s="536" t="str">
        <f t="shared" si="38"/>
        <v/>
      </c>
      <c r="AG163" s="537" t="str">
        <f t="shared" si="43"/>
        <v/>
      </c>
      <c r="AH163" s="537" t="str">
        <f t="shared" si="44"/>
        <v/>
      </c>
      <c r="AI163" s="525" t="str">
        <f t="shared" si="45"/>
        <v/>
      </c>
      <c r="AJ163" s="522"/>
      <c r="AK163" s="522" t="s">
        <v>315</v>
      </c>
      <c r="AL163" s="526" t="str">
        <f t="shared" si="39"/>
        <v/>
      </c>
      <c r="AM163" s="526" t="str">
        <f t="shared" si="40"/>
        <v/>
      </c>
      <c r="AN163" s="526" t="str">
        <f t="shared" si="41"/>
        <v/>
      </c>
      <c r="AO163" s="526" t="str">
        <f t="shared" si="42"/>
        <v/>
      </c>
    </row>
    <row r="164" spans="1:41" x14ac:dyDescent="0.25">
      <c r="A164" s="2">
        <v>5176376</v>
      </c>
      <c r="B164" s="522" t="s">
        <v>312</v>
      </c>
      <c r="C164" s="522">
        <v>2018</v>
      </c>
      <c r="D164" s="522" t="s">
        <v>297</v>
      </c>
      <c r="E164" s="522" t="s">
        <v>333</v>
      </c>
      <c r="F164" s="522" t="s">
        <v>299</v>
      </c>
      <c r="G164" s="522"/>
      <c r="H164" s="522" t="s">
        <v>346</v>
      </c>
      <c r="I164" s="522"/>
      <c r="J164" s="2" t="s">
        <v>301</v>
      </c>
      <c r="K164" s="522" t="str">
        <f t="shared" si="46"/>
        <v>8-hr TWA</v>
      </c>
      <c r="L164" s="522" t="s">
        <v>302</v>
      </c>
      <c r="M164" s="535">
        <v>39549</v>
      </c>
      <c r="N164" s="2">
        <v>480</v>
      </c>
      <c r="O164" s="2">
        <v>1</v>
      </c>
      <c r="P164" s="2"/>
      <c r="Q164" s="2"/>
      <c r="R164" s="2"/>
      <c r="S164" s="2"/>
      <c r="T164" s="2"/>
      <c r="U164" s="2"/>
      <c r="V164" s="2"/>
      <c r="W164" s="2">
        <v>0.17</v>
      </c>
      <c r="X164" s="444">
        <f t="shared" si="35"/>
        <v>0.12020815280171308</v>
      </c>
      <c r="Y164" s="2" t="str">
        <f t="shared" si="36"/>
        <v/>
      </c>
      <c r="Z164" s="2"/>
      <c r="AA164" s="2"/>
      <c r="AB164" s="2"/>
      <c r="AC164" s="2"/>
      <c r="AD164" s="537">
        <f t="shared" si="47"/>
        <v>1.0695051124744377</v>
      </c>
      <c r="AE164" s="536">
        <f t="shared" si="37"/>
        <v>0.75625431754435612</v>
      </c>
      <c r="AF164" s="536" t="str">
        <f t="shared" si="38"/>
        <v/>
      </c>
      <c r="AG164" s="537" t="str">
        <f t="shared" si="43"/>
        <v/>
      </c>
      <c r="AH164" s="537" t="str">
        <f t="shared" si="44"/>
        <v/>
      </c>
      <c r="AI164" s="525" t="str">
        <f t="shared" si="45"/>
        <v/>
      </c>
      <c r="AJ164" s="522"/>
      <c r="AK164" s="522" t="s">
        <v>315</v>
      </c>
      <c r="AL164" s="526" t="str">
        <f t="shared" si="39"/>
        <v/>
      </c>
      <c r="AM164" s="526" t="str">
        <f t="shared" si="40"/>
        <v/>
      </c>
      <c r="AN164" s="526" t="str">
        <f t="shared" si="41"/>
        <v/>
      </c>
      <c r="AO164" s="526" t="str">
        <f t="shared" si="42"/>
        <v/>
      </c>
    </row>
    <row r="165" spans="1:41" x14ac:dyDescent="0.25">
      <c r="A165" s="2">
        <v>5176376</v>
      </c>
      <c r="B165" s="522" t="s">
        <v>312</v>
      </c>
      <c r="C165" s="522">
        <v>2018</v>
      </c>
      <c r="D165" s="522" t="s">
        <v>297</v>
      </c>
      <c r="E165" s="522" t="s">
        <v>333</v>
      </c>
      <c r="F165" s="522" t="s">
        <v>299</v>
      </c>
      <c r="G165" s="522"/>
      <c r="H165" s="522" t="s">
        <v>346</v>
      </c>
      <c r="I165" s="522"/>
      <c r="J165" s="2" t="s">
        <v>301</v>
      </c>
      <c r="K165" s="522" t="str">
        <f t="shared" si="46"/>
        <v>8-hr TWA</v>
      </c>
      <c r="L165" s="522" t="s">
        <v>302</v>
      </c>
      <c r="M165" s="535">
        <v>39549</v>
      </c>
      <c r="N165" s="2">
        <v>480</v>
      </c>
      <c r="O165" s="2">
        <v>1</v>
      </c>
      <c r="P165" s="2"/>
      <c r="Q165" s="2"/>
      <c r="R165" s="2"/>
      <c r="S165" s="2"/>
      <c r="T165" s="2"/>
      <c r="U165" s="2"/>
      <c r="V165" s="2"/>
      <c r="W165" s="2">
        <v>0.17</v>
      </c>
      <c r="X165" s="444">
        <f t="shared" si="35"/>
        <v>0.12020815280171308</v>
      </c>
      <c r="Y165" s="2" t="str">
        <f t="shared" si="36"/>
        <v/>
      </c>
      <c r="Z165" s="2"/>
      <c r="AA165" s="2"/>
      <c r="AB165" s="2"/>
      <c r="AC165" s="2"/>
      <c r="AD165" s="537">
        <f t="shared" si="47"/>
        <v>1.0695051124744377</v>
      </c>
      <c r="AE165" s="536">
        <f t="shared" si="37"/>
        <v>0.75625431754435612</v>
      </c>
      <c r="AF165" s="536" t="str">
        <f t="shared" si="38"/>
        <v/>
      </c>
      <c r="AG165" s="537" t="str">
        <f t="shared" si="43"/>
        <v/>
      </c>
      <c r="AH165" s="537" t="str">
        <f t="shared" si="44"/>
        <v/>
      </c>
      <c r="AI165" s="525" t="str">
        <f t="shared" si="45"/>
        <v/>
      </c>
      <c r="AJ165" s="522"/>
      <c r="AK165" s="522" t="s">
        <v>315</v>
      </c>
      <c r="AL165" s="526" t="str">
        <f t="shared" si="39"/>
        <v/>
      </c>
      <c r="AM165" s="526" t="str">
        <f t="shared" si="40"/>
        <v/>
      </c>
      <c r="AN165" s="526" t="str">
        <f t="shared" si="41"/>
        <v/>
      </c>
      <c r="AO165" s="526" t="str">
        <f t="shared" si="42"/>
        <v/>
      </c>
    </row>
    <row r="166" spans="1:41" x14ac:dyDescent="0.25">
      <c r="A166" s="2">
        <v>5176376</v>
      </c>
      <c r="B166" s="522" t="s">
        <v>312</v>
      </c>
      <c r="C166" s="522">
        <v>2018</v>
      </c>
      <c r="D166" s="522" t="s">
        <v>297</v>
      </c>
      <c r="E166" s="522" t="s">
        <v>333</v>
      </c>
      <c r="F166" s="522" t="s">
        <v>299</v>
      </c>
      <c r="G166" s="522"/>
      <c r="H166" s="522" t="s">
        <v>347</v>
      </c>
      <c r="I166" s="522"/>
      <c r="J166" s="2" t="s">
        <v>301</v>
      </c>
      <c r="K166" s="522" t="str">
        <f t="shared" si="46"/>
        <v>12-hr TWA</v>
      </c>
      <c r="L166" s="522" t="s">
        <v>302</v>
      </c>
      <c r="M166" s="535">
        <v>38785</v>
      </c>
      <c r="N166" s="2">
        <v>720</v>
      </c>
      <c r="O166" s="2">
        <v>1</v>
      </c>
      <c r="P166" s="2"/>
      <c r="Q166" s="2"/>
      <c r="R166" s="2"/>
      <c r="S166" s="2"/>
      <c r="T166" s="2"/>
      <c r="U166" s="2"/>
      <c r="V166" s="2"/>
      <c r="W166" s="2">
        <v>0.17</v>
      </c>
      <c r="X166" s="2" t="str">
        <f t="shared" si="35"/>
        <v/>
      </c>
      <c r="Y166" s="2">
        <f t="shared" si="36"/>
        <v>8.5000000000000006E-2</v>
      </c>
      <c r="Z166" s="2"/>
      <c r="AA166" s="2"/>
      <c r="AB166" s="2"/>
      <c r="AC166" s="2"/>
      <c r="AD166" s="537">
        <f t="shared" si="47"/>
        <v>1.0695051124744377</v>
      </c>
      <c r="AE166" s="536" t="str">
        <f t="shared" si="37"/>
        <v/>
      </c>
      <c r="AF166" s="536">
        <f t="shared" si="38"/>
        <v>0.53475255623721885</v>
      </c>
      <c r="AG166" s="537" t="str">
        <f t="shared" si="43"/>
        <v/>
      </c>
      <c r="AH166" s="537" t="str">
        <f t="shared" si="44"/>
        <v/>
      </c>
      <c r="AI166" s="525" t="str">
        <f t="shared" si="45"/>
        <v/>
      </c>
      <c r="AJ166" s="522"/>
      <c r="AK166" s="522" t="s">
        <v>315</v>
      </c>
      <c r="AL166" s="526" t="str">
        <f t="shared" si="39"/>
        <v/>
      </c>
      <c r="AM166" s="526" t="str">
        <f t="shared" si="40"/>
        <v/>
      </c>
      <c r="AN166" s="526" t="str">
        <f t="shared" si="41"/>
        <v/>
      </c>
      <c r="AO166" s="526" t="str">
        <f t="shared" si="42"/>
        <v/>
      </c>
    </row>
    <row r="167" spans="1:41" x14ac:dyDescent="0.25">
      <c r="A167" s="2">
        <v>5176376</v>
      </c>
      <c r="B167" s="522" t="s">
        <v>312</v>
      </c>
      <c r="C167" s="522">
        <v>2018</v>
      </c>
      <c r="D167" s="522" t="s">
        <v>297</v>
      </c>
      <c r="E167" s="522" t="s">
        <v>333</v>
      </c>
      <c r="F167" s="522" t="s">
        <v>299</v>
      </c>
      <c r="G167" s="522"/>
      <c r="H167" s="522" t="s">
        <v>347</v>
      </c>
      <c r="I167" s="522"/>
      <c r="J167" s="2" t="s">
        <v>301</v>
      </c>
      <c r="K167" s="522" t="str">
        <f t="shared" si="46"/>
        <v>12-hr TWA</v>
      </c>
      <c r="L167" s="522" t="s">
        <v>302</v>
      </c>
      <c r="M167" s="535">
        <v>38785</v>
      </c>
      <c r="N167" s="2">
        <v>720</v>
      </c>
      <c r="O167" s="2">
        <v>1</v>
      </c>
      <c r="P167" s="2"/>
      <c r="Q167" s="2"/>
      <c r="R167" s="2"/>
      <c r="S167" s="2"/>
      <c r="T167" s="2"/>
      <c r="U167" s="2"/>
      <c r="V167" s="2"/>
      <c r="W167" s="2">
        <v>0.17</v>
      </c>
      <c r="X167" s="2" t="str">
        <f t="shared" si="35"/>
        <v/>
      </c>
      <c r="Y167" s="2">
        <f t="shared" si="36"/>
        <v>8.5000000000000006E-2</v>
      </c>
      <c r="Z167" s="2"/>
      <c r="AA167" s="2"/>
      <c r="AB167" s="2"/>
      <c r="AC167" s="2"/>
      <c r="AD167" s="537">
        <f t="shared" si="47"/>
        <v>1.0695051124744377</v>
      </c>
      <c r="AE167" s="536" t="str">
        <f t="shared" si="37"/>
        <v/>
      </c>
      <c r="AF167" s="536">
        <f t="shared" si="38"/>
        <v>0.53475255623721885</v>
      </c>
      <c r="AG167" s="537" t="str">
        <f t="shared" si="43"/>
        <v/>
      </c>
      <c r="AH167" s="537" t="str">
        <f t="shared" si="44"/>
        <v/>
      </c>
      <c r="AI167" s="525" t="str">
        <f t="shared" si="45"/>
        <v/>
      </c>
      <c r="AJ167" s="522"/>
      <c r="AK167" s="522" t="s">
        <v>315</v>
      </c>
      <c r="AL167" s="526" t="str">
        <f t="shared" si="39"/>
        <v/>
      </c>
      <c r="AM167" s="526" t="str">
        <f t="shared" si="40"/>
        <v/>
      </c>
      <c r="AN167" s="526" t="str">
        <f t="shared" si="41"/>
        <v/>
      </c>
      <c r="AO167" s="526" t="str">
        <f t="shared" si="42"/>
        <v/>
      </c>
    </row>
    <row r="168" spans="1:41" x14ac:dyDescent="0.25">
      <c r="A168" s="2">
        <v>5176376</v>
      </c>
      <c r="B168" s="522" t="s">
        <v>312</v>
      </c>
      <c r="C168" s="522">
        <v>2018</v>
      </c>
      <c r="D168" s="522" t="s">
        <v>297</v>
      </c>
      <c r="E168" s="522" t="s">
        <v>333</v>
      </c>
      <c r="F168" s="522" t="s">
        <v>299</v>
      </c>
      <c r="G168" s="522"/>
      <c r="H168" s="522" t="s">
        <v>347</v>
      </c>
      <c r="I168" s="522"/>
      <c r="J168" s="2" t="s">
        <v>301</v>
      </c>
      <c r="K168" s="522" t="str">
        <f t="shared" si="46"/>
        <v>12-hr TWA</v>
      </c>
      <c r="L168" s="522" t="s">
        <v>302</v>
      </c>
      <c r="M168" s="535">
        <v>39224</v>
      </c>
      <c r="N168" s="2">
        <v>720</v>
      </c>
      <c r="O168" s="2">
        <v>1</v>
      </c>
      <c r="P168" s="2"/>
      <c r="Q168" s="2"/>
      <c r="R168" s="2"/>
      <c r="S168" s="2"/>
      <c r="T168" s="2"/>
      <c r="U168" s="2"/>
      <c r="V168" s="2"/>
      <c r="W168" s="2">
        <v>0.17</v>
      </c>
      <c r="X168" s="2" t="str">
        <f t="shared" si="35"/>
        <v/>
      </c>
      <c r="Y168" s="2">
        <f t="shared" si="36"/>
        <v>8.5000000000000006E-2</v>
      </c>
      <c r="Z168" s="2"/>
      <c r="AA168" s="2"/>
      <c r="AB168" s="2"/>
      <c r="AC168" s="2"/>
      <c r="AD168" s="537">
        <f t="shared" si="47"/>
        <v>1.0695051124744377</v>
      </c>
      <c r="AE168" s="536" t="str">
        <f t="shared" si="37"/>
        <v/>
      </c>
      <c r="AF168" s="536">
        <f t="shared" si="38"/>
        <v>0.53475255623721885</v>
      </c>
      <c r="AG168" s="537" t="str">
        <f t="shared" si="43"/>
        <v/>
      </c>
      <c r="AH168" s="537" t="str">
        <f t="shared" si="44"/>
        <v/>
      </c>
      <c r="AI168" s="525" t="str">
        <f t="shared" si="45"/>
        <v/>
      </c>
      <c r="AJ168" s="522"/>
      <c r="AK168" s="522" t="s">
        <v>315</v>
      </c>
      <c r="AL168" s="526" t="str">
        <f t="shared" si="39"/>
        <v/>
      </c>
      <c r="AM168" s="526" t="str">
        <f t="shared" si="40"/>
        <v/>
      </c>
      <c r="AN168" s="526" t="str">
        <f t="shared" si="41"/>
        <v/>
      </c>
      <c r="AO168" s="526" t="str">
        <f t="shared" si="42"/>
        <v/>
      </c>
    </row>
    <row r="169" spans="1:41" x14ac:dyDescent="0.25">
      <c r="A169" s="2">
        <v>5176376</v>
      </c>
      <c r="B169" s="522" t="s">
        <v>312</v>
      </c>
      <c r="C169" s="522">
        <v>2018</v>
      </c>
      <c r="D169" s="522" t="s">
        <v>297</v>
      </c>
      <c r="E169" s="522" t="s">
        <v>333</v>
      </c>
      <c r="F169" s="522" t="s">
        <v>299</v>
      </c>
      <c r="G169" s="522"/>
      <c r="H169" s="522" t="s">
        <v>347</v>
      </c>
      <c r="I169" s="522"/>
      <c r="J169" s="2" t="s">
        <v>301</v>
      </c>
      <c r="K169" s="522" t="str">
        <f t="shared" si="46"/>
        <v>12-hr TWA</v>
      </c>
      <c r="L169" s="522" t="s">
        <v>302</v>
      </c>
      <c r="M169" s="535">
        <v>39225</v>
      </c>
      <c r="N169" s="2">
        <v>720</v>
      </c>
      <c r="O169" s="2">
        <v>1</v>
      </c>
      <c r="P169" s="2"/>
      <c r="Q169" s="2"/>
      <c r="R169" s="2"/>
      <c r="S169" s="2"/>
      <c r="T169" s="2"/>
      <c r="U169" s="2"/>
      <c r="V169" s="2"/>
      <c r="W169" s="2">
        <v>0.17</v>
      </c>
      <c r="X169" s="2" t="str">
        <f t="shared" si="35"/>
        <v/>
      </c>
      <c r="Y169" s="2">
        <f t="shared" si="36"/>
        <v>8.5000000000000006E-2</v>
      </c>
      <c r="Z169" s="2"/>
      <c r="AA169" s="2"/>
      <c r="AB169" s="2"/>
      <c r="AC169" s="2"/>
      <c r="AD169" s="537">
        <f t="shared" si="47"/>
        <v>1.0695051124744377</v>
      </c>
      <c r="AE169" s="536" t="str">
        <f t="shared" si="37"/>
        <v/>
      </c>
      <c r="AF169" s="536">
        <f t="shared" si="38"/>
        <v>0.53475255623721885</v>
      </c>
      <c r="AG169" s="537" t="str">
        <f t="shared" si="43"/>
        <v/>
      </c>
      <c r="AH169" s="537" t="str">
        <f t="shared" si="44"/>
        <v/>
      </c>
      <c r="AI169" s="525" t="str">
        <f t="shared" si="45"/>
        <v/>
      </c>
      <c r="AJ169" s="522"/>
      <c r="AK169" s="522" t="s">
        <v>315</v>
      </c>
      <c r="AL169" s="526" t="str">
        <f t="shared" si="39"/>
        <v/>
      </c>
      <c r="AM169" s="526" t="str">
        <f t="shared" si="40"/>
        <v/>
      </c>
      <c r="AN169" s="526" t="str">
        <f t="shared" si="41"/>
        <v/>
      </c>
      <c r="AO169" s="526" t="str">
        <f t="shared" si="42"/>
        <v/>
      </c>
    </row>
    <row r="170" spans="1:41" x14ac:dyDescent="0.25">
      <c r="A170" s="2">
        <v>5176376</v>
      </c>
      <c r="B170" s="522" t="s">
        <v>312</v>
      </c>
      <c r="C170" s="522">
        <v>2018</v>
      </c>
      <c r="D170" s="522" t="s">
        <v>297</v>
      </c>
      <c r="E170" s="522" t="s">
        <v>333</v>
      </c>
      <c r="F170" s="522" t="s">
        <v>299</v>
      </c>
      <c r="G170" s="522"/>
      <c r="H170" s="522" t="s">
        <v>334</v>
      </c>
      <c r="I170" s="522"/>
      <c r="J170" s="2" t="s">
        <v>301</v>
      </c>
      <c r="K170" s="522" t="str">
        <f t="shared" si="46"/>
        <v>12-hr TWA</v>
      </c>
      <c r="L170" s="522" t="s">
        <v>302</v>
      </c>
      <c r="M170" s="535">
        <v>38940</v>
      </c>
      <c r="N170" s="2">
        <v>720</v>
      </c>
      <c r="O170" s="2">
        <v>1</v>
      </c>
      <c r="P170" s="2"/>
      <c r="Q170" s="2"/>
      <c r="R170" s="2"/>
      <c r="S170" s="2"/>
      <c r="T170" s="2"/>
      <c r="U170" s="2"/>
      <c r="V170" s="2"/>
      <c r="W170" s="2">
        <v>0.17</v>
      </c>
      <c r="X170" s="2" t="str">
        <f t="shared" si="35"/>
        <v/>
      </c>
      <c r="Y170" s="2">
        <f t="shared" si="36"/>
        <v>8.5000000000000006E-2</v>
      </c>
      <c r="Z170" s="2"/>
      <c r="AA170" s="2"/>
      <c r="AB170" s="2"/>
      <c r="AC170" s="2"/>
      <c r="AD170" s="537">
        <f t="shared" si="47"/>
        <v>1.0695051124744377</v>
      </c>
      <c r="AE170" s="536" t="str">
        <f t="shared" si="37"/>
        <v/>
      </c>
      <c r="AF170" s="536">
        <f t="shared" si="38"/>
        <v>0.53475255623721885</v>
      </c>
      <c r="AG170" s="537" t="str">
        <f t="shared" si="43"/>
        <v/>
      </c>
      <c r="AH170" s="537" t="str">
        <f t="shared" si="44"/>
        <v/>
      </c>
      <c r="AI170" s="525" t="str">
        <f t="shared" si="45"/>
        <v/>
      </c>
      <c r="AJ170" s="522"/>
      <c r="AK170" s="522" t="s">
        <v>315</v>
      </c>
      <c r="AL170" s="526" t="str">
        <f t="shared" si="39"/>
        <v/>
      </c>
      <c r="AM170" s="526" t="str">
        <f t="shared" si="40"/>
        <v/>
      </c>
      <c r="AN170" s="526" t="str">
        <f t="shared" si="41"/>
        <v/>
      </c>
      <c r="AO170" s="526" t="str">
        <f t="shared" si="42"/>
        <v/>
      </c>
    </row>
    <row r="171" spans="1:41" x14ac:dyDescent="0.25">
      <c r="A171" s="2">
        <v>5176376</v>
      </c>
      <c r="B171" s="522" t="s">
        <v>312</v>
      </c>
      <c r="C171" s="522">
        <v>2018</v>
      </c>
      <c r="D171" s="522" t="s">
        <v>297</v>
      </c>
      <c r="E171" s="522" t="s">
        <v>333</v>
      </c>
      <c r="F171" s="522" t="s">
        <v>299</v>
      </c>
      <c r="G171" s="522"/>
      <c r="H171" s="522" t="s">
        <v>348</v>
      </c>
      <c r="I171" s="522"/>
      <c r="J171" s="2" t="s">
        <v>301</v>
      </c>
      <c r="K171" s="522" t="str">
        <f t="shared" si="46"/>
        <v>12-hr TWA</v>
      </c>
      <c r="L171" s="522" t="s">
        <v>302</v>
      </c>
      <c r="M171" s="535">
        <v>39035</v>
      </c>
      <c r="N171" s="2">
        <v>720</v>
      </c>
      <c r="O171" s="2">
        <v>1</v>
      </c>
      <c r="P171" s="2"/>
      <c r="Q171" s="2"/>
      <c r="R171" s="2"/>
      <c r="S171" s="2"/>
      <c r="T171" s="2"/>
      <c r="U171" s="2"/>
      <c r="V171" s="2"/>
      <c r="W171" s="2">
        <v>0.17</v>
      </c>
      <c r="X171" s="2" t="str">
        <f t="shared" si="35"/>
        <v/>
      </c>
      <c r="Y171" s="2">
        <f t="shared" si="36"/>
        <v>8.5000000000000006E-2</v>
      </c>
      <c r="Z171" s="2"/>
      <c r="AA171" s="2"/>
      <c r="AB171" s="2"/>
      <c r="AC171" s="2"/>
      <c r="AD171" s="537">
        <f t="shared" si="47"/>
        <v>1.0695051124744377</v>
      </c>
      <c r="AE171" s="536" t="str">
        <f t="shared" si="37"/>
        <v/>
      </c>
      <c r="AF171" s="536">
        <f t="shared" si="38"/>
        <v>0.53475255623721885</v>
      </c>
      <c r="AG171" s="537" t="str">
        <f t="shared" si="43"/>
        <v/>
      </c>
      <c r="AH171" s="537" t="str">
        <f t="shared" si="44"/>
        <v/>
      </c>
      <c r="AI171" s="525" t="str">
        <f t="shared" si="45"/>
        <v/>
      </c>
      <c r="AJ171" s="522"/>
      <c r="AK171" s="522" t="s">
        <v>315</v>
      </c>
      <c r="AL171" s="526" t="str">
        <f t="shared" si="39"/>
        <v/>
      </c>
      <c r="AM171" s="526" t="str">
        <f t="shared" si="40"/>
        <v/>
      </c>
      <c r="AN171" s="526" t="str">
        <f t="shared" si="41"/>
        <v/>
      </c>
      <c r="AO171" s="526" t="str">
        <f t="shared" si="42"/>
        <v/>
      </c>
    </row>
    <row r="172" spans="1:41" x14ac:dyDescent="0.25">
      <c r="A172" s="2">
        <v>5176376</v>
      </c>
      <c r="B172" s="522" t="s">
        <v>312</v>
      </c>
      <c r="C172" s="522">
        <v>2018</v>
      </c>
      <c r="D172" s="522" t="s">
        <v>297</v>
      </c>
      <c r="E172" s="522" t="s">
        <v>333</v>
      </c>
      <c r="F172" s="522" t="s">
        <v>299</v>
      </c>
      <c r="G172" s="522"/>
      <c r="H172" s="522" t="s">
        <v>351</v>
      </c>
      <c r="I172" s="522"/>
      <c r="J172" s="2" t="s">
        <v>301</v>
      </c>
      <c r="K172" s="522" t="str">
        <f t="shared" si="46"/>
        <v>8-hr TWA</v>
      </c>
      <c r="L172" s="522" t="s">
        <v>302</v>
      </c>
      <c r="M172" s="535">
        <v>39721</v>
      </c>
      <c r="N172" s="2">
        <v>480</v>
      </c>
      <c r="O172" s="2">
        <v>1</v>
      </c>
      <c r="P172" s="2"/>
      <c r="Q172" s="2"/>
      <c r="R172" s="2"/>
      <c r="S172" s="2"/>
      <c r="T172" s="2"/>
      <c r="U172" s="2"/>
      <c r="V172" s="2"/>
      <c r="W172" s="2">
        <v>0.17</v>
      </c>
      <c r="X172" s="444">
        <f t="shared" si="35"/>
        <v>0.12020815280171308</v>
      </c>
      <c r="Y172" s="2" t="str">
        <f t="shared" si="36"/>
        <v/>
      </c>
      <c r="Z172" s="2"/>
      <c r="AA172" s="2"/>
      <c r="AB172" s="2"/>
      <c r="AC172" s="2"/>
      <c r="AD172" s="537">
        <f t="shared" si="47"/>
        <v>1.0695051124744377</v>
      </c>
      <c r="AE172" s="536">
        <f t="shared" si="37"/>
        <v>0.75625431754435612</v>
      </c>
      <c r="AF172" s="536" t="str">
        <f t="shared" si="38"/>
        <v/>
      </c>
      <c r="AG172" s="537" t="str">
        <f t="shared" si="43"/>
        <v/>
      </c>
      <c r="AH172" s="537" t="str">
        <f t="shared" si="44"/>
        <v/>
      </c>
      <c r="AI172" s="525" t="str">
        <f t="shared" si="45"/>
        <v/>
      </c>
      <c r="AJ172" s="522"/>
      <c r="AK172" s="522" t="s">
        <v>315</v>
      </c>
      <c r="AL172" s="526" t="str">
        <f t="shared" si="39"/>
        <v/>
      </c>
      <c r="AM172" s="526" t="str">
        <f t="shared" si="40"/>
        <v/>
      </c>
      <c r="AN172" s="526" t="str">
        <f t="shared" si="41"/>
        <v/>
      </c>
      <c r="AO172" s="526" t="str">
        <f t="shared" si="42"/>
        <v/>
      </c>
    </row>
    <row r="173" spans="1:41" x14ac:dyDescent="0.25">
      <c r="A173" s="2">
        <v>5176376</v>
      </c>
      <c r="B173" s="522" t="s">
        <v>312</v>
      </c>
      <c r="C173" s="522">
        <v>2018</v>
      </c>
      <c r="D173" s="522" t="s">
        <v>297</v>
      </c>
      <c r="E173" s="522" t="s">
        <v>333</v>
      </c>
      <c r="F173" s="522" t="s">
        <v>299</v>
      </c>
      <c r="G173" s="522"/>
      <c r="H173" s="522" t="s">
        <v>351</v>
      </c>
      <c r="I173" s="522"/>
      <c r="J173" s="2" t="s">
        <v>301</v>
      </c>
      <c r="K173" s="522" t="str">
        <f t="shared" si="46"/>
        <v>8-hr TWA</v>
      </c>
      <c r="L173" s="522" t="s">
        <v>302</v>
      </c>
      <c r="M173" s="535">
        <v>39723</v>
      </c>
      <c r="N173" s="2">
        <v>480</v>
      </c>
      <c r="O173" s="2">
        <v>1</v>
      </c>
      <c r="P173" s="2"/>
      <c r="Q173" s="2"/>
      <c r="R173" s="2"/>
      <c r="S173" s="2"/>
      <c r="T173" s="2"/>
      <c r="U173" s="2"/>
      <c r="V173" s="2"/>
      <c r="W173" s="2">
        <v>0.17</v>
      </c>
      <c r="X173" s="444">
        <f t="shared" si="35"/>
        <v>0.12020815280171308</v>
      </c>
      <c r="Y173" s="2" t="str">
        <f t="shared" si="36"/>
        <v/>
      </c>
      <c r="Z173" s="2"/>
      <c r="AA173" s="2"/>
      <c r="AB173" s="2"/>
      <c r="AC173" s="2"/>
      <c r="AD173" s="537">
        <f t="shared" si="47"/>
        <v>1.0695051124744377</v>
      </c>
      <c r="AE173" s="536">
        <f t="shared" si="37"/>
        <v>0.75625431754435612</v>
      </c>
      <c r="AF173" s="536" t="str">
        <f t="shared" si="38"/>
        <v/>
      </c>
      <c r="AG173" s="537" t="str">
        <f t="shared" si="43"/>
        <v/>
      </c>
      <c r="AH173" s="537" t="str">
        <f t="shared" si="44"/>
        <v/>
      </c>
      <c r="AI173" s="525" t="str">
        <f t="shared" si="45"/>
        <v/>
      </c>
      <c r="AJ173" s="522"/>
      <c r="AK173" s="522" t="s">
        <v>315</v>
      </c>
      <c r="AL173" s="526" t="str">
        <f t="shared" si="39"/>
        <v/>
      </c>
      <c r="AM173" s="526" t="str">
        <f t="shared" si="40"/>
        <v/>
      </c>
      <c r="AN173" s="526" t="str">
        <f t="shared" si="41"/>
        <v/>
      </c>
      <c r="AO173" s="526" t="str">
        <f t="shared" si="42"/>
        <v/>
      </c>
    </row>
    <row r="174" spans="1:41" x14ac:dyDescent="0.25">
      <c r="A174" s="4">
        <v>5176376</v>
      </c>
      <c r="B174" s="554" t="s">
        <v>312</v>
      </c>
      <c r="C174" s="554">
        <v>2018</v>
      </c>
      <c r="D174" s="554" t="s">
        <v>297</v>
      </c>
      <c r="E174" s="554" t="s">
        <v>333</v>
      </c>
      <c r="F174" s="554" t="s">
        <v>299</v>
      </c>
      <c r="G174" s="554"/>
      <c r="H174" s="554" t="s">
        <v>336</v>
      </c>
      <c r="I174" s="557" t="s">
        <v>320</v>
      </c>
      <c r="J174" s="4" t="s">
        <v>301</v>
      </c>
      <c r="K174" s="554" t="str">
        <f t="shared" si="46"/>
        <v>8-hr TWA</v>
      </c>
      <c r="L174" s="554" t="s">
        <v>302</v>
      </c>
      <c r="M174" s="571">
        <v>39569</v>
      </c>
      <c r="N174" s="4">
        <v>480</v>
      </c>
      <c r="O174" s="4">
        <v>1</v>
      </c>
      <c r="P174" s="4"/>
      <c r="Q174" s="4"/>
      <c r="R174" s="4"/>
      <c r="S174" s="4"/>
      <c r="T174" s="4"/>
      <c r="U174" s="4"/>
      <c r="V174" s="4"/>
      <c r="W174" s="4">
        <v>0.17</v>
      </c>
      <c r="X174" s="566">
        <f t="shared" si="35"/>
        <v>0.12020815280171308</v>
      </c>
      <c r="Y174" s="4" t="str">
        <f t="shared" si="36"/>
        <v/>
      </c>
      <c r="Z174" s="4"/>
      <c r="AA174" s="4"/>
      <c r="AB174" s="4"/>
      <c r="AC174" s="4"/>
      <c r="AD174" s="559">
        <f t="shared" si="47"/>
        <v>1.0695051124744377</v>
      </c>
      <c r="AE174" s="566">
        <f t="shared" si="37"/>
        <v>0.75625431754435612</v>
      </c>
      <c r="AF174" s="566" t="str">
        <f t="shared" si="38"/>
        <v/>
      </c>
      <c r="AG174" s="537" t="str">
        <f t="shared" si="43"/>
        <v/>
      </c>
      <c r="AH174" s="537" t="str">
        <f t="shared" si="44"/>
        <v/>
      </c>
      <c r="AI174" s="525">
        <f t="shared" si="45"/>
        <v>0.75625431754435612</v>
      </c>
      <c r="AJ174" s="554"/>
      <c r="AK174" s="554" t="s">
        <v>315</v>
      </c>
      <c r="AL174" s="560" t="str">
        <f t="shared" si="39"/>
        <v/>
      </c>
      <c r="AM174" s="560" t="str">
        <f t="shared" si="40"/>
        <v/>
      </c>
      <c r="AN174" s="560" t="str">
        <f t="shared" si="41"/>
        <v/>
      </c>
      <c r="AO174" s="560" t="str">
        <f t="shared" si="42"/>
        <v/>
      </c>
    </row>
    <row r="175" spans="1:41" x14ac:dyDescent="0.25">
      <c r="A175" s="2">
        <v>5176376</v>
      </c>
      <c r="B175" s="522" t="s">
        <v>312</v>
      </c>
      <c r="C175" s="522">
        <v>2018</v>
      </c>
      <c r="D175" s="522" t="s">
        <v>297</v>
      </c>
      <c r="E175" s="522" t="s">
        <v>333</v>
      </c>
      <c r="F175" s="522" t="s">
        <v>299</v>
      </c>
      <c r="G175" s="522"/>
      <c r="H175" s="522" t="s">
        <v>339</v>
      </c>
      <c r="I175" s="522"/>
      <c r="J175" s="2" t="s">
        <v>301</v>
      </c>
      <c r="K175" s="522" t="str">
        <f t="shared" si="46"/>
        <v>12-hr TWA</v>
      </c>
      <c r="L175" s="522" t="s">
        <v>302</v>
      </c>
      <c r="M175" s="535">
        <v>38812</v>
      </c>
      <c r="N175" s="2">
        <v>720</v>
      </c>
      <c r="O175" s="2">
        <v>1</v>
      </c>
      <c r="P175" s="2"/>
      <c r="Q175" s="2"/>
      <c r="R175" s="2"/>
      <c r="S175" s="2"/>
      <c r="T175" s="2"/>
      <c r="U175" s="2"/>
      <c r="V175" s="2"/>
      <c r="W175" s="2">
        <v>0.17</v>
      </c>
      <c r="X175" s="2" t="str">
        <f t="shared" si="35"/>
        <v/>
      </c>
      <c r="Y175" s="2">
        <f t="shared" si="36"/>
        <v>8.5000000000000006E-2</v>
      </c>
      <c r="Z175" s="2"/>
      <c r="AA175" s="2"/>
      <c r="AB175" s="2"/>
      <c r="AC175" s="2"/>
      <c r="AD175" s="537">
        <f t="shared" si="47"/>
        <v>1.0695051124744377</v>
      </c>
      <c r="AE175" s="536" t="str">
        <f t="shared" si="37"/>
        <v/>
      </c>
      <c r="AF175" s="536">
        <f t="shared" si="38"/>
        <v>0.53475255623721885</v>
      </c>
      <c r="AG175" s="537" t="str">
        <f t="shared" si="43"/>
        <v/>
      </c>
      <c r="AH175" s="537" t="str">
        <f t="shared" si="44"/>
        <v/>
      </c>
      <c r="AI175" s="525" t="str">
        <f t="shared" si="45"/>
        <v/>
      </c>
      <c r="AJ175" s="522"/>
      <c r="AK175" s="522" t="s">
        <v>315</v>
      </c>
      <c r="AL175" s="526" t="str">
        <f t="shared" si="39"/>
        <v/>
      </c>
      <c r="AM175" s="526" t="str">
        <f t="shared" si="40"/>
        <v/>
      </c>
      <c r="AN175" s="526" t="str">
        <f t="shared" si="41"/>
        <v/>
      </c>
      <c r="AO175" s="526" t="str">
        <f t="shared" si="42"/>
        <v/>
      </c>
    </row>
    <row r="176" spans="1:41" x14ac:dyDescent="0.25">
      <c r="A176" s="2">
        <v>5176376</v>
      </c>
      <c r="B176" s="522" t="s">
        <v>312</v>
      </c>
      <c r="C176" s="522">
        <v>2018</v>
      </c>
      <c r="D176" s="522" t="s">
        <v>297</v>
      </c>
      <c r="E176" s="522" t="s">
        <v>333</v>
      </c>
      <c r="F176" s="522" t="s">
        <v>299</v>
      </c>
      <c r="G176" s="522"/>
      <c r="H176" s="522" t="s">
        <v>347</v>
      </c>
      <c r="I176" s="522"/>
      <c r="J176" s="2" t="s">
        <v>301</v>
      </c>
      <c r="K176" s="522" t="str">
        <f t="shared" si="46"/>
        <v>12-hr TWA</v>
      </c>
      <c r="L176" s="522" t="s">
        <v>302</v>
      </c>
      <c r="M176" s="535">
        <v>39212</v>
      </c>
      <c r="N176" s="2">
        <v>720</v>
      </c>
      <c r="O176" s="2">
        <v>1</v>
      </c>
      <c r="P176" s="2"/>
      <c r="Q176" s="2"/>
      <c r="R176" s="2"/>
      <c r="S176" s="2"/>
      <c r="T176" s="2"/>
      <c r="U176" s="2"/>
      <c r="V176" s="2"/>
      <c r="W176" s="2">
        <v>0.17</v>
      </c>
      <c r="X176" s="2" t="str">
        <f t="shared" si="35"/>
        <v/>
      </c>
      <c r="Y176" s="2">
        <f t="shared" si="36"/>
        <v>8.5000000000000006E-2</v>
      </c>
      <c r="Z176" s="2"/>
      <c r="AA176" s="2"/>
      <c r="AB176" s="2"/>
      <c r="AC176" s="2"/>
      <c r="AD176" s="537">
        <f t="shared" si="47"/>
        <v>1.0695051124744377</v>
      </c>
      <c r="AE176" s="536" t="str">
        <f t="shared" si="37"/>
        <v/>
      </c>
      <c r="AF176" s="536">
        <f t="shared" si="38"/>
        <v>0.53475255623721885</v>
      </c>
      <c r="AG176" s="537" t="str">
        <f t="shared" si="43"/>
        <v/>
      </c>
      <c r="AH176" s="537" t="str">
        <f t="shared" si="44"/>
        <v/>
      </c>
      <c r="AI176" s="525" t="str">
        <f t="shared" si="45"/>
        <v/>
      </c>
      <c r="AJ176" s="522"/>
      <c r="AK176" s="522" t="s">
        <v>315</v>
      </c>
      <c r="AL176" s="526" t="str">
        <f t="shared" si="39"/>
        <v/>
      </c>
      <c r="AM176" s="526" t="str">
        <f t="shared" si="40"/>
        <v/>
      </c>
      <c r="AN176" s="526" t="str">
        <f t="shared" si="41"/>
        <v/>
      </c>
      <c r="AO176" s="526" t="str">
        <f t="shared" si="42"/>
        <v/>
      </c>
    </row>
    <row r="177" spans="1:41" x14ac:dyDescent="0.25">
      <c r="A177" s="3">
        <v>5176376</v>
      </c>
      <c r="B177" s="454" t="s">
        <v>312</v>
      </c>
      <c r="C177" s="454">
        <v>2018</v>
      </c>
      <c r="D177" s="454" t="s">
        <v>297</v>
      </c>
      <c r="E177" s="454" t="s">
        <v>333</v>
      </c>
      <c r="F177" s="454" t="s">
        <v>299</v>
      </c>
      <c r="G177" s="454"/>
      <c r="H177" s="454" t="s">
        <v>352</v>
      </c>
      <c r="I177" s="454"/>
      <c r="J177" s="3" t="s">
        <v>41</v>
      </c>
      <c r="K177" s="454" t="str">
        <f t="shared" si="46"/>
        <v>12-hr TWA</v>
      </c>
      <c r="L177" s="454" t="s">
        <v>302</v>
      </c>
      <c r="M177" s="572">
        <v>38954</v>
      </c>
      <c r="N177" s="3">
        <v>720</v>
      </c>
      <c r="O177" s="3">
        <v>1</v>
      </c>
      <c r="P177" s="3"/>
      <c r="Q177" s="3"/>
      <c r="R177" s="3"/>
      <c r="S177" s="3"/>
      <c r="T177" s="3"/>
      <c r="U177" s="3"/>
      <c r="V177" s="3"/>
      <c r="W177" s="3">
        <v>0.17</v>
      </c>
      <c r="X177" s="3"/>
      <c r="Y177" s="3"/>
      <c r="Z177" s="2"/>
      <c r="AA177" s="2"/>
      <c r="AB177" s="2"/>
      <c r="AC177" s="2"/>
      <c r="AD177" s="537">
        <f t="shared" si="47"/>
        <v>1.0695051124744377</v>
      </c>
      <c r="AE177" s="536"/>
      <c r="AF177" s="536"/>
      <c r="AG177" s="537" t="str">
        <f t="shared" si="43"/>
        <v/>
      </c>
      <c r="AH177" s="537">
        <f t="shared" si="44"/>
        <v>1.0695051124744377</v>
      </c>
      <c r="AI177" s="525" t="str">
        <f t="shared" si="45"/>
        <v/>
      </c>
      <c r="AJ177" s="522"/>
      <c r="AK177" s="522" t="s">
        <v>315</v>
      </c>
      <c r="AL177" s="526"/>
      <c r="AM177" s="526"/>
      <c r="AN177" s="526"/>
      <c r="AO177" s="526"/>
    </row>
    <row r="178" spans="1:41" x14ac:dyDescent="0.25">
      <c r="A178" s="2">
        <v>5176376</v>
      </c>
      <c r="B178" s="522" t="s">
        <v>312</v>
      </c>
      <c r="C178" s="522">
        <v>2018</v>
      </c>
      <c r="D178" s="522" t="s">
        <v>297</v>
      </c>
      <c r="E178" s="522" t="s">
        <v>333</v>
      </c>
      <c r="F178" s="522" t="s">
        <v>299</v>
      </c>
      <c r="G178" s="522"/>
      <c r="H178" s="522" t="s">
        <v>343</v>
      </c>
      <c r="I178" s="522"/>
      <c r="J178" s="2" t="s">
        <v>301</v>
      </c>
      <c r="K178" s="522" t="str">
        <f t="shared" si="46"/>
        <v>12-hr TWA</v>
      </c>
      <c r="L178" s="522" t="s">
        <v>302</v>
      </c>
      <c r="M178" s="535">
        <v>39325</v>
      </c>
      <c r="N178" s="2">
        <v>720</v>
      </c>
      <c r="O178" s="2">
        <v>1</v>
      </c>
      <c r="P178" s="2"/>
      <c r="Q178" s="2"/>
      <c r="R178" s="2"/>
      <c r="S178" s="2"/>
      <c r="T178" s="2"/>
      <c r="U178" s="2"/>
      <c r="V178" s="2"/>
      <c r="W178" s="2">
        <v>0.17</v>
      </c>
      <c r="X178" s="2" t="str">
        <f t="shared" ref="X178:X205" si="48">IF($K178="8-hr TWA", IF($N178&lt;480,IF($AK178="ND",IF($AR$9&lt;3,($W178/SQRT(2))*$N178/480, ($W178/2)*$N178/480),$W178*$N178/480),IF($AK178="ND",IF($AR$9&lt;3,($W178/SQRT(2)), ($W178/2)),$W178)),"")</f>
        <v/>
      </c>
      <c r="Y178" s="2">
        <f t="shared" ref="Y178:Y205" si="49">IF($K178="12-hr TWA", IF($N178&lt;720,IF($AK178="ND",IF($AS$9&lt;3,($W178/SQRT(2))*$N178/720, ($W178/2)*$N178/720),$W178*$N178/720),IF($AK178="ND",IF($AS$9&lt;3,($W178/SQRT(2)), ($W178/2)),$W178)),"")</f>
        <v>8.5000000000000006E-2</v>
      </c>
      <c r="Z178" s="2"/>
      <c r="AA178" s="2"/>
      <c r="AB178" s="2"/>
      <c r="AC178" s="2"/>
      <c r="AD178" s="537">
        <f t="shared" si="47"/>
        <v>1.0695051124744377</v>
      </c>
      <c r="AE178" s="536" t="str">
        <f t="shared" ref="AE178:AE205" si="50">+IFERROR(X178*MolW/MolVol,"")</f>
        <v/>
      </c>
      <c r="AF178" s="536">
        <f t="shared" ref="AF178:AF205" si="51">+IFERROR(Y178*MolW/MolVol,"")</f>
        <v>0.53475255623721885</v>
      </c>
      <c r="AG178" s="537" t="str">
        <f t="shared" si="43"/>
        <v/>
      </c>
      <c r="AH178" s="537" t="str">
        <f t="shared" si="44"/>
        <v/>
      </c>
      <c r="AI178" s="525" t="str">
        <f t="shared" si="45"/>
        <v/>
      </c>
      <c r="AJ178" s="522"/>
      <c r="AK178" s="522" t="s">
        <v>315</v>
      </c>
      <c r="AL178" s="526" t="str">
        <f t="shared" ref="AL178:AL205" si="52">IF($K178="8-hr TWA", IF($AK178&lt;&gt;"ND", IF($N178&lt;480, $W178*$N178/480,$W178),""),"")</f>
        <v/>
      </c>
      <c r="AM178" s="526" t="str">
        <f t="shared" ref="AM178:AM205" si="53">+IFERROR(LN(AL178), "")</f>
        <v/>
      </c>
      <c r="AN178" s="526" t="str">
        <f t="shared" ref="AN178:AN205" si="54">IF($K178="12-hr TWA", IF($AK178&lt;&gt;"ND", IF($N178&lt;720, $W178*$N178/720,$W178),""),"")</f>
        <v/>
      </c>
      <c r="AO178" s="526" t="str">
        <f t="shared" ref="AO178:AO205" si="55">+IFERROR(LN(AN178), "")</f>
        <v/>
      </c>
    </row>
    <row r="179" spans="1:41" x14ac:dyDescent="0.25">
      <c r="A179" s="2">
        <v>5176376</v>
      </c>
      <c r="B179" s="522" t="s">
        <v>312</v>
      </c>
      <c r="C179" s="522">
        <v>2018</v>
      </c>
      <c r="D179" s="522" t="s">
        <v>297</v>
      </c>
      <c r="E179" s="522" t="s">
        <v>333</v>
      </c>
      <c r="F179" s="522" t="s">
        <v>299</v>
      </c>
      <c r="G179" s="522"/>
      <c r="H179" s="522" t="s">
        <v>343</v>
      </c>
      <c r="I179" s="522"/>
      <c r="J179" s="2" t="s">
        <v>301</v>
      </c>
      <c r="K179" s="522" t="str">
        <f t="shared" si="46"/>
        <v>12-hr TWA</v>
      </c>
      <c r="L179" s="522" t="s">
        <v>302</v>
      </c>
      <c r="M179" s="535">
        <v>39330</v>
      </c>
      <c r="N179" s="2">
        <v>720</v>
      </c>
      <c r="O179" s="2">
        <v>1</v>
      </c>
      <c r="P179" s="2"/>
      <c r="Q179" s="2"/>
      <c r="R179" s="2"/>
      <c r="S179" s="2"/>
      <c r="T179" s="2"/>
      <c r="U179" s="2"/>
      <c r="V179" s="2"/>
      <c r="W179" s="2">
        <v>0.17</v>
      </c>
      <c r="X179" s="2" t="str">
        <f t="shared" si="48"/>
        <v/>
      </c>
      <c r="Y179" s="2">
        <f t="shared" si="49"/>
        <v>8.5000000000000006E-2</v>
      </c>
      <c r="Z179" s="2"/>
      <c r="AA179" s="2"/>
      <c r="AB179" s="2"/>
      <c r="AC179" s="2"/>
      <c r="AD179" s="537">
        <f t="shared" si="47"/>
        <v>1.0695051124744377</v>
      </c>
      <c r="AE179" s="536" t="str">
        <f t="shared" si="50"/>
        <v/>
      </c>
      <c r="AF179" s="536">
        <f t="shared" si="51"/>
        <v>0.53475255623721885</v>
      </c>
      <c r="AG179" s="537" t="str">
        <f t="shared" si="43"/>
        <v/>
      </c>
      <c r="AH179" s="537" t="str">
        <f t="shared" si="44"/>
        <v/>
      </c>
      <c r="AI179" s="525" t="str">
        <f t="shared" si="45"/>
        <v/>
      </c>
      <c r="AJ179" s="522"/>
      <c r="AK179" s="522" t="s">
        <v>315</v>
      </c>
      <c r="AL179" s="526" t="str">
        <f t="shared" si="52"/>
        <v/>
      </c>
      <c r="AM179" s="526" t="str">
        <f t="shared" si="53"/>
        <v/>
      </c>
      <c r="AN179" s="526" t="str">
        <f t="shared" si="54"/>
        <v/>
      </c>
      <c r="AO179" s="526" t="str">
        <f t="shared" si="55"/>
        <v/>
      </c>
    </row>
    <row r="180" spans="1:41" x14ac:dyDescent="0.25">
      <c r="A180" s="4">
        <v>5176376</v>
      </c>
      <c r="B180" s="554" t="s">
        <v>312</v>
      </c>
      <c r="C180" s="554">
        <v>2018</v>
      </c>
      <c r="D180" s="554" t="s">
        <v>297</v>
      </c>
      <c r="E180" s="554" t="s">
        <v>333</v>
      </c>
      <c r="F180" s="554" t="s">
        <v>299</v>
      </c>
      <c r="G180" s="554"/>
      <c r="H180" s="554" t="s">
        <v>346</v>
      </c>
      <c r="I180" s="557" t="s">
        <v>320</v>
      </c>
      <c r="J180" s="4" t="s">
        <v>301</v>
      </c>
      <c r="K180" s="554" t="str">
        <f t="shared" si="46"/>
        <v>8-hr TWA</v>
      </c>
      <c r="L180" s="554" t="s">
        <v>302</v>
      </c>
      <c r="M180" s="571">
        <v>39568</v>
      </c>
      <c r="N180" s="4">
        <v>480</v>
      </c>
      <c r="O180" s="4">
        <v>1</v>
      </c>
      <c r="P180" s="4"/>
      <c r="Q180" s="4"/>
      <c r="R180" s="4"/>
      <c r="S180" s="4"/>
      <c r="T180" s="4"/>
      <c r="U180" s="4"/>
      <c r="V180" s="4"/>
      <c r="W180" s="4">
        <v>0.18</v>
      </c>
      <c r="X180" s="4">
        <f t="shared" si="48"/>
        <v>0.18</v>
      </c>
      <c r="Y180" s="4" t="str">
        <f t="shared" si="49"/>
        <v/>
      </c>
      <c r="Z180" s="4"/>
      <c r="AA180" s="4"/>
      <c r="AB180" s="4"/>
      <c r="AC180" s="4"/>
      <c r="AD180" s="559">
        <f t="shared" si="47"/>
        <v>1.1324171779141103</v>
      </c>
      <c r="AE180" s="559">
        <f t="shared" si="50"/>
        <v>1.1324171779141103</v>
      </c>
      <c r="AF180" s="559" t="str">
        <f t="shared" si="51"/>
        <v/>
      </c>
      <c r="AG180" s="537" t="str">
        <f t="shared" si="43"/>
        <v/>
      </c>
      <c r="AH180" s="537" t="str">
        <f t="shared" si="44"/>
        <v/>
      </c>
      <c r="AI180" s="525">
        <f t="shared" si="45"/>
        <v>1.1324171779141103</v>
      </c>
      <c r="AJ180" s="554"/>
      <c r="AK180" s="554"/>
      <c r="AL180" s="560">
        <f t="shared" si="52"/>
        <v>0.18</v>
      </c>
      <c r="AM180" s="560">
        <f t="shared" si="53"/>
        <v>-1.7147984280919266</v>
      </c>
      <c r="AN180" s="560" t="str">
        <f t="shared" si="54"/>
        <v/>
      </c>
      <c r="AO180" s="560" t="str">
        <f t="shared" si="55"/>
        <v/>
      </c>
    </row>
    <row r="181" spans="1:41" x14ac:dyDescent="0.25">
      <c r="A181" s="2">
        <v>5176376</v>
      </c>
      <c r="B181" s="522" t="s">
        <v>312</v>
      </c>
      <c r="C181" s="522">
        <v>2018</v>
      </c>
      <c r="D181" s="522" t="s">
        <v>297</v>
      </c>
      <c r="E181" s="522" t="s">
        <v>333</v>
      </c>
      <c r="F181" s="522" t="s">
        <v>299</v>
      </c>
      <c r="G181" s="522"/>
      <c r="H181" s="522" t="s">
        <v>334</v>
      </c>
      <c r="I181" s="522"/>
      <c r="J181" s="2" t="s">
        <v>301</v>
      </c>
      <c r="K181" s="522" t="str">
        <f t="shared" si="46"/>
        <v>12-hr TWA</v>
      </c>
      <c r="L181" s="522" t="s">
        <v>302</v>
      </c>
      <c r="M181" s="535">
        <v>38918</v>
      </c>
      <c r="N181" s="2">
        <v>720</v>
      </c>
      <c r="O181" s="2">
        <v>1</v>
      </c>
      <c r="P181" s="2"/>
      <c r="Q181" s="2"/>
      <c r="R181" s="2"/>
      <c r="S181" s="2"/>
      <c r="T181" s="2"/>
      <c r="U181" s="2"/>
      <c r="V181" s="2"/>
      <c r="W181" s="2">
        <v>0.18</v>
      </c>
      <c r="X181" s="2" t="str">
        <f t="shared" si="48"/>
        <v/>
      </c>
      <c r="Y181" s="524">
        <f t="shared" si="49"/>
        <v>0.09</v>
      </c>
      <c r="Z181" s="2"/>
      <c r="AA181" s="2"/>
      <c r="AB181" s="2"/>
      <c r="AC181" s="2"/>
      <c r="AD181" s="537">
        <f t="shared" si="47"/>
        <v>1.1324171779141103</v>
      </c>
      <c r="AE181" s="537" t="str">
        <f t="shared" si="50"/>
        <v/>
      </c>
      <c r="AF181" s="536">
        <f t="shared" si="51"/>
        <v>0.56620858895705517</v>
      </c>
      <c r="AG181" s="537" t="str">
        <f t="shared" si="43"/>
        <v/>
      </c>
      <c r="AH181" s="537" t="str">
        <f t="shared" si="44"/>
        <v/>
      </c>
      <c r="AI181" s="525" t="str">
        <f t="shared" si="45"/>
        <v/>
      </c>
      <c r="AJ181" s="522"/>
      <c r="AK181" s="522" t="s">
        <v>315</v>
      </c>
      <c r="AL181" s="526" t="str">
        <f t="shared" si="52"/>
        <v/>
      </c>
      <c r="AM181" s="526" t="str">
        <f t="shared" si="53"/>
        <v/>
      </c>
      <c r="AN181" s="526" t="str">
        <f t="shared" si="54"/>
        <v/>
      </c>
      <c r="AO181" s="526" t="str">
        <f t="shared" si="55"/>
        <v/>
      </c>
    </row>
    <row r="182" spans="1:41" x14ac:dyDescent="0.25">
      <c r="A182" s="2">
        <v>5176376</v>
      </c>
      <c r="B182" s="522" t="s">
        <v>312</v>
      </c>
      <c r="C182" s="522">
        <v>2018</v>
      </c>
      <c r="D182" s="522" t="s">
        <v>297</v>
      </c>
      <c r="E182" s="522" t="s">
        <v>333</v>
      </c>
      <c r="F182" s="522" t="s">
        <v>299</v>
      </c>
      <c r="G182" s="522"/>
      <c r="H182" s="522" t="s">
        <v>350</v>
      </c>
      <c r="I182" s="522"/>
      <c r="J182" s="2" t="s">
        <v>301</v>
      </c>
      <c r="K182" s="522" t="str">
        <f t="shared" si="46"/>
        <v>8-hr TWA</v>
      </c>
      <c r="L182" s="522" t="s">
        <v>302</v>
      </c>
      <c r="M182" s="535">
        <v>39035</v>
      </c>
      <c r="N182" s="2">
        <v>480</v>
      </c>
      <c r="O182" s="2">
        <v>1</v>
      </c>
      <c r="P182" s="2"/>
      <c r="Q182" s="2"/>
      <c r="R182" s="2"/>
      <c r="S182" s="2"/>
      <c r="T182" s="2"/>
      <c r="U182" s="2"/>
      <c r="V182" s="2"/>
      <c r="W182" s="2">
        <v>0.18</v>
      </c>
      <c r="X182" s="444">
        <f t="shared" si="48"/>
        <v>0.12727922061357855</v>
      </c>
      <c r="Y182" s="2" t="str">
        <f t="shared" si="49"/>
        <v/>
      </c>
      <c r="Z182" s="2"/>
      <c r="AA182" s="2"/>
      <c r="AB182" s="2"/>
      <c r="AC182" s="2"/>
      <c r="AD182" s="537">
        <f t="shared" si="47"/>
        <v>1.1324171779141103</v>
      </c>
      <c r="AE182" s="536">
        <f t="shared" si="50"/>
        <v>0.8007398656352005</v>
      </c>
      <c r="AF182" s="536" t="str">
        <f t="shared" si="51"/>
        <v/>
      </c>
      <c r="AG182" s="537" t="str">
        <f t="shared" si="43"/>
        <v/>
      </c>
      <c r="AH182" s="537" t="str">
        <f t="shared" si="44"/>
        <v/>
      </c>
      <c r="AI182" s="525" t="str">
        <f t="shared" si="45"/>
        <v/>
      </c>
      <c r="AJ182" s="522"/>
      <c r="AK182" s="522" t="s">
        <v>315</v>
      </c>
      <c r="AL182" s="526" t="str">
        <f t="shared" si="52"/>
        <v/>
      </c>
      <c r="AM182" s="526" t="str">
        <f t="shared" si="53"/>
        <v/>
      </c>
      <c r="AN182" s="526" t="str">
        <f t="shared" si="54"/>
        <v/>
      </c>
      <c r="AO182" s="526" t="str">
        <f t="shared" si="55"/>
        <v/>
      </c>
    </row>
    <row r="183" spans="1:41" x14ac:dyDescent="0.25">
      <c r="A183" s="2">
        <v>5176376</v>
      </c>
      <c r="B183" s="522" t="s">
        <v>312</v>
      </c>
      <c r="C183" s="522">
        <v>2018</v>
      </c>
      <c r="D183" s="522" t="s">
        <v>297</v>
      </c>
      <c r="E183" s="522" t="s">
        <v>333</v>
      </c>
      <c r="F183" s="522" t="s">
        <v>299</v>
      </c>
      <c r="G183" s="522"/>
      <c r="H183" s="522" t="s">
        <v>344</v>
      </c>
      <c r="I183" s="522"/>
      <c r="J183" s="2" t="s">
        <v>301</v>
      </c>
      <c r="K183" s="522" t="str">
        <f t="shared" si="46"/>
        <v>12-hr TWA</v>
      </c>
      <c r="L183" s="522" t="s">
        <v>302</v>
      </c>
      <c r="M183" s="535">
        <v>39035</v>
      </c>
      <c r="N183" s="2">
        <v>720</v>
      </c>
      <c r="O183" s="2">
        <v>1</v>
      </c>
      <c r="P183" s="2"/>
      <c r="Q183" s="2"/>
      <c r="R183" s="2"/>
      <c r="S183" s="2"/>
      <c r="T183" s="2"/>
      <c r="U183" s="2"/>
      <c r="V183" s="2"/>
      <c r="W183" s="2">
        <v>0.18</v>
      </c>
      <c r="X183" s="444" t="str">
        <f t="shared" si="48"/>
        <v/>
      </c>
      <c r="Y183" s="524">
        <f t="shared" si="49"/>
        <v>0.09</v>
      </c>
      <c r="Z183" s="2"/>
      <c r="AA183" s="2"/>
      <c r="AB183" s="2"/>
      <c r="AC183" s="2"/>
      <c r="AD183" s="537">
        <f t="shared" si="47"/>
        <v>1.1324171779141103</v>
      </c>
      <c r="AE183" s="536" t="str">
        <f t="shared" si="50"/>
        <v/>
      </c>
      <c r="AF183" s="536">
        <f t="shared" si="51"/>
        <v>0.56620858895705517</v>
      </c>
      <c r="AG183" s="537" t="str">
        <f t="shared" si="43"/>
        <v/>
      </c>
      <c r="AH183" s="537" t="str">
        <f t="shared" si="44"/>
        <v/>
      </c>
      <c r="AI183" s="525" t="str">
        <f t="shared" si="45"/>
        <v/>
      </c>
      <c r="AJ183" s="522"/>
      <c r="AK183" s="522" t="s">
        <v>315</v>
      </c>
      <c r="AL183" s="526" t="str">
        <f t="shared" si="52"/>
        <v/>
      </c>
      <c r="AM183" s="526" t="str">
        <f t="shared" si="53"/>
        <v/>
      </c>
      <c r="AN183" s="526" t="str">
        <f t="shared" si="54"/>
        <v/>
      </c>
      <c r="AO183" s="526" t="str">
        <f t="shared" si="55"/>
        <v/>
      </c>
    </row>
    <row r="184" spans="1:41" x14ac:dyDescent="0.25">
      <c r="A184" s="2">
        <v>5176376</v>
      </c>
      <c r="B184" s="522" t="s">
        <v>312</v>
      </c>
      <c r="C184" s="522">
        <v>2018</v>
      </c>
      <c r="D184" s="522" t="s">
        <v>297</v>
      </c>
      <c r="E184" s="522" t="s">
        <v>333</v>
      </c>
      <c r="F184" s="522" t="s">
        <v>299</v>
      </c>
      <c r="G184" s="522"/>
      <c r="H184" s="522" t="s">
        <v>351</v>
      </c>
      <c r="I184" s="522"/>
      <c r="J184" s="2" t="s">
        <v>301</v>
      </c>
      <c r="K184" s="522" t="str">
        <f t="shared" si="46"/>
        <v>8-hr TWA</v>
      </c>
      <c r="L184" s="522" t="s">
        <v>302</v>
      </c>
      <c r="M184" s="535">
        <v>39722</v>
      </c>
      <c r="N184" s="2">
        <v>480</v>
      </c>
      <c r="O184" s="2">
        <v>1</v>
      </c>
      <c r="P184" s="2"/>
      <c r="Q184" s="2"/>
      <c r="R184" s="2"/>
      <c r="S184" s="2"/>
      <c r="T184" s="2"/>
      <c r="U184" s="2"/>
      <c r="V184" s="2"/>
      <c r="W184" s="2">
        <v>0.18</v>
      </c>
      <c r="X184" s="444">
        <f t="shared" si="48"/>
        <v>0.12727922061357855</v>
      </c>
      <c r="Y184" s="2" t="str">
        <f t="shared" si="49"/>
        <v/>
      </c>
      <c r="Z184" s="2"/>
      <c r="AA184" s="2"/>
      <c r="AB184" s="2"/>
      <c r="AC184" s="2"/>
      <c r="AD184" s="537">
        <f t="shared" si="47"/>
        <v>1.1324171779141103</v>
      </c>
      <c r="AE184" s="536">
        <f t="shared" si="50"/>
        <v>0.8007398656352005</v>
      </c>
      <c r="AF184" s="536" t="str">
        <f t="shared" si="51"/>
        <v/>
      </c>
      <c r="AG184" s="537" t="str">
        <f t="shared" si="43"/>
        <v/>
      </c>
      <c r="AH184" s="537" t="str">
        <f t="shared" si="44"/>
        <v/>
      </c>
      <c r="AI184" s="525" t="str">
        <f t="shared" si="45"/>
        <v/>
      </c>
      <c r="AJ184" s="522"/>
      <c r="AK184" s="522" t="s">
        <v>315</v>
      </c>
      <c r="AL184" s="526" t="str">
        <f t="shared" si="52"/>
        <v/>
      </c>
      <c r="AM184" s="526" t="str">
        <f t="shared" si="53"/>
        <v/>
      </c>
      <c r="AN184" s="526" t="str">
        <f t="shared" si="54"/>
        <v/>
      </c>
      <c r="AO184" s="526" t="str">
        <f t="shared" si="55"/>
        <v/>
      </c>
    </row>
    <row r="185" spans="1:41" x14ac:dyDescent="0.25">
      <c r="A185" s="2">
        <v>5176376</v>
      </c>
      <c r="B185" s="522" t="s">
        <v>312</v>
      </c>
      <c r="C185" s="522">
        <v>2018</v>
      </c>
      <c r="D185" s="522" t="s">
        <v>297</v>
      </c>
      <c r="E185" s="522" t="s">
        <v>333</v>
      </c>
      <c r="F185" s="522" t="s">
        <v>299</v>
      </c>
      <c r="G185" s="522"/>
      <c r="H185" s="522" t="s">
        <v>351</v>
      </c>
      <c r="I185" s="522"/>
      <c r="J185" s="2" t="s">
        <v>301</v>
      </c>
      <c r="K185" s="522" t="str">
        <f t="shared" si="46"/>
        <v>8-hr TWA</v>
      </c>
      <c r="L185" s="522" t="s">
        <v>302</v>
      </c>
      <c r="M185" s="535">
        <v>39722</v>
      </c>
      <c r="N185" s="2">
        <v>480</v>
      </c>
      <c r="O185" s="2">
        <v>1</v>
      </c>
      <c r="P185" s="2"/>
      <c r="Q185" s="2"/>
      <c r="R185" s="2"/>
      <c r="S185" s="2"/>
      <c r="T185" s="2"/>
      <c r="U185" s="2"/>
      <c r="V185" s="2"/>
      <c r="W185" s="2">
        <v>0.18</v>
      </c>
      <c r="X185" s="444">
        <f t="shared" si="48"/>
        <v>0.12727922061357855</v>
      </c>
      <c r="Y185" s="2" t="str">
        <f t="shared" si="49"/>
        <v/>
      </c>
      <c r="Z185" s="2"/>
      <c r="AA185" s="2"/>
      <c r="AB185" s="2"/>
      <c r="AC185" s="2"/>
      <c r="AD185" s="537">
        <f t="shared" si="47"/>
        <v>1.1324171779141103</v>
      </c>
      <c r="AE185" s="536">
        <f t="shared" si="50"/>
        <v>0.8007398656352005</v>
      </c>
      <c r="AF185" s="536" t="str">
        <f t="shared" si="51"/>
        <v/>
      </c>
      <c r="AG185" s="537" t="str">
        <f t="shared" si="43"/>
        <v/>
      </c>
      <c r="AH185" s="537" t="str">
        <f t="shared" si="44"/>
        <v/>
      </c>
      <c r="AI185" s="525" t="str">
        <f t="shared" si="45"/>
        <v/>
      </c>
      <c r="AJ185" s="522"/>
      <c r="AK185" s="522" t="s">
        <v>315</v>
      </c>
      <c r="AL185" s="526" t="str">
        <f t="shared" si="52"/>
        <v/>
      </c>
      <c r="AM185" s="526" t="str">
        <f t="shared" si="53"/>
        <v/>
      </c>
      <c r="AN185" s="526" t="str">
        <f t="shared" si="54"/>
        <v/>
      </c>
      <c r="AO185" s="526" t="str">
        <f t="shared" si="55"/>
        <v/>
      </c>
    </row>
    <row r="186" spans="1:41" x14ac:dyDescent="0.25">
      <c r="A186" s="2">
        <v>5176376</v>
      </c>
      <c r="B186" s="522" t="s">
        <v>312</v>
      </c>
      <c r="C186" s="522">
        <v>2018</v>
      </c>
      <c r="D186" s="522" t="s">
        <v>297</v>
      </c>
      <c r="E186" s="522" t="s">
        <v>333</v>
      </c>
      <c r="F186" s="522" t="s">
        <v>299</v>
      </c>
      <c r="G186" s="522"/>
      <c r="H186" s="522" t="s">
        <v>351</v>
      </c>
      <c r="I186" s="522"/>
      <c r="J186" s="2" t="s">
        <v>301</v>
      </c>
      <c r="K186" s="522" t="str">
        <f t="shared" si="46"/>
        <v>8-hr TWA</v>
      </c>
      <c r="L186" s="522" t="s">
        <v>302</v>
      </c>
      <c r="M186" s="535">
        <v>39723</v>
      </c>
      <c r="N186" s="2">
        <v>480</v>
      </c>
      <c r="O186" s="2">
        <v>1</v>
      </c>
      <c r="P186" s="2"/>
      <c r="Q186" s="2"/>
      <c r="R186" s="2"/>
      <c r="S186" s="2"/>
      <c r="T186" s="2"/>
      <c r="U186" s="2"/>
      <c r="V186" s="2"/>
      <c r="W186" s="2">
        <v>0.18</v>
      </c>
      <c r="X186" s="444">
        <f t="shared" si="48"/>
        <v>0.12727922061357855</v>
      </c>
      <c r="Y186" s="2" t="str">
        <f t="shared" si="49"/>
        <v/>
      </c>
      <c r="Z186" s="2"/>
      <c r="AA186" s="2"/>
      <c r="AB186" s="2"/>
      <c r="AC186" s="2"/>
      <c r="AD186" s="537">
        <f t="shared" si="47"/>
        <v>1.1324171779141103</v>
      </c>
      <c r="AE186" s="536">
        <f t="shared" si="50"/>
        <v>0.8007398656352005</v>
      </c>
      <c r="AF186" s="536" t="str">
        <f t="shared" si="51"/>
        <v/>
      </c>
      <c r="AG186" s="537" t="str">
        <f t="shared" si="43"/>
        <v/>
      </c>
      <c r="AH186" s="537" t="str">
        <f t="shared" si="44"/>
        <v/>
      </c>
      <c r="AI186" s="525" t="str">
        <f t="shared" si="45"/>
        <v/>
      </c>
      <c r="AJ186" s="522"/>
      <c r="AK186" s="522" t="s">
        <v>315</v>
      </c>
      <c r="AL186" s="526" t="str">
        <f t="shared" si="52"/>
        <v/>
      </c>
      <c r="AM186" s="526" t="str">
        <f t="shared" si="53"/>
        <v/>
      </c>
      <c r="AN186" s="526" t="str">
        <f t="shared" si="54"/>
        <v/>
      </c>
      <c r="AO186" s="526" t="str">
        <f t="shared" si="55"/>
        <v/>
      </c>
    </row>
    <row r="187" spans="1:41" x14ac:dyDescent="0.25">
      <c r="A187" s="4">
        <v>5176376</v>
      </c>
      <c r="B187" s="554" t="s">
        <v>312</v>
      </c>
      <c r="C187" s="554">
        <v>2018</v>
      </c>
      <c r="D187" s="554" t="s">
        <v>297</v>
      </c>
      <c r="E187" s="554" t="s">
        <v>333</v>
      </c>
      <c r="F187" s="554" t="s">
        <v>299</v>
      </c>
      <c r="G187" s="554"/>
      <c r="H187" s="554" t="s">
        <v>336</v>
      </c>
      <c r="I187" s="557" t="s">
        <v>320</v>
      </c>
      <c r="J187" s="4" t="s">
        <v>301</v>
      </c>
      <c r="K187" s="554" t="str">
        <f t="shared" si="46"/>
        <v>8-hr TWA</v>
      </c>
      <c r="L187" s="554" t="s">
        <v>302</v>
      </c>
      <c r="M187" s="571">
        <v>38813</v>
      </c>
      <c r="N187" s="4">
        <v>480</v>
      </c>
      <c r="O187" s="4">
        <v>1</v>
      </c>
      <c r="P187" s="4"/>
      <c r="Q187" s="4"/>
      <c r="R187" s="4"/>
      <c r="S187" s="4"/>
      <c r="T187" s="4"/>
      <c r="U187" s="4"/>
      <c r="V187" s="4"/>
      <c r="W187" s="4">
        <v>0.18</v>
      </c>
      <c r="X187" s="566">
        <f t="shared" si="48"/>
        <v>0.12727922061357855</v>
      </c>
      <c r="Y187" s="4" t="str">
        <f t="shared" si="49"/>
        <v/>
      </c>
      <c r="Z187" s="4"/>
      <c r="AA187" s="4"/>
      <c r="AB187" s="4"/>
      <c r="AC187" s="4"/>
      <c r="AD187" s="559">
        <f t="shared" si="47"/>
        <v>1.1324171779141103</v>
      </c>
      <c r="AE187" s="566">
        <f t="shared" si="50"/>
        <v>0.8007398656352005</v>
      </c>
      <c r="AF187" s="566" t="str">
        <f t="shared" si="51"/>
        <v/>
      </c>
      <c r="AG187" s="537" t="str">
        <f t="shared" si="43"/>
        <v/>
      </c>
      <c r="AH187" s="537" t="str">
        <f t="shared" si="44"/>
        <v/>
      </c>
      <c r="AI187" s="525">
        <f t="shared" si="45"/>
        <v>0.8007398656352005</v>
      </c>
      <c r="AJ187" s="554"/>
      <c r="AK187" s="554" t="s">
        <v>315</v>
      </c>
      <c r="AL187" s="560" t="str">
        <f t="shared" si="52"/>
        <v/>
      </c>
      <c r="AM187" s="560" t="str">
        <f t="shared" si="53"/>
        <v/>
      </c>
      <c r="AN187" s="560" t="str">
        <f t="shared" si="54"/>
        <v/>
      </c>
      <c r="AO187" s="560" t="str">
        <f t="shared" si="55"/>
        <v/>
      </c>
    </row>
    <row r="188" spans="1:41" x14ac:dyDescent="0.25">
      <c r="A188" s="2">
        <v>5176376</v>
      </c>
      <c r="B188" s="522" t="s">
        <v>312</v>
      </c>
      <c r="C188" s="522">
        <v>2018</v>
      </c>
      <c r="D188" s="522" t="s">
        <v>297</v>
      </c>
      <c r="E188" s="522" t="s">
        <v>333</v>
      </c>
      <c r="F188" s="522" t="s">
        <v>299</v>
      </c>
      <c r="G188" s="522"/>
      <c r="H188" s="522" t="s">
        <v>347</v>
      </c>
      <c r="I188" s="522"/>
      <c r="J188" s="2" t="s">
        <v>301</v>
      </c>
      <c r="K188" s="522" t="str">
        <f t="shared" si="46"/>
        <v>12-hr TWA</v>
      </c>
      <c r="L188" s="522" t="s">
        <v>302</v>
      </c>
      <c r="M188" s="535">
        <v>39216</v>
      </c>
      <c r="N188" s="2">
        <v>720</v>
      </c>
      <c r="O188" s="2">
        <v>1</v>
      </c>
      <c r="P188" s="2"/>
      <c r="Q188" s="2"/>
      <c r="R188" s="2"/>
      <c r="S188" s="2"/>
      <c r="T188" s="2"/>
      <c r="U188" s="2"/>
      <c r="V188" s="2"/>
      <c r="W188" s="2">
        <v>0.18</v>
      </c>
      <c r="X188" s="444" t="str">
        <f t="shared" si="48"/>
        <v/>
      </c>
      <c r="Y188" s="524">
        <f t="shared" si="49"/>
        <v>0.09</v>
      </c>
      <c r="Z188" s="2"/>
      <c r="AA188" s="2"/>
      <c r="AB188" s="2"/>
      <c r="AC188" s="2"/>
      <c r="AD188" s="537">
        <f t="shared" si="47"/>
        <v>1.1324171779141103</v>
      </c>
      <c r="AE188" s="536" t="str">
        <f t="shared" si="50"/>
        <v/>
      </c>
      <c r="AF188" s="536">
        <f t="shared" si="51"/>
        <v>0.56620858895705517</v>
      </c>
      <c r="AG188" s="537" t="str">
        <f t="shared" si="43"/>
        <v/>
      </c>
      <c r="AH188" s="537" t="str">
        <f t="shared" si="44"/>
        <v/>
      </c>
      <c r="AI188" s="525" t="str">
        <f t="shared" si="45"/>
        <v/>
      </c>
      <c r="AJ188" s="522"/>
      <c r="AK188" s="522" t="s">
        <v>315</v>
      </c>
      <c r="AL188" s="526" t="str">
        <f t="shared" si="52"/>
        <v/>
      </c>
      <c r="AM188" s="526" t="str">
        <f t="shared" si="53"/>
        <v/>
      </c>
      <c r="AN188" s="526" t="str">
        <f t="shared" si="54"/>
        <v/>
      </c>
      <c r="AO188" s="526" t="str">
        <f t="shared" si="55"/>
        <v/>
      </c>
    </row>
    <row r="189" spans="1:41" x14ac:dyDescent="0.25">
      <c r="A189" s="2">
        <v>5176376</v>
      </c>
      <c r="B189" s="522" t="s">
        <v>312</v>
      </c>
      <c r="C189" s="522">
        <v>2018</v>
      </c>
      <c r="D189" s="522" t="s">
        <v>297</v>
      </c>
      <c r="E189" s="522" t="s">
        <v>333</v>
      </c>
      <c r="F189" s="522" t="s">
        <v>299</v>
      </c>
      <c r="G189" s="522"/>
      <c r="H189" s="522" t="s">
        <v>343</v>
      </c>
      <c r="I189" s="522"/>
      <c r="J189" s="2" t="s">
        <v>301</v>
      </c>
      <c r="K189" s="522" t="str">
        <f t="shared" si="46"/>
        <v>12-hr TWA</v>
      </c>
      <c r="L189" s="522" t="s">
        <v>302</v>
      </c>
      <c r="M189" s="535">
        <v>39346</v>
      </c>
      <c r="N189" s="2">
        <v>720</v>
      </c>
      <c r="O189" s="2">
        <v>1</v>
      </c>
      <c r="P189" s="2"/>
      <c r="Q189" s="2"/>
      <c r="R189" s="2"/>
      <c r="S189" s="2"/>
      <c r="T189" s="2"/>
      <c r="U189" s="2"/>
      <c r="V189" s="2"/>
      <c r="W189" s="2">
        <v>0.18</v>
      </c>
      <c r="X189" s="444" t="str">
        <f t="shared" si="48"/>
        <v/>
      </c>
      <c r="Y189" s="524">
        <f t="shared" si="49"/>
        <v>0.09</v>
      </c>
      <c r="Z189" s="2"/>
      <c r="AA189" s="2"/>
      <c r="AB189" s="2"/>
      <c r="AC189" s="2"/>
      <c r="AD189" s="537">
        <f t="shared" si="47"/>
        <v>1.1324171779141103</v>
      </c>
      <c r="AE189" s="536" t="str">
        <f t="shared" si="50"/>
        <v/>
      </c>
      <c r="AF189" s="536">
        <f t="shared" si="51"/>
        <v>0.56620858895705517</v>
      </c>
      <c r="AG189" s="537" t="str">
        <f t="shared" si="43"/>
        <v/>
      </c>
      <c r="AH189" s="537" t="str">
        <f t="shared" si="44"/>
        <v/>
      </c>
      <c r="AI189" s="525" t="str">
        <f t="shared" si="45"/>
        <v/>
      </c>
      <c r="AJ189" s="522"/>
      <c r="AK189" s="522" t="s">
        <v>315</v>
      </c>
      <c r="AL189" s="526" t="str">
        <f t="shared" si="52"/>
        <v/>
      </c>
      <c r="AM189" s="526" t="str">
        <f t="shared" si="53"/>
        <v/>
      </c>
      <c r="AN189" s="526" t="str">
        <f t="shared" si="54"/>
        <v/>
      </c>
      <c r="AO189" s="526" t="str">
        <f t="shared" si="55"/>
        <v/>
      </c>
    </row>
    <row r="190" spans="1:41" x14ac:dyDescent="0.25">
      <c r="A190" s="2">
        <v>5176376</v>
      </c>
      <c r="B190" s="522" t="s">
        <v>312</v>
      </c>
      <c r="C190" s="522">
        <v>2018</v>
      </c>
      <c r="D190" s="522" t="s">
        <v>297</v>
      </c>
      <c r="E190" s="522" t="s">
        <v>333</v>
      </c>
      <c r="F190" s="522" t="s">
        <v>299</v>
      </c>
      <c r="G190" s="522"/>
      <c r="H190" s="522" t="s">
        <v>340</v>
      </c>
      <c r="I190" s="522"/>
      <c r="J190" s="2" t="s">
        <v>301</v>
      </c>
      <c r="K190" s="522" t="str">
        <f t="shared" si="46"/>
        <v>12-hr TWA</v>
      </c>
      <c r="L190" s="522" t="s">
        <v>302</v>
      </c>
      <c r="M190" s="535">
        <v>38919</v>
      </c>
      <c r="N190" s="2">
        <v>720</v>
      </c>
      <c r="O190" s="2">
        <v>1</v>
      </c>
      <c r="P190" s="2"/>
      <c r="Q190" s="2"/>
      <c r="R190" s="2"/>
      <c r="S190" s="2"/>
      <c r="T190" s="2"/>
      <c r="U190" s="2"/>
      <c r="V190" s="2"/>
      <c r="W190" s="2">
        <v>0.19</v>
      </c>
      <c r="X190" s="444" t="str">
        <f t="shared" si="48"/>
        <v/>
      </c>
      <c r="Y190" s="2">
        <f t="shared" si="49"/>
        <v>9.5000000000000001E-2</v>
      </c>
      <c r="Z190" s="2"/>
      <c r="AA190" s="2"/>
      <c r="AB190" s="2"/>
      <c r="AC190" s="2"/>
      <c r="AD190" s="537">
        <f t="shared" si="47"/>
        <v>1.1953292433537832</v>
      </c>
      <c r="AE190" s="536" t="str">
        <f t="shared" si="50"/>
        <v/>
      </c>
      <c r="AF190" s="536">
        <f t="shared" si="51"/>
        <v>0.59766462167689161</v>
      </c>
      <c r="AG190" s="537" t="str">
        <f t="shared" si="43"/>
        <v/>
      </c>
      <c r="AH190" s="537" t="str">
        <f t="shared" si="44"/>
        <v/>
      </c>
      <c r="AI190" s="525" t="str">
        <f t="shared" si="45"/>
        <v/>
      </c>
      <c r="AJ190" s="522"/>
      <c r="AK190" s="522" t="s">
        <v>315</v>
      </c>
      <c r="AL190" s="526" t="str">
        <f t="shared" si="52"/>
        <v/>
      </c>
      <c r="AM190" s="526" t="str">
        <f t="shared" si="53"/>
        <v/>
      </c>
      <c r="AN190" s="526" t="str">
        <f t="shared" si="54"/>
        <v/>
      </c>
      <c r="AO190" s="526" t="str">
        <f t="shared" si="55"/>
        <v/>
      </c>
    </row>
    <row r="191" spans="1:41" x14ac:dyDescent="0.25">
      <c r="A191" s="2">
        <v>5176376</v>
      </c>
      <c r="B191" s="522" t="s">
        <v>312</v>
      </c>
      <c r="C191" s="522">
        <v>2018</v>
      </c>
      <c r="D191" s="522" t="s">
        <v>297</v>
      </c>
      <c r="E191" s="522" t="s">
        <v>333</v>
      </c>
      <c r="F191" s="522" t="s">
        <v>299</v>
      </c>
      <c r="G191" s="522"/>
      <c r="H191" s="522" t="s">
        <v>346</v>
      </c>
      <c r="I191" s="522"/>
      <c r="J191" s="2" t="s">
        <v>301</v>
      </c>
      <c r="K191" s="522" t="str">
        <f t="shared" si="46"/>
        <v>8-hr TWA</v>
      </c>
      <c r="L191" s="522" t="s">
        <v>302</v>
      </c>
      <c r="M191" s="535">
        <v>39223</v>
      </c>
      <c r="N191" s="2">
        <v>480</v>
      </c>
      <c r="O191" s="2">
        <v>1</v>
      </c>
      <c r="P191" s="2"/>
      <c r="Q191" s="2"/>
      <c r="R191" s="2"/>
      <c r="S191" s="2"/>
      <c r="T191" s="2"/>
      <c r="U191" s="2"/>
      <c r="V191" s="2"/>
      <c r="W191" s="2">
        <v>0.19</v>
      </c>
      <c r="X191" s="444">
        <f t="shared" si="48"/>
        <v>0.13435028842544403</v>
      </c>
      <c r="Y191" s="2" t="str">
        <f t="shared" si="49"/>
        <v/>
      </c>
      <c r="Z191" s="2"/>
      <c r="AA191" s="2"/>
      <c r="AB191" s="2"/>
      <c r="AC191" s="2"/>
      <c r="AD191" s="537">
        <f t="shared" si="47"/>
        <v>1.1953292433537832</v>
      </c>
      <c r="AE191" s="536">
        <f t="shared" si="50"/>
        <v>0.84522541372604498</v>
      </c>
      <c r="AF191" s="536" t="str">
        <f t="shared" si="51"/>
        <v/>
      </c>
      <c r="AG191" s="537" t="str">
        <f t="shared" si="43"/>
        <v/>
      </c>
      <c r="AH191" s="537" t="str">
        <f t="shared" si="44"/>
        <v/>
      </c>
      <c r="AI191" s="525" t="str">
        <f t="shared" si="45"/>
        <v/>
      </c>
      <c r="AJ191" s="522"/>
      <c r="AK191" s="522" t="s">
        <v>315</v>
      </c>
      <c r="AL191" s="526" t="str">
        <f t="shared" si="52"/>
        <v/>
      </c>
      <c r="AM191" s="526" t="str">
        <f t="shared" si="53"/>
        <v/>
      </c>
      <c r="AN191" s="526" t="str">
        <f t="shared" si="54"/>
        <v/>
      </c>
      <c r="AO191" s="526" t="str">
        <f t="shared" si="55"/>
        <v/>
      </c>
    </row>
    <row r="192" spans="1:41" x14ac:dyDescent="0.25">
      <c r="A192" s="2">
        <v>5176376</v>
      </c>
      <c r="B192" s="522" t="s">
        <v>312</v>
      </c>
      <c r="C192" s="522">
        <v>2018</v>
      </c>
      <c r="D192" s="522" t="s">
        <v>297</v>
      </c>
      <c r="E192" s="522" t="s">
        <v>333</v>
      </c>
      <c r="F192" s="522" t="s">
        <v>299</v>
      </c>
      <c r="G192" s="522"/>
      <c r="H192" s="522" t="s">
        <v>346</v>
      </c>
      <c r="I192" s="522"/>
      <c r="J192" s="2" t="s">
        <v>301</v>
      </c>
      <c r="K192" s="522" t="str">
        <f t="shared" si="46"/>
        <v>8-hr TWA</v>
      </c>
      <c r="L192" s="522" t="s">
        <v>302</v>
      </c>
      <c r="M192" s="535">
        <v>39224</v>
      </c>
      <c r="N192" s="2">
        <v>480</v>
      </c>
      <c r="O192" s="2">
        <v>1</v>
      </c>
      <c r="P192" s="2"/>
      <c r="Q192" s="2"/>
      <c r="R192" s="2"/>
      <c r="S192" s="2"/>
      <c r="T192" s="2"/>
      <c r="U192" s="2"/>
      <c r="V192" s="2"/>
      <c r="W192" s="2">
        <v>0.19</v>
      </c>
      <c r="X192" s="444">
        <f t="shared" si="48"/>
        <v>0.13435028842544403</v>
      </c>
      <c r="Y192" s="2" t="str">
        <f t="shared" si="49"/>
        <v/>
      </c>
      <c r="Z192" s="2"/>
      <c r="AA192" s="2"/>
      <c r="AB192" s="2"/>
      <c r="AC192" s="2"/>
      <c r="AD192" s="537">
        <f t="shared" si="47"/>
        <v>1.1953292433537832</v>
      </c>
      <c r="AE192" s="536">
        <f t="shared" si="50"/>
        <v>0.84522541372604498</v>
      </c>
      <c r="AF192" s="536" t="str">
        <f t="shared" si="51"/>
        <v/>
      </c>
      <c r="AG192" s="537" t="str">
        <f t="shared" si="43"/>
        <v/>
      </c>
      <c r="AH192" s="537" t="str">
        <f t="shared" si="44"/>
        <v/>
      </c>
      <c r="AI192" s="525" t="str">
        <f t="shared" si="45"/>
        <v/>
      </c>
      <c r="AJ192" s="522"/>
      <c r="AK192" s="522" t="s">
        <v>315</v>
      </c>
      <c r="AL192" s="526" t="str">
        <f t="shared" si="52"/>
        <v/>
      </c>
      <c r="AM192" s="526" t="str">
        <f t="shared" si="53"/>
        <v/>
      </c>
      <c r="AN192" s="526" t="str">
        <f t="shared" si="54"/>
        <v/>
      </c>
      <c r="AO192" s="526" t="str">
        <f t="shared" si="55"/>
        <v/>
      </c>
    </row>
    <row r="193" spans="1:41" x14ac:dyDescent="0.25">
      <c r="A193" s="2">
        <v>5176376</v>
      </c>
      <c r="B193" s="522" t="s">
        <v>312</v>
      </c>
      <c r="C193" s="522">
        <v>2018</v>
      </c>
      <c r="D193" s="522" t="s">
        <v>297</v>
      </c>
      <c r="E193" s="522" t="s">
        <v>333</v>
      </c>
      <c r="F193" s="522" t="s">
        <v>299</v>
      </c>
      <c r="G193" s="522"/>
      <c r="H193" s="522" t="s">
        <v>346</v>
      </c>
      <c r="I193" s="522"/>
      <c r="J193" s="2" t="s">
        <v>301</v>
      </c>
      <c r="K193" s="522" t="str">
        <f t="shared" si="46"/>
        <v>8-hr TWA</v>
      </c>
      <c r="L193" s="522" t="s">
        <v>302</v>
      </c>
      <c r="M193" s="535">
        <v>39225</v>
      </c>
      <c r="N193" s="2">
        <v>480</v>
      </c>
      <c r="O193" s="2">
        <v>1</v>
      </c>
      <c r="P193" s="2"/>
      <c r="Q193" s="2"/>
      <c r="R193" s="2"/>
      <c r="S193" s="2"/>
      <c r="T193" s="2"/>
      <c r="U193" s="2"/>
      <c r="V193" s="2"/>
      <c r="W193" s="2">
        <v>0.19</v>
      </c>
      <c r="X193" s="444">
        <f t="shared" si="48"/>
        <v>0.13435028842544403</v>
      </c>
      <c r="Y193" s="2" t="str">
        <f t="shared" si="49"/>
        <v/>
      </c>
      <c r="Z193" s="2"/>
      <c r="AA193" s="2"/>
      <c r="AB193" s="2"/>
      <c r="AC193" s="2"/>
      <c r="AD193" s="537">
        <f t="shared" si="47"/>
        <v>1.1953292433537832</v>
      </c>
      <c r="AE193" s="536">
        <f t="shared" si="50"/>
        <v>0.84522541372604498</v>
      </c>
      <c r="AF193" s="536" t="str">
        <f t="shared" si="51"/>
        <v/>
      </c>
      <c r="AG193" s="537" t="str">
        <f t="shared" si="43"/>
        <v/>
      </c>
      <c r="AH193" s="537" t="str">
        <f t="shared" si="44"/>
        <v/>
      </c>
      <c r="AI193" s="525" t="str">
        <f t="shared" si="45"/>
        <v/>
      </c>
      <c r="AJ193" s="522"/>
      <c r="AK193" s="522" t="s">
        <v>315</v>
      </c>
      <c r="AL193" s="526" t="str">
        <f t="shared" si="52"/>
        <v/>
      </c>
      <c r="AM193" s="526" t="str">
        <f t="shared" si="53"/>
        <v/>
      </c>
      <c r="AN193" s="526" t="str">
        <f t="shared" si="54"/>
        <v/>
      </c>
      <c r="AO193" s="526" t="str">
        <f t="shared" si="55"/>
        <v/>
      </c>
    </row>
    <row r="194" spans="1:41" x14ac:dyDescent="0.25">
      <c r="A194" s="4">
        <v>5176376</v>
      </c>
      <c r="B194" s="554" t="s">
        <v>312</v>
      </c>
      <c r="C194" s="554">
        <v>2018</v>
      </c>
      <c r="D194" s="554" t="s">
        <v>297</v>
      </c>
      <c r="E194" s="554" t="s">
        <v>333</v>
      </c>
      <c r="F194" s="554" t="s">
        <v>299</v>
      </c>
      <c r="G194" s="554"/>
      <c r="H194" s="554" t="s">
        <v>350</v>
      </c>
      <c r="I194" s="557" t="s">
        <v>320</v>
      </c>
      <c r="J194" s="4" t="s">
        <v>301</v>
      </c>
      <c r="K194" s="554" t="str">
        <f t="shared" si="46"/>
        <v>8-hr TWA</v>
      </c>
      <c r="L194" s="554" t="s">
        <v>302</v>
      </c>
      <c r="M194" s="571">
        <v>39037</v>
      </c>
      <c r="N194" s="4">
        <v>480</v>
      </c>
      <c r="O194" s="4">
        <v>1</v>
      </c>
      <c r="P194" s="4"/>
      <c r="Q194" s="4"/>
      <c r="R194" s="4"/>
      <c r="S194" s="4"/>
      <c r="T194" s="4"/>
      <c r="U194" s="4"/>
      <c r="V194" s="4"/>
      <c r="W194" s="4">
        <v>0.19</v>
      </c>
      <c r="X194" s="566">
        <f t="shared" si="48"/>
        <v>0.13435028842544403</v>
      </c>
      <c r="Y194" s="4" t="str">
        <f t="shared" si="49"/>
        <v/>
      </c>
      <c r="Z194" s="4"/>
      <c r="AA194" s="4"/>
      <c r="AB194" s="4"/>
      <c r="AC194" s="4"/>
      <c r="AD194" s="559">
        <f t="shared" si="47"/>
        <v>1.1953292433537832</v>
      </c>
      <c r="AE194" s="566">
        <f t="shared" si="50"/>
        <v>0.84522541372604498</v>
      </c>
      <c r="AF194" s="566" t="str">
        <f t="shared" si="51"/>
        <v/>
      </c>
      <c r="AG194" s="537" t="str">
        <f t="shared" si="43"/>
        <v/>
      </c>
      <c r="AH194" s="537" t="str">
        <f t="shared" si="44"/>
        <v/>
      </c>
      <c r="AI194" s="525">
        <f t="shared" si="45"/>
        <v>0.84522541372604498</v>
      </c>
      <c r="AJ194" s="554"/>
      <c r="AK194" s="554" t="s">
        <v>315</v>
      </c>
      <c r="AL194" s="560" t="str">
        <f t="shared" si="52"/>
        <v/>
      </c>
      <c r="AM194" s="560" t="str">
        <f t="shared" si="53"/>
        <v/>
      </c>
      <c r="AN194" s="560" t="str">
        <f t="shared" si="54"/>
        <v/>
      </c>
      <c r="AO194" s="560" t="str">
        <f t="shared" si="55"/>
        <v/>
      </c>
    </row>
    <row r="195" spans="1:41" x14ac:dyDescent="0.25">
      <c r="A195" s="2">
        <v>5176376</v>
      </c>
      <c r="B195" s="522" t="s">
        <v>312</v>
      </c>
      <c r="C195" s="522">
        <v>2018</v>
      </c>
      <c r="D195" s="522" t="s">
        <v>297</v>
      </c>
      <c r="E195" s="522" t="s">
        <v>333</v>
      </c>
      <c r="F195" s="522" t="s">
        <v>299</v>
      </c>
      <c r="G195" s="522"/>
      <c r="H195" s="522" t="s">
        <v>350</v>
      </c>
      <c r="I195" s="522"/>
      <c r="J195" s="2" t="s">
        <v>301</v>
      </c>
      <c r="K195" s="522" t="str">
        <f t="shared" si="46"/>
        <v>8-hr TWA</v>
      </c>
      <c r="L195" s="522" t="s">
        <v>302</v>
      </c>
      <c r="M195" s="535">
        <v>39394</v>
      </c>
      <c r="N195" s="2">
        <v>480</v>
      </c>
      <c r="O195" s="2">
        <v>1</v>
      </c>
      <c r="P195" s="2"/>
      <c r="Q195" s="2"/>
      <c r="R195" s="2"/>
      <c r="S195" s="2"/>
      <c r="T195" s="2"/>
      <c r="U195" s="2"/>
      <c r="V195" s="2"/>
      <c r="W195" s="2">
        <v>0.19</v>
      </c>
      <c r="X195" s="444">
        <f t="shared" si="48"/>
        <v>0.13435028842544403</v>
      </c>
      <c r="Y195" s="2" t="str">
        <f t="shared" si="49"/>
        <v/>
      </c>
      <c r="Z195" s="2"/>
      <c r="AA195" s="2"/>
      <c r="AB195" s="2"/>
      <c r="AC195" s="2"/>
      <c r="AD195" s="537">
        <f t="shared" si="47"/>
        <v>1.1953292433537832</v>
      </c>
      <c r="AE195" s="536">
        <f t="shared" si="50"/>
        <v>0.84522541372604498</v>
      </c>
      <c r="AF195" s="536" t="str">
        <f t="shared" si="51"/>
        <v/>
      </c>
      <c r="AG195" s="537" t="str">
        <f t="shared" si="43"/>
        <v/>
      </c>
      <c r="AH195" s="537" t="str">
        <f t="shared" si="44"/>
        <v/>
      </c>
      <c r="AI195" s="525" t="str">
        <f t="shared" si="45"/>
        <v/>
      </c>
      <c r="AJ195" s="522"/>
      <c r="AK195" s="522" t="s">
        <v>315</v>
      </c>
      <c r="AL195" s="526" t="str">
        <f t="shared" si="52"/>
        <v/>
      </c>
      <c r="AM195" s="526" t="str">
        <f t="shared" si="53"/>
        <v/>
      </c>
      <c r="AN195" s="526" t="str">
        <f t="shared" si="54"/>
        <v/>
      </c>
      <c r="AO195" s="526" t="str">
        <f t="shared" si="55"/>
        <v/>
      </c>
    </row>
    <row r="196" spans="1:41" x14ac:dyDescent="0.25">
      <c r="A196" s="2">
        <v>5176376</v>
      </c>
      <c r="B196" s="522" t="s">
        <v>312</v>
      </c>
      <c r="C196" s="522">
        <v>2018</v>
      </c>
      <c r="D196" s="522" t="s">
        <v>297</v>
      </c>
      <c r="E196" s="522" t="s">
        <v>333</v>
      </c>
      <c r="F196" s="522" t="s">
        <v>299</v>
      </c>
      <c r="G196" s="522"/>
      <c r="H196" s="522" t="s">
        <v>350</v>
      </c>
      <c r="I196" s="522"/>
      <c r="J196" s="2" t="s">
        <v>301</v>
      </c>
      <c r="K196" s="522" t="str">
        <f t="shared" si="46"/>
        <v>8-hr TWA</v>
      </c>
      <c r="L196" s="522" t="s">
        <v>302</v>
      </c>
      <c r="M196" s="535">
        <v>39398</v>
      </c>
      <c r="N196" s="2">
        <v>480</v>
      </c>
      <c r="O196" s="2">
        <v>1</v>
      </c>
      <c r="P196" s="2"/>
      <c r="Q196" s="2"/>
      <c r="R196" s="2"/>
      <c r="S196" s="2"/>
      <c r="T196" s="2"/>
      <c r="U196" s="2"/>
      <c r="V196" s="2"/>
      <c r="W196" s="2">
        <v>0.19</v>
      </c>
      <c r="X196" s="444">
        <f t="shared" si="48"/>
        <v>0.13435028842544403</v>
      </c>
      <c r="Y196" s="2" t="str">
        <f t="shared" si="49"/>
        <v/>
      </c>
      <c r="Z196" s="2"/>
      <c r="AA196" s="2"/>
      <c r="AB196" s="2"/>
      <c r="AC196" s="2"/>
      <c r="AD196" s="537">
        <f t="shared" si="47"/>
        <v>1.1953292433537832</v>
      </c>
      <c r="AE196" s="536">
        <f t="shared" si="50"/>
        <v>0.84522541372604498</v>
      </c>
      <c r="AF196" s="536" t="str">
        <f t="shared" si="51"/>
        <v/>
      </c>
      <c r="AG196" s="537" t="str">
        <f t="shared" si="43"/>
        <v/>
      </c>
      <c r="AH196" s="537" t="str">
        <f t="shared" si="44"/>
        <v/>
      </c>
      <c r="AI196" s="525" t="str">
        <f t="shared" si="45"/>
        <v/>
      </c>
      <c r="AJ196" s="522"/>
      <c r="AK196" s="522" t="s">
        <v>315</v>
      </c>
      <c r="AL196" s="526" t="str">
        <f t="shared" si="52"/>
        <v/>
      </c>
      <c r="AM196" s="526" t="str">
        <f t="shared" si="53"/>
        <v/>
      </c>
      <c r="AN196" s="526" t="str">
        <f t="shared" si="54"/>
        <v/>
      </c>
      <c r="AO196" s="526" t="str">
        <f t="shared" si="55"/>
        <v/>
      </c>
    </row>
    <row r="197" spans="1:41" x14ac:dyDescent="0.25">
      <c r="A197" s="4">
        <v>5176376</v>
      </c>
      <c r="B197" s="554" t="s">
        <v>312</v>
      </c>
      <c r="C197" s="554">
        <v>2018</v>
      </c>
      <c r="D197" s="554" t="s">
        <v>297</v>
      </c>
      <c r="E197" s="554" t="s">
        <v>333</v>
      </c>
      <c r="F197" s="554" t="s">
        <v>299</v>
      </c>
      <c r="G197" s="554"/>
      <c r="H197" s="554" t="s">
        <v>336</v>
      </c>
      <c r="I197" s="557" t="s">
        <v>320</v>
      </c>
      <c r="J197" s="4" t="s">
        <v>301</v>
      </c>
      <c r="K197" s="554" t="str">
        <f t="shared" si="46"/>
        <v>8-hr TWA</v>
      </c>
      <c r="L197" s="554" t="s">
        <v>302</v>
      </c>
      <c r="M197" s="571">
        <v>39212</v>
      </c>
      <c r="N197" s="4">
        <v>480</v>
      </c>
      <c r="O197" s="4">
        <v>1</v>
      </c>
      <c r="P197" s="4"/>
      <c r="Q197" s="4"/>
      <c r="R197" s="4"/>
      <c r="S197" s="4"/>
      <c r="T197" s="4"/>
      <c r="U197" s="4"/>
      <c r="V197" s="4"/>
      <c r="W197" s="4">
        <v>0.9</v>
      </c>
      <c r="X197" s="566">
        <f t="shared" si="48"/>
        <v>0.63639610306789274</v>
      </c>
      <c r="Y197" s="4" t="str">
        <f t="shared" si="49"/>
        <v/>
      </c>
      <c r="Z197" s="4"/>
      <c r="AA197" s="4"/>
      <c r="AB197" s="4"/>
      <c r="AC197" s="4"/>
      <c r="AD197" s="559">
        <f t="shared" si="47"/>
        <v>5.6620858895705517</v>
      </c>
      <c r="AE197" s="559">
        <f t="shared" si="50"/>
        <v>4.003699328176002</v>
      </c>
      <c r="AF197" s="566" t="str">
        <f t="shared" si="51"/>
        <v/>
      </c>
      <c r="AG197" s="537" t="str">
        <f t="shared" si="43"/>
        <v/>
      </c>
      <c r="AH197" s="537" t="str">
        <f t="shared" si="44"/>
        <v/>
      </c>
      <c r="AI197" s="525">
        <f t="shared" si="45"/>
        <v>4.003699328176002</v>
      </c>
      <c r="AJ197" s="554"/>
      <c r="AK197" s="554" t="s">
        <v>315</v>
      </c>
      <c r="AL197" s="560" t="str">
        <f t="shared" si="52"/>
        <v/>
      </c>
      <c r="AM197" s="560" t="str">
        <f t="shared" si="53"/>
        <v/>
      </c>
      <c r="AN197" s="560" t="str">
        <f t="shared" si="54"/>
        <v/>
      </c>
      <c r="AO197" s="560" t="str">
        <f t="shared" si="55"/>
        <v/>
      </c>
    </row>
    <row r="198" spans="1:41" x14ac:dyDescent="0.25">
      <c r="A198" s="2">
        <v>5176376</v>
      </c>
      <c r="B198" s="522" t="s">
        <v>312</v>
      </c>
      <c r="C198" s="522">
        <v>2018</v>
      </c>
      <c r="D198" s="522" t="s">
        <v>297</v>
      </c>
      <c r="E198" s="522" t="s">
        <v>333</v>
      </c>
      <c r="F198" s="522" t="s">
        <v>299</v>
      </c>
      <c r="G198" s="522"/>
      <c r="H198" s="522" t="s">
        <v>339</v>
      </c>
      <c r="I198" s="522"/>
      <c r="J198" s="2" t="s">
        <v>301</v>
      </c>
      <c r="K198" s="522" t="str">
        <f t="shared" si="46"/>
        <v>12-hr TWA</v>
      </c>
      <c r="L198" s="522" t="s">
        <v>302</v>
      </c>
      <c r="M198" s="535">
        <v>38812</v>
      </c>
      <c r="N198" s="2">
        <v>720</v>
      </c>
      <c r="O198" s="2">
        <v>1</v>
      </c>
      <c r="P198" s="2"/>
      <c r="Q198" s="2"/>
      <c r="R198" s="2"/>
      <c r="S198" s="2"/>
      <c r="T198" s="2"/>
      <c r="U198" s="2"/>
      <c r="V198" s="2"/>
      <c r="W198" s="2">
        <v>0.19</v>
      </c>
      <c r="X198" s="444" t="str">
        <f t="shared" si="48"/>
        <v/>
      </c>
      <c r="Y198" s="2">
        <f t="shared" si="49"/>
        <v>9.5000000000000001E-2</v>
      </c>
      <c r="Z198" s="2"/>
      <c r="AA198" s="2"/>
      <c r="AB198" s="2"/>
      <c r="AC198" s="2"/>
      <c r="AD198" s="537">
        <f t="shared" si="47"/>
        <v>1.1953292433537832</v>
      </c>
      <c r="AE198" s="536" t="str">
        <f t="shared" si="50"/>
        <v/>
      </c>
      <c r="AF198" s="536">
        <f t="shared" si="51"/>
        <v>0.59766462167689161</v>
      </c>
      <c r="AG198" s="537" t="str">
        <f t="shared" si="43"/>
        <v/>
      </c>
      <c r="AH198" s="537" t="str">
        <f t="shared" si="44"/>
        <v/>
      </c>
      <c r="AI198" s="525" t="str">
        <f t="shared" si="45"/>
        <v/>
      </c>
      <c r="AJ198" s="522"/>
      <c r="AK198" s="522" t="s">
        <v>315</v>
      </c>
      <c r="AL198" s="526" t="str">
        <f t="shared" si="52"/>
        <v/>
      </c>
      <c r="AM198" s="526" t="str">
        <f t="shared" si="53"/>
        <v/>
      </c>
      <c r="AN198" s="526" t="str">
        <f t="shared" si="54"/>
        <v/>
      </c>
      <c r="AO198" s="526" t="str">
        <f t="shared" si="55"/>
        <v/>
      </c>
    </row>
    <row r="199" spans="1:41" x14ac:dyDescent="0.25">
      <c r="A199" s="2">
        <v>5176376</v>
      </c>
      <c r="B199" s="522" t="s">
        <v>312</v>
      </c>
      <c r="C199" s="522">
        <v>2018</v>
      </c>
      <c r="D199" s="522" t="s">
        <v>297</v>
      </c>
      <c r="E199" s="522" t="s">
        <v>333</v>
      </c>
      <c r="F199" s="522" t="s">
        <v>299</v>
      </c>
      <c r="G199" s="522"/>
      <c r="H199" s="522" t="s">
        <v>339</v>
      </c>
      <c r="I199" s="522"/>
      <c r="J199" s="2" t="s">
        <v>301</v>
      </c>
      <c r="K199" s="522" t="str">
        <f t="shared" si="46"/>
        <v>12-hr TWA</v>
      </c>
      <c r="L199" s="522" t="s">
        <v>302</v>
      </c>
      <c r="M199" s="535">
        <v>38813</v>
      </c>
      <c r="N199" s="2">
        <v>720</v>
      </c>
      <c r="O199" s="2">
        <v>1</v>
      </c>
      <c r="P199" s="2"/>
      <c r="Q199" s="2"/>
      <c r="R199" s="2"/>
      <c r="S199" s="2"/>
      <c r="T199" s="2"/>
      <c r="U199" s="2"/>
      <c r="V199" s="2"/>
      <c r="W199" s="2">
        <v>0.19</v>
      </c>
      <c r="X199" s="444" t="str">
        <f t="shared" si="48"/>
        <v/>
      </c>
      <c r="Y199" s="2">
        <f t="shared" si="49"/>
        <v>9.5000000000000001E-2</v>
      </c>
      <c r="Z199" s="2"/>
      <c r="AA199" s="2"/>
      <c r="AB199" s="2"/>
      <c r="AC199" s="2"/>
      <c r="AD199" s="537">
        <f t="shared" si="47"/>
        <v>1.1953292433537832</v>
      </c>
      <c r="AE199" s="536" t="str">
        <f t="shared" si="50"/>
        <v/>
      </c>
      <c r="AF199" s="536">
        <f t="shared" si="51"/>
        <v>0.59766462167689161</v>
      </c>
      <c r="AG199" s="537" t="str">
        <f t="shared" si="43"/>
        <v/>
      </c>
      <c r="AH199" s="537" t="str">
        <f t="shared" si="44"/>
        <v/>
      </c>
      <c r="AI199" s="525" t="str">
        <f t="shared" si="45"/>
        <v/>
      </c>
      <c r="AJ199" s="522"/>
      <c r="AK199" s="522" t="s">
        <v>315</v>
      </c>
      <c r="AL199" s="526" t="str">
        <f t="shared" si="52"/>
        <v/>
      </c>
      <c r="AM199" s="526" t="str">
        <f t="shared" si="53"/>
        <v/>
      </c>
      <c r="AN199" s="526" t="str">
        <f t="shared" si="54"/>
        <v/>
      </c>
      <c r="AO199" s="526" t="str">
        <f t="shared" si="55"/>
        <v/>
      </c>
    </row>
    <row r="200" spans="1:41" x14ac:dyDescent="0.25">
      <c r="A200" s="2">
        <v>5176376</v>
      </c>
      <c r="B200" s="522" t="s">
        <v>312</v>
      </c>
      <c r="C200" s="522">
        <v>2018</v>
      </c>
      <c r="D200" s="522" t="s">
        <v>297</v>
      </c>
      <c r="E200" s="522" t="s">
        <v>333</v>
      </c>
      <c r="F200" s="522" t="s">
        <v>299</v>
      </c>
      <c r="G200" s="522"/>
      <c r="H200" s="522" t="s">
        <v>340</v>
      </c>
      <c r="I200" s="522"/>
      <c r="J200" s="2" t="s">
        <v>301</v>
      </c>
      <c r="K200" s="522" t="str">
        <f t="shared" si="46"/>
        <v>12-hr TWA</v>
      </c>
      <c r="L200" s="522" t="s">
        <v>302</v>
      </c>
      <c r="M200" s="535">
        <v>38940</v>
      </c>
      <c r="N200" s="2">
        <v>720</v>
      </c>
      <c r="O200" s="2">
        <v>1</v>
      </c>
      <c r="P200" s="2"/>
      <c r="Q200" s="2"/>
      <c r="R200" s="2"/>
      <c r="S200" s="2"/>
      <c r="T200" s="2"/>
      <c r="U200" s="2"/>
      <c r="V200" s="2"/>
      <c r="W200" s="444">
        <v>0.2</v>
      </c>
      <c r="X200" s="444" t="str">
        <f t="shared" si="48"/>
        <v/>
      </c>
      <c r="Y200" s="444">
        <f t="shared" si="49"/>
        <v>0.1</v>
      </c>
      <c r="Z200" s="2"/>
      <c r="AA200" s="2"/>
      <c r="AB200" s="2"/>
      <c r="AC200" s="2"/>
      <c r="AD200" s="537">
        <f t="shared" si="47"/>
        <v>1.2582413087934561</v>
      </c>
      <c r="AE200" s="536" t="str">
        <f t="shared" si="50"/>
        <v/>
      </c>
      <c r="AF200" s="536">
        <f t="shared" si="51"/>
        <v>0.62912065439672804</v>
      </c>
      <c r="AG200" s="537" t="str">
        <f t="shared" si="43"/>
        <v/>
      </c>
      <c r="AH200" s="537" t="str">
        <f t="shared" si="44"/>
        <v/>
      </c>
      <c r="AI200" s="525" t="str">
        <f t="shared" si="45"/>
        <v/>
      </c>
      <c r="AJ200" s="522"/>
      <c r="AK200" s="522" t="s">
        <v>315</v>
      </c>
      <c r="AL200" s="526" t="str">
        <f t="shared" si="52"/>
        <v/>
      </c>
      <c r="AM200" s="526" t="str">
        <f t="shared" si="53"/>
        <v/>
      </c>
      <c r="AN200" s="526" t="str">
        <f t="shared" si="54"/>
        <v/>
      </c>
      <c r="AO200" s="526" t="str">
        <f t="shared" si="55"/>
        <v/>
      </c>
    </row>
    <row r="201" spans="1:41" x14ac:dyDescent="0.25">
      <c r="A201" s="4">
        <v>5176376</v>
      </c>
      <c r="B201" s="554" t="s">
        <v>312</v>
      </c>
      <c r="C201" s="554">
        <v>2018</v>
      </c>
      <c r="D201" s="554" t="s">
        <v>297</v>
      </c>
      <c r="E201" s="554" t="s">
        <v>333</v>
      </c>
      <c r="F201" s="554" t="s">
        <v>299</v>
      </c>
      <c r="G201" s="554"/>
      <c r="H201" s="554" t="s">
        <v>350</v>
      </c>
      <c r="I201" s="557" t="s">
        <v>320</v>
      </c>
      <c r="J201" s="4" t="s">
        <v>301</v>
      </c>
      <c r="K201" s="554" t="str">
        <f t="shared" si="46"/>
        <v>8-hr TWA</v>
      </c>
      <c r="L201" s="554" t="s">
        <v>302</v>
      </c>
      <c r="M201" s="571">
        <v>39048</v>
      </c>
      <c r="N201" s="4">
        <v>480</v>
      </c>
      <c r="O201" s="4">
        <v>1</v>
      </c>
      <c r="P201" s="4"/>
      <c r="Q201" s="4"/>
      <c r="R201" s="4"/>
      <c r="S201" s="4"/>
      <c r="T201" s="4"/>
      <c r="U201" s="4"/>
      <c r="V201" s="4"/>
      <c r="W201" s="566">
        <v>0.2</v>
      </c>
      <c r="X201" s="566">
        <f t="shared" si="48"/>
        <v>0.1414213562373095</v>
      </c>
      <c r="Y201" s="4" t="str">
        <f t="shared" si="49"/>
        <v/>
      </c>
      <c r="Z201" s="4"/>
      <c r="AA201" s="4"/>
      <c r="AB201" s="4"/>
      <c r="AC201" s="4"/>
      <c r="AD201" s="559">
        <f t="shared" si="47"/>
        <v>1.2582413087934561</v>
      </c>
      <c r="AE201" s="566">
        <f t="shared" si="50"/>
        <v>0.88971096181688947</v>
      </c>
      <c r="AF201" s="566" t="str">
        <f t="shared" si="51"/>
        <v/>
      </c>
      <c r="AG201" s="537" t="str">
        <f t="shared" si="43"/>
        <v/>
      </c>
      <c r="AH201" s="537" t="str">
        <f t="shared" si="44"/>
        <v/>
      </c>
      <c r="AI201" s="525">
        <f t="shared" si="45"/>
        <v>0.88971096181688947</v>
      </c>
      <c r="AJ201" s="554"/>
      <c r="AK201" s="554" t="s">
        <v>315</v>
      </c>
      <c r="AL201" s="560" t="str">
        <f t="shared" si="52"/>
        <v/>
      </c>
      <c r="AM201" s="560" t="str">
        <f t="shared" si="53"/>
        <v/>
      </c>
      <c r="AN201" s="560" t="str">
        <f t="shared" si="54"/>
        <v/>
      </c>
      <c r="AO201" s="560" t="str">
        <f t="shared" si="55"/>
        <v/>
      </c>
    </row>
    <row r="202" spans="1:41" x14ac:dyDescent="0.25">
      <c r="A202" s="2">
        <v>5176376</v>
      </c>
      <c r="B202" s="522" t="s">
        <v>312</v>
      </c>
      <c r="C202" s="522">
        <v>2018</v>
      </c>
      <c r="D202" s="522" t="s">
        <v>297</v>
      </c>
      <c r="E202" s="522" t="s">
        <v>333</v>
      </c>
      <c r="F202" s="522" t="s">
        <v>299</v>
      </c>
      <c r="G202" s="522"/>
      <c r="H202" s="522" t="s">
        <v>350</v>
      </c>
      <c r="I202" s="522"/>
      <c r="J202" s="2" t="s">
        <v>301</v>
      </c>
      <c r="K202" s="522" t="str">
        <f t="shared" si="46"/>
        <v>8-hr TWA</v>
      </c>
      <c r="L202" s="522" t="s">
        <v>302</v>
      </c>
      <c r="M202" s="535">
        <v>39395</v>
      </c>
      <c r="N202" s="2">
        <v>480</v>
      </c>
      <c r="O202" s="2">
        <v>1</v>
      </c>
      <c r="P202" s="2"/>
      <c r="Q202" s="2"/>
      <c r="R202" s="2"/>
      <c r="S202" s="2"/>
      <c r="T202" s="2"/>
      <c r="U202" s="2"/>
      <c r="V202" s="2"/>
      <c r="W202" s="444">
        <v>0.2</v>
      </c>
      <c r="X202" s="444">
        <f t="shared" si="48"/>
        <v>0.1414213562373095</v>
      </c>
      <c r="Y202" s="2" t="str">
        <f t="shared" si="49"/>
        <v/>
      </c>
      <c r="Z202" s="2"/>
      <c r="AA202" s="2"/>
      <c r="AB202" s="2"/>
      <c r="AC202" s="2"/>
      <c r="AD202" s="537">
        <f t="shared" si="47"/>
        <v>1.2582413087934561</v>
      </c>
      <c r="AE202" s="536">
        <f t="shared" si="50"/>
        <v>0.88971096181688947</v>
      </c>
      <c r="AF202" s="536" t="str">
        <f t="shared" si="51"/>
        <v/>
      </c>
      <c r="AG202" s="537" t="str">
        <f t="shared" si="43"/>
        <v/>
      </c>
      <c r="AH202" s="537" t="str">
        <f t="shared" si="44"/>
        <v/>
      </c>
      <c r="AI202" s="525" t="str">
        <f t="shared" si="45"/>
        <v/>
      </c>
      <c r="AJ202" s="522"/>
      <c r="AK202" s="522" t="s">
        <v>315</v>
      </c>
      <c r="AL202" s="526" t="str">
        <f t="shared" si="52"/>
        <v/>
      </c>
      <c r="AM202" s="526" t="str">
        <f t="shared" si="53"/>
        <v/>
      </c>
      <c r="AN202" s="526" t="str">
        <f t="shared" si="54"/>
        <v/>
      </c>
      <c r="AO202" s="526" t="str">
        <f t="shared" si="55"/>
        <v/>
      </c>
    </row>
    <row r="203" spans="1:41" x14ac:dyDescent="0.25">
      <c r="A203" s="4">
        <v>5176376</v>
      </c>
      <c r="B203" s="554" t="s">
        <v>312</v>
      </c>
      <c r="C203" s="554">
        <v>2018</v>
      </c>
      <c r="D203" s="554" t="s">
        <v>297</v>
      </c>
      <c r="E203" s="554" t="s">
        <v>333</v>
      </c>
      <c r="F203" s="554" t="s">
        <v>299</v>
      </c>
      <c r="G203" s="554"/>
      <c r="H203" s="554" t="s">
        <v>336</v>
      </c>
      <c r="I203" s="557" t="s">
        <v>320</v>
      </c>
      <c r="J203" s="4" t="s">
        <v>301</v>
      </c>
      <c r="K203" s="554" t="str">
        <f t="shared" si="46"/>
        <v>8-hr TWA</v>
      </c>
      <c r="L203" s="554" t="s">
        <v>302</v>
      </c>
      <c r="M203" s="571">
        <v>38811</v>
      </c>
      <c r="N203" s="4">
        <v>480</v>
      </c>
      <c r="O203" s="4">
        <v>1</v>
      </c>
      <c r="P203" s="4"/>
      <c r="Q203" s="4"/>
      <c r="R203" s="4"/>
      <c r="S203" s="4"/>
      <c r="T203" s="4"/>
      <c r="U203" s="4"/>
      <c r="V203" s="4"/>
      <c r="W203" s="566">
        <v>0.2</v>
      </c>
      <c r="X203" s="566">
        <f t="shared" si="48"/>
        <v>0.1414213562373095</v>
      </c>
      <c r="Y203" s="4" t="str">
        <f t="shared" si="49"/>
        <v/>
      </c>
      <c r="Z203" s="4"/>
      <c r="AA203" s="4"/>
      <c r="AB203" s="4"/>
      <c r="AC203" s="4"/>
      <c r="AD203" s="559">
        <f t="shared" si="47"/>
        <v>1.2582413087934561</v>
      </c>
      <c r="AE203" s="566">
        <f t="shared" si="50"/>
        <v>0.88971096181688947</v>
      </c>
      <c r="AF203" s="566" t="str">
        <f t="shared" si="51"/>
        <v/>
      </c>
      <c r="AG203" s="537" t="str">
        <f t="shared" si="43"/>
        <v/>
      </c>
      <c r="AH203" s="537" t="str">
        <f t="shared" si="44"/>
        <v/>
      </c>
      <c r="AI203" s="525">
        <f t="shared" si="45"/>
        <v>0.88971096181688947</v>
      </c>
      <c r="AJ203" s="554"/>
      <c r="AK203" s="554" t="s">
        <v>315</v>
      </c>
      <c r="AL203" s="560" t="str">
        <f t="shared" si="52"/>
        <v/>
      </c>
      <c r="AM203" s="560" t="str">
        <f t="shared" si="53"/>
        <v/>
      </c>
      <c r="AN203" s="560" t="str">
        <f t="shared" si="54"/>
        <v/>
      </c>
      <c r="AO203" s="560" t="str">
        <f t="shared" si="55"/>
        <v/>
      </c>
    </row>
    <row r="204" spans="1:41" x14ac:dyDescent="0.25">
      <c r="A204" s="2">
        <v>5176376</v>
      </c>
      <c r="B204" s="522" t="s">
        <v>312</v>
      </c>
      <c r="C204" s="522">
        <v>2018</v>
      </c>
      <c r="D204" s="522" t="s">
        <v>297</v>
      </c>
      <c r="E204" s="522" t="s">
        <v>333</v>
      </c>
      <c r="F204" s="522" t="s">
        <v>299</v>
      </c>
      <c r="G204" s="522"/>
      <c r="H204" s="522" t="s">
        <v>339</v>
      </c>
      <c r="I204" s="522"/>
      <c r="J204" s="2" t="s">
        <v>301</v>
      </c>
      <c r="K204" s="522" t="str">
        <f t="shared" si="46"/>
        <v>12-hr TWA</v>
      </c>
      <c r="L204" s="522" t="s">
        <v>302</v>
      </c>
      <c r="M204" s="535">
        <v>38811</v>
      </c>
      <c r="N204" s="2">
        <v>720</v>
      </c>
      <c r="O204" s="2">
        <v>1</v>
      </c>
      <c r="P204" s="2"/>
      <c r="Q204" s="2"/>
      <c r="R204" s="2"/>
      <c r="S204" s="2"/>
      <c r="T204" s="2"/>
      <c r="U204" s="2"/>
      <c r="V204" s="2"/>
      <c r="W204" s="444">
        <v>0.2</v>
      </c>
      <c r="X204" s="2" t="str">
        <f t="shared" si="48"/>
        <v/>
      </c>
      <c r="Y204" s="444">
        <f t="shared" si="49"/>
        <v>0.1</v>
      </c>
      <c r="Z204" s="2"/>
      <c r="AA204" s="2"/>
      <c r="AB204" s="2"/>
      <c r="AC204" s="2"/>
      <c r="AD204" s="537">
        <f t="shared" si="47"/>
        <v>1.2582413087934561</v>
      </c>
      <c r="AE204" s="537" t="str">
        <f t="shared" si="50"/>
        <v/>
      </c>
      <c r="AF204" s="536">
        <f t="shared" si="51"/>
        <v>0.62912065439672804</v>
      </c>
      <c r="AG204" s="537" t="str">
        <f t="shared" ref="AG204:AG267" si="56">IF($K204="8-hr TWA", IF(J204="ONU",W204*MolW/MolVol,""),"")</f>
        <v/>
      </c>
      <c r="AH204" s="537" t="str">
        <f t="shared" ref="AH204:AH267" si="57">IF($K204="12-hr TWA", IF(J204="ONU",W204*MolW/MolVol,""),"")</f>
        <v/>
      </c>
      <c r="AI204" s="525" t="str">
        <f t="shared" ref="AI204:AI267" si="58">IF($K204="8-hr TWA", IF(I204="Y",X204*MolW/MolVol,""),"")</f>
        <v/>
      </c>
      <c r="AJ204" s="522"/>
      <c r="AK204" s="522" t="s">
        <v>315</v>
      </c>
      <c r="AL204" s="526" t="str">
        <f t="shared" si="52"/>
        <v/>
      </c>
      <c r="AM204" s="526" t="str">
        <f t="shared" si="53"/>
        <v/>
      </c>
      <c r="AN204" s="526" t="str">
        <f t="shared" si="54"/>
        <v/>
      </c>
      <c r="AO204" s="526" t="str">
        <f t="shared" si="55"/>
        <v/>
      </c>
    </row>
    <row r="205" spans="1:41" x14ac:dyDescent="0.25">
      <c r="A205" s="2">
        <v>5176376</v>
      </c>
      <c r="B205" s="522" t="s">
        <v>312</v>
      </c>
      <c r="C205" s="522">
        <v>2018</v>
      </c>
      <c r="D205" s="522" t="s">
        <v>297</v>
      </c>
      <c r="E205" s="522" t="s">
        <v>333</v>
      </c>
      <c r="F205" s="522" t="s">
        <v>299</v>
      </c>
      <c r="G205" s="522"/>
      <c r="H205" s="522" t="s">
        <v>339</v>
      </c>
      <c r="I205" s="522"/>
      <c r="J205" s="2" t="s">
        <v>301</v>
      </c>
      <c r="K205" s="522" t="str">
        <f t="shared" si="46"/>
        <v>12-hr TWA</v>
      </c>
      <c r="L205" s="522" t="s">
        <v>302</v>
      </c>
      <c r="M205" s="535">
        <v>38813</v>
      </c>
      <c r="N205" s="2">
        <v>720</v>
      </c>
      <c r="O205" s="2">
        <v>1</v>
      </c>
      <c r="P205" s="2"/>
      <c r="Q205" s="2"/>
      <c r="R205" s="2"/>
      <c r="S205" s="2"/>
      <c r="T205" s="2"/>
      <c r="U205" s="2"/>
      <c r="V205" s="2"/>
      <c r="W205" s="444">
        <v>0.2</v>
      </c>
      <c r="X205" s="2" t="str">
        <f t="shared" si="48"/>
        <v/>
      </c>
      <c r="Y205" s="444">
        <f t="shared" si="49"/>
        <v>0.1</v>
      </c>
      <c r="Z205" s="2"/>
      <c r="AA205" s="2"/>
      <c r="AB205" s="2"/>
      <c r="AC205" s="2"/>
      <c r="AD205" s="537">
        <f t="shared" si="47"/>
        <v>1.2582413087934561</v>
      </c>
      <c r="AE205" s="537" t="str">
        <f t="shared" si="50"/>
        <v/>
      </c>
      <c r="AF205" s="536">
        <f t="shared" si="51"/>
        <v>0.62912065439672804</v>
      </c>
      <c r="AG205" s="537" t="str">
        <f t="shared" si="56"/>
        <v/>
      </c>
      <c r="AH205" s="537" t="str">
        <f t="shared" si="57"/>
        <v/>
      </c>
      <c r="AI205" s="525" t="str">
        <f t="shared" si="58"/>
        <v/>
      </c>
      <c r="AJ205" s="522"/>
      <c r="AK205" s="522" t="s">
        <v>315</v>
      </c>
      <c r="AL205" s="526" t="str">
        <f t="shared" si="52"/>
        <v/>
      </c>
      <c r="AM205" s="526" t="str">
        <f t="shared" si="53"/>
        <v/>
      </c>
      <c r="AN205" s="526" t="str">
        <f t="shared" si="54"/>
        <v/>
      </c>
      <c r="AO205" s="526" t="str">
        <f t="shared" si="55"/>
        <v/>
      </c>
    </row>
    <row r="206" spans="1:41" x14ac:dyDescent="0.25">
      <c r="A206" s="3">
        <v>5176376</v>
      </c>
      <c r="B206" s="454" t="s">
        <v>312</v>
      </c>
      <c r="C206" s="454">
        <v>2018</v>
      </c>
      <c r="D206" s="454" t="s">
        <v>297</v>
      </c>
      <c r="E206" s="454" t="s">
        <v>333</v>
      </c>
      <c r="F206" s="454" t="s">
        <v>299</v>
      </c>
      <c r="G206" s="454"/>
      <c r="H206" s="454" t="s">
        <v>352</v>
      </c>
      <c r="I206" s="454"/>
      <c r="J206" s="3" t="s">
        <v>41</v>
      </c>
      <c r="K206" s="454" t="str">
        <f t="shared" si="46"/>
        <v>12-hr TWA</v>
      </c>
      <c r="L206" s="454" t="s">
        <v>302</v>
      </c>
      <c r="M206" s="572">
        <v>38951</v>
      </c>
      <c r="N206" s="3">
        <v>720</v>
      </c>
      <c r="O206" s="3">
        <v>1</v>
      </c>
      <c r="P206" s="3"/>
      <c r="Q206" s="3"/>
      <c r="R206" s="3"/>
      <c r="S206" s="3"/>
      <c r="T206" s="3"/>
      <c r="U206" s="3"/>
      <c r="V206" s="3"/>
      <c r="W206" s="574">
        <v>0.2</v>
      </c>
      <c r="X206" s="3"/>
      <c r="Y206" s="574"/>
      <c r="Z206" s="2"/>
      <c r="AA206" s="2"/>
      <c r="AB206" s="2"/>
      <c r="AC206" s="2"/>
      <c r="AD206" s="537">
        <f t="shared" si="47"/>
        <v>1.2582413087934561</v>
      </c>
      <c r="AE206" s="537"/>
      <c r="AF206" s="536"/>
      <c r="AG206" s="537" t="str">
        <f t="shared" si="56"/>
        <v/>
      </c>
      <c r="AH206" s="537">
        <f t="shared" si="57"/>
        <v>1.2582413087934561</v>
      </c>
      <c r="AI206" s="525" t="str">
        <f t="shared" si="58"/>
        <v/>
      </c>
      <c r="AJ206" s="522"/>
      <c r="AK206" s="522" t="s">
        <v>315</v>
      </c>
      <c r="AL206" s="526"/>
      <c r="AM206" s="526"/>
      <c r="AN206" s="526"/>
      <c r="AO206" s="526"/>
    </row>
    <row r="207" spans="1:41" x14ac:dyDescent="0.25">
      <c r="A207" s="2">
        <v>5176376</v>
      </c>
      <c r="B207" s="522" t="s">
        <v>312</v>
      </c>
      <c r="C207" s="522">
        <v>2018</v>
      </c>
      <c r="D207" s="522" t="s">
        <v>297</v>
      </c>
      <c r="E207" s="522" t="s">
        <v>333</v>
      </c>
      <c r="F207" s="522" t="s">
        <v>299</v>
      </c>
      <c r="G207" s="522"/>
      <c r="H207" s="522" t="s">
        <v>340</v>
      </c>
      <c r="I207" s="522"/>
      <c r="J207" s="2" t="s">
        <v>301</v>
      </c>
      <c r="K207" s="522" t="str">
        <f t="shared" si="46"/>
        <v>12-hr TWA</v>
      </c>
      <c r="L207" s="522" t="s">
        <v>302</v>
      </c>
      <c r="M207" s="535">
        <v>38918</v>
      </c>
      <c r="N207" s="2">
        <v>720</v>
      </c>
      <c r="O207" s="2">
        <v>1</v>
      </c>
      <c r="P207" s="2"/>
      <c r="Q207" s="2"/>
      <c r="R207" s="2"/>
      <c r="S207" s="2"/>
      <c r="T207" s="2"/>
      <c r="U207" s="2"/>
      <c r="V207" s="2"/>
      <c r="W207" s="2">
        <v>0.21</v>
      </c>
      <c r="X207" s="2" t="str">
        <f>IF($K207="8-hr TWA", IF($N207&lt;480,IF($AK207="ND",IF($AR$9&lt;3,($W207/SQRT(2))*$N207/480, ($W207/2)*$N207/480),$W207*$N207/480),IF($AK207="ND",IF($AR$9&lt;3,($W207/SQRT(2)), ($W207/2)),$W207)),"")</f>
        <v/>
      </c>
      <c r="Y207" s="444">
        <f>IF($K207="12-hr TWA", IF($N207&lt;720,IF($AK207="ND",IF($AS$9&lt;3,($W207/SQRT(2))*$N207/720, ($W207/2)*$N207/720),$W207*$N207/720),IF($AK207="ND",IF($AS$9&lt;3,($W207/SQRT(2)), ($W207/2)),$W207)),"")</f>
        <v>0.105</v>
      </c>
      <c r="Z207" s="2"/>
      <c r="AA207" s="2"/>
      <c r="AB207" s="2"/>
      <c r="AC207" s="2"/>
      <c r="AD207" s="537">
        <f t="shared" si="47"/>
        <v>1.3211533742331287</v>
      </c>
      <c r="AE207" s="537" t="str">
        <f>+IFERROR(X207*MolW/MolVol,"")</f>
        <v/>
      </c>
      <c r="AF207" s="536">
        <f>+IFERROR(Y207*MolW/MolVol,"")</f>
        <v>0.66057668711656436</v>
      </c>
      <c r="AG207" s="537" t="str">
        <f t="shared" si="56"/>
        <v/>
      </c>
      <c r="AH207" s="537" t="str">
        <f t="shared" si="57"/>
        <v/>
      </c>
      <c r="AI207" s="525" t="str">
        <f t="shared" si="58"/>
        <v/>
      </c>
      <c r="AJ207" s="522"/>
      <c r="AK207" s="522" t="s">
        <v>315</v>
      </c>
      <c r="AL207" s="526" t="str">
        <f>IF($K207="8-hr TWA", IF($AK207&lt;&gt;"ND", IF($N207&lt;480, $W207*$N207/480,$W207),""),"")</f>
        <v/>
      </c>
      <c r="AM207" s="526" t="str">
        <f>+IFERROR(LN(AL207), "")</f>
        <v/>
      </c>
      <c r="AN207" s="526" t="str">
        <f>IF($K207="12-hr TWA", IF($AK207&lt;&gt;"ND", IF($N207&lt;720, $W207*$N207/720,$W207),""),"")</f>
        <v/>
      </c>
      <c r="AO207" s="526" t="str">
        <f>+IFERROR(LN(AN207), "")</f>
        <v/>
      </c>
    </row>
    <row r="208" spans="1:41" x14ac:dyDescent="0.25">
      <c r="A208" s="3">
        <v>5176376</v>
      </c>
      <c r="B208" s="454" t="s">
        <v>312</v>
      </c>
      <c r="C208" s="454">
        <v>2018</v>
      </c>
      <c r="D208" s="454" t="s">
        <v>297</v>
      </c>
      <c r="E208" s="454" t="s">
        <v>333</v>
      </c>
      <c r="F208" s="454" t="s">
        <v>299</v>
      </c>
      <c r="G208" s="454"/>
      <c r="H208" s="454" t="s">
        <v>352</v>
      </c>
      <c r="I208" s="454"/>
      <c r="J208" s="3" t="s">
        <v>41</v>
      </c>
      <c r="K208" s="454" t="str">
        <f t="shared" si="46"/>
        <v>12-hr TWA</v>
      </c>
      <c r="L208" s="454" t="s">
        <v>302</v>
      </c>
      <c r="M208" s="572">
        <v>38953</v>
      </c>
      <c r="N208" s="3">
        <v>720</v>
      </c>
      <c r="O208" s="3">
        <v>1</v>
      </c>
      <c r="P208" s="3"/>
      <c r="Q208" s="3"/>
      <c r="R208" s="3"/>
      <c r="S208" s="3"/>
      <c r="T208" s="3"/>
      <c r="U208" s="3"/>
      <c r="V208" s="3"/>
      <c r="W208" s="3">
        <v>0.21</v>
      </c>
      <c r="X208" s="3"/>
      <c r="Y208" s="574"/>
      <c r="Z208" s="2"/>
      <c r="AA208" s="2"/>
      <c r="AB208" s="2"/>
      <c r="AC208" s="2"/>
      <c r="AD208" s="537">
        <f t="shared" si="47"/>
        <v>1.3211533742331287</v>
      </c>
      <c r="AE208" s="537"/>
      <c r="AF208" s="536"/>
      <c r="AG208" s="537" t="str">
        <f t="shared" si="56"/>
        <v/>
      </c>
      <c r="AH208" s="537">
        <f t="shared" si="57"/>
        <v>1.3211533742331287</v>
      </c>
      <c r="AI208" s="525" t="str">
        <f t="shared" si="58"/>
        <v/>
      </c>
      <c r="AJ208" s="522"/>
      <c r="AK208" s="522" t="s">
        <v>315</v>
      </c>
      <c r="AL208" s="526"/>
      <c r="AM208" s="526"/>
      <c r="AN208" s="526"/>
      <c r="AO208" s="526"/>
    </row>
    <row r="209" spans="1:41" x14ac:dyDescent="0.25">
      <c r="A209" s="2">
        <v>5176376</v>
      </c>
      <c r="B209" s="522" t="s">
        <v>312</v>
      </c>
      <c r="C209" s="522">
        <v>2018</v>
      </c>
      <c r="D209" s="522" t="s">
        <v>297</v>
      </c>
      <c r="E209" s="522" t="s">
        <v>333</v>
      </c>
      <c r="F209" s="522" t="s">
        <v>299</v>
      </c>
      <c r="G209" s="522"/>
      <c r="H209" s="522" t="s">
        <v>343</v>
      </c>
      <c r="I209" s="522"/>
      <c r="J209" s="2" t="s">
        <v>301</v>
      </c>
      <c r="K209" s="522" t="str">
        <f t="shared" si="46"/>
        <v>12-hr TWA</v>
      </c>
      <c r="L209" s="522" t="s">
        <v>302</v>
      </c>
      <c r="M209" s="535">
        <v>38951</v>
      </c>
      <c r="N209" s="2">
        <v>720</v>
      </c>
      <c r="O209" s="2">
        <v>1</v>
      </c>
      <c r="P209" s="2"/>
      <c r="Q209" s="2"/>
      <c r="R209" s="2"/>
      <c r="S209" s="2"/>
      <c r="T209" s="2"/>
      <c r="U209" s="2"/>
      <c r="V209" s="2"/>
      <c r="W209" s="2">
        <v>0.21</v>
      </c>
      <c r="X209" s="2" t="str">
        <f t="shared" ref="X209:X240" si="59">IF($K209="8-hr TWA", IF($N209&lt;480,IF($AK209="ND",IF($AR$9&lt;3,($W209/SQRT(2))*$N209/480, ($W209/2)*$N209/480),$W209*$N209/480),IF($AK209="ND",IF($AR$9&lt;3,($W209/SQRT(2)), ($W209/2)),$W209)),"")</f>
        <v/>
      </c>
      <c r="Y209" s="444">
        <f t="shared" ref="Y209:Y240" si="60">IF($K209="12-hr TWA", IF($N209&lt;720,IF($AK209="ND",IF($AS$9&lt;3,($W209/SQRT(2))*$N209/720, ($W209/2)*$N209/720),$W209*$N209/720),IF($AK209="ND",IF($AS$9&lt;3,($W209/SQRT(2)), ($W209/2)),$W209)),"")</f>
        <v>0.105</v>
      </c>
      <c r="Z209" s="2"/>
      <c r="AA209" s="2"/>
      <c r="AB209" s="2"/>
      <c r="AC209" s="2"/>
      <c r="AD209" s="537">
        <f t="shared" si="47"/>
        <v>1.3211533742331287</v>
      </c>
      <c r="AE209" s="537" t="str">
        <f t="shared" ref="AE209:AE240" si="61">+IFERROR(X209*MolW/MolVol,"")</f>
        <v/>
      </c>
      <c r="AF209" s="536">
        <f t="shared" ref="AF209:AF240" si="62">+IFERROR(Y209*MolW/MolVol,"")</f>
        <v>0.66057668711656436</v>
      </c>
      <c r="AG209" s="537" t="str">
        <f t="shared" si="56"/>
        <v/>
      </c>
      <c r="AH209" s="537" t="str">
        <f t="shared" si="57"/>
        <v/>
      </c>
      <c r="AI209" s="525" t="str">
        <f t="shared" si="58"/>
        <v/>
      </c>
      <c r="AJ209" s="522"/>
      <c r="AK209" s="522" t="s">
        <v>315</v>
      </c>
      <c r="AL209" s="526" t="str">
        <f t="shared" ref="AL209:AL240" si="63">IF($K209="8-hr TWA", IF($AK209&lt;&gt;"ND", IF($N209&lt;480, $W209*$N209/480,$W209),""),"")</f>
        <v/>
      </c>
      <c r="AM209" s="526" t="str">
        <f t="shared" ref="AM209:AM240" si="64">+IFERROR(LN(AL209), "")</f>
        <v/>
      </c>
      <c r="AN209" s="526" t="str">
        <f t="shared" ref="AN209:AN240" si="65">IF($K209="12-hr TWA", IF($AK209&lt;&gt;"ND", IF($N209&lt;720, $W209*$N209/720,$W209),""),"")</f>
        <v/>
      </c>
      <c r="AO209" s="526" t="str">
        <f t="shared" ref="AO209:AO240" si="66">+IFERROR(LN(AN209), "")</f>
        <v/>
      </c>
    </row>
    <row r="210" spans="1:41" x14ac:dyDescent="0.25">
      <c r="A210" s="2">
        <v>5176376</v>
      </c>
      <c r="B210" s="522" t="s">
        <v>312</v>
      </c>
      <c r="C210" s="522">
        <v>2018</v>
      </c>
      <c r="D210" s="522" t="s">
        <v>297</v>
      </c>
      <c r="E210" s="522" t="s">
        <v>333</v>
      </c>
      <c r="F210" s="522" t="s">
        <v>299</v>
      </c>
      <c r="G210" s="522"/>
      <c r="H210" s="522" t="s">
        <v>339</v>
      </c>
      <c r="I210" s="522"/>
      <c r="J210" s="2" t="s">
        <v>301</v>
      </c>
      <c r="K210" s="522" t="str">
        <f t="shared" si="46"/>
        <v>12-hr TWA</v>
      </c>
      <c r="L210" s="522" t="s">
        <v>302</v>
      </c>
      <c r="M210" s="535">
        <v>38811</v>
      </c>
      <c r="N210" s="2">
        <v>720</v>
      </c>
      <c r="O210" s="2">
        <v>1</v>
      </c>
      <c r="P210" s="2"/>
      <c r="Q210" s="2"/>
      <c r="R210" s="2"/>
      <c r="S210" s="2"/>
      <c r="T210" s="2"/>
      <c r="U210" s="2"/>
      <c r="V210" s="2"/>
      <c r="W210" s="2">
        <v>0.22</v>
      </c>
      <c r="X210" s="2" t="str">
        <f t="shared" si="59"/>
        <v/>
      </c>
      <c r="Y210" s="2">
        <f t="shared" si="60"/>
        <v>0.11</v>
      </c>
      <c r="Z210" s="2"/>
      <c r="AA210" s="2"/>
      <c r="AB210" s="2"/>
      <c r="AC210" s="2"/>
      <c r="AD210" s="537">
        <f t="shared" si="47"/>
        <v>1.3840654396728014</v>
      </c>
      <c r="AE210" s="537" t="str">
        <f t="shared" si="61"/>
        <v/>
      </c>
      <c r="AF210" s="536">
        <f t="shared" si="62"/>
        <v>0.69203271983640069</v>
      </c>
      <c r="AG210" s="537" t="str">
        <f t="shared" si="56"/>
        <v/>
      </c>
      <c r="AH210" s="537" t="str">
        <f t="shared" si="57"/>
        <v/>
      </c>
      <c r="AI210" s="525" t="str">
        <f t="shared" si="58"/>
        <v/>
      </c>
      <c r="AJ210" s="522"/>
      <c r="AK210" s="522" t="s">
        <v>315</v>
      </c>
      <c r="AL210" s="526" t="str">
        <f t="shared" si="63"/>
        <v/>
      </c>
      <c r="AM210" s="526" t="str">
        <f t="shared" si="64"/>
        <v/>
      </c>
      <c r="AN210" s="526" t="str">
        <f t="shared" si="65"/>
        <v/>
      </c>
      <c r="AO210" s="526" t="str">
        <f t="shared" si="66"/>
        <v/>
      </c>
    </row>
    <row r="211" spans="1:41" x14ac:dyDescent="0.25">
      <c r="A211" s="2">
        <v>5176376</v>
      </c>
      <c r="B211" s="522" t="s">
        <v>312</v>
      </c>
      <c r="C211" s="522">
        <v>2018</v>
      </c>
      <c r="D211" s="522" t="s">
        <v>297</v>
      </c>
      <c r="E211" s="522" t="s">
        <v>333</v>
      </c>
      <c r="F211" s="522" t="s">
        <v>299</v>
      </c>
      <c r="G211" s="522"/>
      <c r="H211" s="522" t="s">
        <v>343</v>
      </c>
      <c r="I211" s="522"/>
      <c r="J211" s="2" t="s">
        <v>301</v>
      </c>
      <c r="K211" s="522" t="str">
        <f t="shared" si="46"/>
        <v>12-hr TWA</v>
      </c>
      <c r="L211" s="522" t="s">
        <v>302</v>
      </c>
      <c r="M211" s="535">
        <v>38953</v>
      </c>
      <c r="N211" s="2">
        <v>720</v>
      </c>
      <c r="O211" s="2">
        <v>1</v>
      </c>
      <c r="P211" s="2"/>
      <c r="Q211" s="2"/>
      <c r="R211" s="2"/>
      <c r="S211" s="2"/>
      <c r="T211" s="2"/>
      <c r="U211" s="2"/>
      <c r="V211" s="2"/>
      <c r="W211" s="2">
        <v>0.22</v>
      </c>
      <c r="X211" s="2" t="str">
        <f t="shared" si="59"/>
        <v/>
      </c>
      <c r="Y211" s="2">
        <f t="shared" si="60"/>
        <v>0.11</v>
      </c>
      <c r="Z211" s="2"/>
      <c r="AA211" s="2"/>
      <c r="AB211" s="2"/>
      <c r="AC211" s="2"/>
      <c r="AD211" s="537">
        <f t="shared" si="47"/>
        <v>1.3840654396728014</v>
      </c>
      <c r="AE211" s="537" t="str">
        <f t="shared" si="61"/>
        <v/>
      </c>
      <c r="AF211" s="536">
        <f t="shared" si="62"/>
        <v>0.69203271983640069</v>
      </c>
      <c r="AG211" s="537" t="str">
        <f t="shared" si="56"/>
        <v/>
      </c>
      <c r="AH211" s="537" t="str">
        <f t="shared" si="57"/>
        <v/>
      </c>
      <c r="AI211" s="525" t="str">
        <f t="shared" si="58"/>
        <v/>
      </c>
      <c r="AJ211" s="522"/>
      <c r="AK211" s="522" t="s">
        <v>315</v>
      </c>
      <c r="AL211" s="526" t="str">
        <f t="shared" si="63"/>
        <v/>
      </c>
      <c r="AM211" s="526" t="str">
        <f t="shared" si="64"/>
        <v/>
      </c>
      <c r="AN211" s="526" t="str">
        <f t="shared" si="65"/>
        <v/>
      </c>
      <c r="AO211" s="526" t="str">
        <f t="shared" si="66"/>
        <v/>
      </c>
    </row>
    <row r="212" spans="1:41" x14ac:dyDescent="0.25">
      <c r="A212" s="2">
        <v>5176376</v>
      </c>
      <c r="B212" s="522" t="s">
        <v>312</v>
      </c>
      <c r="C212" s="522">
        <v>2018</v>
      </c>
      <c r="D212" s="522" t="s">
        <v>297</v>
      </c>
      <c r="E212" s="522" t="s">
        <v>333</v>
      </c>
      <c r="F212" s="522" t="s">
        <v>299</v>
      </c>
      <c r="G212" s="522"/>
      <c r="H212" s="522" t="s">
        <v>343</v>
      </c>
      <c r="I212" s="522"/>
      <c r="J212" s="2" t="s">
        <v>301</v>
      </c>
      <c r="K212" s="522" t="str">
        <f t="shared" ref="K212:K275" si="67">+IF(N212&lt;=540, "8-hr TWA", IF(N212&gt;540, "12-hr TWA", "Error"))</f>
        <v>12-hr TWA</v>
      </c>
      <c r="L212" s="522" t="s">
        <v>302</v>
      </c>
      <c r="M212" s="535">
        <v>38954</v>
      </c>
      <c r="N212" s="2">
        <v>720</v>
      </c>
      <c r="O212" s="2">
        <v>1</v>
      </c>
      <c r="P212" s="2"/>
      <c r="Q212" s="2"/>
      <c r="R212" s="2"/>
      <c r="S212" s="2"/>
      <c r="T212" s="2"/>
      <c r="U212" s="2"/>
      <c r="V212" s="2"/>
      <c r="W212" s="2">
        <v>0.22</v>
      </c>
      <c r="X212" s="2" t="str">
        <f t="shared" si="59"/>
        <v/>
      </c>
      <c r="Y212" s="2">
        <f t="shared" si="60"/>
        <v>0.11</v>
      </c>
      <c r="Z212" s="2"/>
      <c r="AA212" s="2"/>
      <c r="AB212" s="2"/>
      <c r="AC212" s="2"/>
      <c r="AD212" s="537">
        <f t="shared" si="47"/>
        <v>1.3840654396728014</v>
      </c>
      <c r="AE212" s="537" t="str">
        <f t="shared" si="61"/>
        <v/>
      </c>
      <c r="AF212" s="536">
        <f t="shared" si="62"/>
        <v>0.69203271983640069</v>
      </c>
      <c r="AG212" s="537" t="str">
        <f t="shared" si="56"/>
        <v/>
      </c>
      <c r="AH212" s="537" t="str">
        <f t="shared" si="57"/>
        <v/>
      </c>
      <c r="AI212" s="525" t="str">
        <f t="shared" si="58"/>
        <v/>
      </c>
      <c r="AJ212" s="522"/>
      <c r="AK212" s="522" t="s">
        <v>315</v>
      </c>
      <c r="AL212" s="526" t="str">
        <f t="shared" si="63"/>
        <v/>
      </c>
      <c r="AM212" s="526" t="str">
        <f t="shared" si="64"/>
        <v/>
      </c>
      <c r="AN212" s="526" t="str">
        <f t="shared" si="65"/>
        <v/>
      </c>
      <c r="AO212" s="526" t="str">
        <f t="shared" si="66"/>
        <v/>
      </c>
    </row>
    <row r="213" spans="1:41" x14ac:dyDescent="0.25">
      <c r="A213" s="2">
        <v>5176376</v>
      </c>
      <c r="B213" s="522" t="s">
        <v>312</v>
      </c>
      <c r="C213" s="522">
        <v>2018</v>
      </c>
      <c r="D213" s="522" t="s">
        <v>297</v>
      </c>
      <c r="E213" s="522" t="s">
        <v>333</v>
      </c>
      <c r="F213" s="522" t="s">
        <v>299</v>
      </c>
      <c r="G213" s="522"/>
      <c r="H213" s="522" t="s">
        <v>334</v>
      </c>
      <c r="I213" s="522"/>
      <c r="J213" s="2" t="s">
        <v>301</v>
      </c>
      <c r="K213" s="522" t="str">
        <f t="shared" si="67"/>
        <v>12-hr TWA</v>
      </c>
      <c r="L213" s="522" t="s">
        <v>302</v>
      </c>
      <c r="M213" s="535">
        <v>38919</v>
      </c>
      <c r="N213" s="2">
        <v>720</v>
      </c>
      <c r="O213" s="2">
        <v>1</v>
      </c>
      <c r="P213" s="2"/>
      <c r="Q213" s="2"/>
      <c r="R213" s="2"/>
      <c r="S213" s="2"/>
      <c r="T213" s="2"/>
      <c r="U213" s="2"/>
      <c r="V213" s="2"/>
      <c r="W213" s="2">
        <v>0.23</v>
      </c>
      <c r="X213" s="2" t="str">
        <f t="shared" si="59"/>
        <v/>
      </c>
      <c r="Y213" s="2">
        <f t="shared" si="60"/>
        <v>0.23</v>
      </c>
      <c r="Z213" s="2"/>
      <c r="AA213" s="2"/>
      <c r="AB213" s="2"/>
      <c r="AC213" s="2"/>
      <c r="AD213" s="537">
        <f t="shared" si="47"/>
        <v>1.4469775051124745</v>
      </c>
      <c r="AE213" s="537" t="str">
        <f t="shared" si="61"/>
        <v/>
      </c>
      <c r="AF213" s="537">
        <f t="shared" si="62"/>
        <v>1.4469775051124745</v>
      </c>
      <c r="AG213" s="537" t="str">
        <f t="shared" si="56"/>
        <v/>
      </c>
      <c r="AH213" s="537" t="str">
        <f t="shared" si="57"/>
        <v/>
      </c>
      <c r="AI213" s="525" t="str">
        <f t="shared" si="58"/>
        <v/>
      </c>
      <c r="AJ213" s="522"/>
      <c r="AK213" s="522"/>
      <c r="AL213" s="526" t="str">
        <f t="shared" si="63"/>
        <v/>
      </c>
      <c r="AM213" s="526" t="str">
        <f t="shared" si="64"/>
        <v/>
      </c>
      <c r="AN213" s="526">
        <f t="shared" si="65"/>
        <v>0.23</v>
      </c>
      <c r="AO213" s="526">
        <f t="shared" si="66"/>
        <v>-1.4696759700589417</v>
      </c>
    </row>
    <row r="214" spans="1:41" x14ac:dyDescent="0.25">
      <c r="A214" s="2">
        <v>5176376</v>
      </c>
      <c r="B214" s="522" t="s">
        <v>312</v>
      </c>
      <c r="C214" s="522">
        <v>2018</v>
      </c>
      <c r="D214" s="522" t="s">
        <v>297</v>
      </c>
      <c r="E214" s="522" t="s">
        <v>333</v>
      </c>
      <c r="F214" s="522" t="s">
        <v>299</v>
      </c>
      <c r="G214" s="522"/>
      <c r="H214" s="522" t="s">
        <v>342</v>
      </c>
      <c r="I214" s="522"/>
      <c r="J214" s="2" t="s">
        <v>301</v>
      </c>
      <c r="K214" s="522" t="str">
        <f t="shared" si="67"/>
        <v>12-hr TWA</v>
      </c>
      <c r="L214" s="522" t="s">
        <v>302</v>
      </c>
      <c r="M214" s="535">
        <v>39289</v>
      </c>
      <c r="N214" s="2">
        <v>720</v>
      </c>
      <c r="O214" s="2">
        <v>1</v>
      </c>
      <c r="P214" s="2"/>
      <c r="Q214" s="2"/>
      <c r="R214" s="2"/>
      <c r="S214" s="2"/>
      <c r="T214" s="2"/>
      <c r="U214" s="2"/>
      <c r="V214" s="2"/>
      <c r="W214" s="2">
        <v>0.23</v>
      </c>
      <c r="X214" s="2" t="str">
        <f t="shared" si="59"/>
        <v/>
      </c>
      <c r="Y214" s="2">
        <f t="shared" si="60"/>
        <v>0.23</v>
      </c>
      <c r="Z214" s="2"/>
      <c r="AA214" s="2"/>
      <c r="AB214" s="2"/>
      <c r="AC214" s="2"/>
      <c r="AD214" s="537">
        <f t="shared" ref="AD214:AD277" si="68">+W214*MolW/MolVol</f>
        <v>1.4469775051124745</v>
      </c>
      <c r="AE214" s="537" t="str">
        <f t="shared" si="61"/>
        <v/>
      </c>
      <c r="AF214" s="537">
        <f t="shared" si="62"/>
        <v>1.4469775051124745</v>
      </c>
      <c r="AG214" s="537" t="str">
        <f t="shared" si="56"/>
        <v/>
      </c>
      <c r="AH214" s="537" t="str">
        <f t="shared" si="57"/>
        <v/>
      </c>
      <c r="AI214" s="525" t="str">
        <f t="shared" si="58"/>
        <v/>
      </c>
      <c r="AJ214" s="522"/>
      <c r="AK214" s="522"/>
      <c r="AL214" s="526" t="str">
        <f t="shared" si="63"/>
        <v/>
      </c>
      <c r="AM214" s="526" t="str">
        <f t="shared" si="64"/>
        <v/>
      </c>
      <c r="AN214" s="526">
        <f t="shared" si="65"/>
        <v>0.23</v>
      </c>
      <c r="AO214" s="526">
        <f t="shared" si="66"/>
        <v>-1.4696759700589417</v>
      </c>
    </row>
    <row r="215" spans="1:41" x14ac:dyDescent="0.25">
      <c r="A215" s="2">
        <v>5176376</v>
      </c>
      <c r="B215" s="522" t="s">
        <v>312</v>
      </c>
      <c r="C215" s="522">
        <v>2018</v>
      </c>
      <c r="D215" s="522" t="s">
        <v>297</v>
      </c>
      <c r="E215" s="522" t="s">
        <v>333</v>
      </c>
      <c r="F215" s="522" t="s">
        <v>299</v>
      </c>
      <c r="G215" s="522"/>
      <c r="H215" s="522" t="s">
        <v>342</v>
      </c>
      <c r="I215" s="522"/>
      <c r="J215" s="2" t="s">
        <v>301</v>
      </c>
      <c r="K215" s="522" t="str">
        <f t="shared" si="67"/>
        <v>12-hr TWA</v>
      </c>
      <c r="L215" s="522" t="s">
        <v>302</v>
      </c>
      <c r="M215" s="535">
        <v>40371</v>
      </c>
      <c r="N215" s="2">
        <v>720</v>
      </c>
      <c r="O215" s="2">
        <v>1</v>
      </c>
      <c r="P215" s="2"/>
      <c r="Q215" s="2"/>
      <c r="R215" s="2"/>
      <c r="S215" s="2"/>
      <c r="T215" s="2"/>
      <c r="U215" s="2"/>
      <c r="V215" s="2"/>
      <c r="W215" s="2">
        <v>0.33</v>
      </c>
      <c r="X215" s="2" t="str">
        <f t="shared" si="59"/>
        <v/>
      </c>
      <c r="Y215" s="2">
        <f t="shared" si="60"/>
        <v>0.33</v>
      </c>
      <c r="Z215" s="2"/>
      <c r="AA215" s="2"/>
      <c r="AB215" s="2"/>
      <c r="AC215" s="2"/>
      <c r="AD215" s="537">
        <f t="shared" si="68"/>
        <v>2.0760981595092023</v>
      </c>
      <c r="AE215" s="537" t="str">
        <f t="shared" si="61"/>
        <v/>
      </c>
      <c r="AF215" s="537">
        <f t="shared" si="62"/>
        <v>2.0760981595092023</v>
      </c>
      <c r="AG215" s="537" t="str">
        <f t="shared" si="56"/>
        <v/>
      </c>
      <c r="AH215" s="537" t="str">
        <f t="shared" si="57"/>
        <v/>
      </c>
      <c r="AI215" s="525" t="str">
        <f t="shared" si="58"/>
        <v/>
      </c>
      <c r="AJ215" s="522"/>
      <c r="AK215" s="522"/>
      <c r="AL215" s="526" t="str">
        <f t="shared" si="63"/>
        <v/>
      </c>
      <c r="AM215" s="526" t="str">
        <f t="shared" si="64"/>
        <v/>
      </c>
      <c r="AN215" s="526">
        <f t="shared" si="65"/>
        <v>0.33</v>
      </c>
      <c r="AO215" s="526">
        <f t="shared" si="66"/>
        <v>-1.1086626245216111</v>
      </c>
    </row>
    <row r="216" spans="1:41" x14ac:dyDescent="0.25">
      <c r="A216" s="2">
        <v>5176376</v>
      </c>
      <c r="B216" s="522" t="s">
        <v>312</v>
      </c>
      <c r="C216" s="522">
        <v>2018</v>
      </c>
      <c r="D216" s="522" t="s">
        <v>297</v>
      </c>
      <c r="E216" s="522" t="s">
        <v>333</v>
      </c>
      <c r="F216" s="522" t="s">
        <v>299</v>
      </c>
      <c r="G216" s="522"/>
      <c r="H216" s="522" t="s">
        <v>342</v>
      </c>
      <c r="I216" s="522"/>
      <c r="J216" s="2" t="s">
        <v>301</v>
      </c>
      <c r="K216" s="522" t="str">
        <f t="shared" si="67"/>
        <v>12-hr TWA</v>
      </c>
      <c r="L216" s="522" t="s">
        <v>302</v>
      </c>
      <c r="M216" s="535">
        <v>38940</v>
      </c>
      <c r="N216" s="2">
        <v>720</v>
      </c>
      <c r="O216" s="2">
        <v>1</v>
      </c>
      <c r="P216" s="2"/>
      <c r="Q216" s="2"/>
      <c r="R216" s="2"/>
      <c r="S216" s="2"/>
      <c r="T216" s="2"/>
      <c r="U216" s="2"/>
      <c r="V216" s="2"/>
      <c r="W216" s="2">
        <v>0.59</v>
      </c>
      <c r="X216" s="2" t="str">
        <f t="shared" si="59"/>
        <v/>
      </c>
      <c r="Y216" s="2">
        <f t="shared" si="60"/>
        <v>0.59</v>
      </c>
      <c r="Z216" s="2"/>
      <c r="AA216" s="2"/>
      <c r="AB216" s="2"/>
      <c r="AC216" s="2"/>
      <c r="AD216" s="537">
        <f t="shared" si="68"/>
        <v>3.7118118609406952</v>
      </c>
      <c r="AE216" s="537" t="str">
        <f t="shared" si="61"/>
        <v/>
      </c>
      <c r="AF216" s="537">
        <f t="shared" si="62"/>
        <v>3.7118118609406952</v>
      </c>
      <c r="AG216" s="537" t="str">
        <f t="shared" si="56"/>
        <v/>
      </c>
      <c r="AH216" s="537" t="str">
        <f t="shared" si="57"/>
        <v/>
      </c>
      <c r="AI216" s="525" t="str">
        <f t="shared" si="58"/>
        <v/>
      </c>
      <c r="AJ216" s="522"/>
      <c r="AK216" s="522"/>
      <c r="AL216" s="526" t="str">
        <f t="shared" si="63"/>
        <v/>
      </c>
      <c r="AM216" s="526" t="str">
        <f t="shared" si="64"/>
        <v/>
      </c>
      <c r="AN216" s="526">
        <f t="shared" si="65"/>
        <v>0.59</v>
      </c>
      <c r="AO216" s="526">
        <f t="shared" si="66"/>
        <v>-0.52763274208237199</v>
      </c>
    </row>
    <row r="217" spans="1:41" x14ac:dyDescent="0.25">
      <c r="A217" s="2">
        <v>5176376</v>
      </c>
      <c r="B217" s="522" t="s">
        <v>312</v>
      </c>
      <c r="C217" s="522">
        <v>2018</v>
      </c>
      <c r="D217" s="522" t="s">
        <v>297</v>
      </c>
      <c r="E217" s="522" t="s">
        <v>333</v>
      </c>
      <c r="F217" s="522" t="s">
        <v>299</v>
      </c>
      <c r="G217" s="522"/>
      <c r="H217" s="522" t="s">
        <v>342</v>
      </c>
      <c r="I217" s="522"/>
      <c r="J217" s="2" t="s">
        <v>301</v>
      </c>
      <c r="K217" s="522" t="str">
        <f t="shared" si="67"/>
        <v>12-hr TWA</v>
      </c>
      <c r="L217" s="522" t="s">
        <v>302</v>
      </c>
      <c r="M217" s="535">
        <v>38918</v>
      </c>
      <c r="N217" s="2">
        <v>720</v>
      </c>
      <c r="O217" s="2">
        <v>1</v>
      </c>
      <c r="P217" s="2"/>
      <c r="Q217" s="2"/>
      <c r="R217" s="2"/>
      <c r="S217" s="2"/>
      <c r="T217" s="2"/>
      <c r="U217" s="2"/>
      <c r="V217" s="2"/>
      <c r="W217" s="2">
        <v>0.69</v>
      </c>
      <c r="X217" s="2" t="str">
        <f t="shared" si="59"/>
        <v/>
      </c>
      <c r="Y217" s="444">
        <f t="shared" si="60"/>
        <v>0.34499999999999997</v>
      </c>
      <c r="Z217" s="2"/>
      <c r="AA217" s="2"/>
      <c r="AB217" s="2"/>
      <c r="AC217" s="2"/>
      <c r="AD217" s="537">
        <f t="shared" si="68"/>
        <v>4.340932515337423</v>
      </c>
      <c r="AE217" s="537" t="str">
        <f t="shared" si="61"/>
        <v/>
      </c>
      <c r="AF217" s="537">
        <f t="shared" si="62"/>
        <v>2.1704662576687115</v>
      </c>
      <c r="AG217" s="537" t="str">
        <f t="shared" si="56"/>
        <v/>
      </c>
      <c r="AH217" s="537" t="str">
        <f t="shared" si="57"/>
        <v/>
      </c>
      <c r="AI217" s="525" t="str">
        <f t="shared" si="58"/>
        <v/>
      </c>
      <c r="AJ217" s="522"/>
      <c r="AK217" s="522" t="s">
        <v>315</v>
      </c>
      <c r="AL217" s="526" t="str">
        <f t="shared" si="63"/>
        <v/>
      </c>
      <c r="AM217" s="526" t="str">
        <f t="shared" si="64"/>
        <v/>
      </c>
      <c r="AN217" s="526" t="str">
        <f t="shared" si="65"/>
        <v/>
      </c>
      <c r="AO217" s="526" t="str">
        <f t="shared" si="66"/>
        <v/>
      </c>
    </row>
    <row r="218" spans="1:41" x14ac:dyDescent="0.25">
      <c r="A218" s="2">
        <v>5176376</v>
      </c>
      <c r="B218" s="522" t="s">
        <v>312</v>
      </c>
      <c r="C218" s="522">
        <v>2018</v>
      </c>
      <c r="D218" s="522" t="s">
        <v>297</v>
      </c>
      <c r="E218" s="522" t="s">
        <v>333</v>
      </c>
      <c r="F218" s="522" t="s">
        <v>299</v>
      </c>
      <c r="G218" s="522"/>
      <c r="H218" s="522" t="s">
        <v>337</v>
      </c>
      <c r="I218" s="522"/>
      <c r="J218" s="2" t="s">
        <v>301</v>
      </c>
      <c r="K218" s="522" t="str">
        <f t="shared" si="67"/>
        <v>12-hr TWA</v>
      </c>
      <c r="L218" s="522" t="s">
        <v>302</v>
      </c>
      <c r="M218" s="535">
        <v>40129</v>
      </c>
      <c r="N218" s="2">
        <v>720</v>
      </c>
      <c r="O218" s="2">
        <v>1</v>
      </c>
      <c r="P218" s="2"/>
      <c r="Q218" s="2"/>
      <c r="R218" s="2"/>
      <c r="S218" s="2"/>
      <c r="T218" s="2"/>
      <c r="U218" s="2"/>
      <c r="V218" s="2"/>
      <c r="W218" s="2">
        <v>0.78</v>
      </c>
      <c r="X218" s="2" t="str">
        <f t="shared" si="59"/>
        <v/>
      </c>
      <c r="Y218" s="2">
        <f t="shared" si="60"/>
        <v>0.78</v>
      </c>
      <c r="Z218" s="2"/>
      <c r="AA218" s="2"/>
      <c r="AB218" s="2"/>
      <c r="AC218" s="2"/>
      <c r="AD218" s="537">
        <f t="shared" si="68"/>
        <v>4.907141104294479</v>
      </c>
      <c r="AE218" s="537" t="str">
        <f t="shared" si="61"/>
        <v/>
      </c>
      <c r="AF218" s="537">
        <f t="shared" si="62"/>
        <v>4.907141104294479</v>
      </c>
      <c r="AG218" s="537" t="str">
        <f t="shared" si="56"/>
        <v/>
      </c>
      <c r="AH218" s="537" t="str">
        <f t="shared" si="57"/>
        <v/>
      </c>
      <c r="AI218" s="525" t="str">
        <f t="shared" si="58"/>
        <v/>
      </c>
      <c r="AJ218" s="522"/>
      <c r="AK218" s="522"/>
      <c r="AL218" s="526" t="str">
        <f t="shared" si="63"/>
        <v/>
      </c>
      <c r="AM218" s="526" t="str">
        <f t="shared" si="64"/>
        <v/>
      </c>
      <c r="AN218" s="526">
        <f t="shared" si="65"/>
        <v>0.78</v>
      </c>
      <c r="AO218" s="526">
        <f t="shared" si="66"/>
        <v>-0.24846135929849961</v>
      </c>
    </row>
    <row r="219" spans="1:41" x14ac:dyDescent="0.25">
      <c r="A219" s="2">
        <v>5176376</v>
      </c>
      <c r="B219" s="522" t="s">
        <v>312</v>
      </c>
      <c r="C219" s="522">
        <v>2018</v>
      </c>
      <c r="D219" s="522" t="s">
        <v>297</v>
      </c>
      <c r="E219" s="522" t="s">
        <v>333</v>
      </c>
      <c r="F219" s="522" t="s">
        <v>299</v>
      </c>
      <c r="G219" s="522"/>
      <c r="H219" s="522" t="s">
        <v>338</v>
      </c>
      <c r="I219" s="522"/>
      <c r="J219" s="2" t="s">
        <v>301</v>
      </c>
      <c r="K219" s="522" t="str">
        <f t="shared" si="67"/>
        <v>12-hr TWA</v>
      </c>
      <c r="L219" s="522" t="s">
        <v>302</v>
      </c>
      <c r="M219" s="535">
        <v>41122</v>
      </c>
      <c r="N219" s="2">
        <v>720</v>
      </c>
      <c r="O219" s="2">
        <v>1</v>
      </c>
      <c r="P219" s="2"/>
      <c r="Q219" s="2"/>
      <c r="R219" s="2"/>
      <c r="S219" s="2"/>
      <c r="T219" s="2"/>
      <c r="U219" s="2"/>
      <c r="V219" s="2"/>
      <c r="W219" s="539">
        <v>1</v>
      </c>
      <c r="X219" s="539" t="str">
        <f t="shared" si="59"/>
        <v/>
      </c>
      <c r="Y219" s="539">
        <f t="shared" si="60"/>
        <v>1</v>
      </c>
      <c r="Z219" s="2"/>
      <c r="AA219" s="2"/>
      <c r="AB219" s="2"/>
      <c r="AC219" s="2"/>
      <c r="AD219" s="537">
        <f t="shared" si="68"/>
        <v>6.29120654396728</v>
      </c>
      <c r="AE219" s="537" t="str">
        <f t="shared" si="61"/>
        <v/>
      </c>
      <c r="AF219" s="537">
        <f t="shared" si="62"/>
        <v>6.29120654396728</v>
      </c>
      <c r="AG219" s="537" t="str">
        <f t="shared" si="56"/>
        <v/>
      </c>
      <c r="AH219" s="537" t="str">
        <f t="shared" si="57"/>
        <v/>
      </c>
      <c r="AI219" s="525" t="str">
        <f t="shared" si="58"/>
        <v/>
      </c>
      <c r="AJ219" s="522"/>
      <c r="AK219" s="522"/>
      <c r="AL219" s="526" t="str">
        <f t="shared" si="63"/>
        <v/>
      </c>
      <c r="AM219" s="526" t="str">
        <f t="shared" si="64"/>
        <v/>
      </c>
      <c r="AN219" s="526">
        <f t="shared" si="65"/>
        <v>1</v>
      </c>
      <c r="AO219" s="526">
        <f t="shared" si="66"/>
        <v>0</v>
      </c>
    </row>
    <row r="220" spans="1:41" x14ac:dyDescent="0.25">
      <c r="A220" s="2">
        <v>5176376</v>
      </c>
      <c r="B220" s="522" t="s">
        <v>312</v>
      </c>
      <c r="C220" s="522">
        <v>2018</v>
      </c>
      <c r="D220" s="522" t="s">
        <v>297</v>
      </c>
      <c r="E220" s="522" t="s">
        <v>333</v>
      </c>
      <c r="F220" s="522" t="s">
        <v>299</v>
      </c>
      <c r="G220" s="522"/>
      <c r="H220" s="522" t="s">
        <v>337</v>
      </c>
      <c r="I220" s="522"/>
      <c r="J220" s="2" t="s">
        <v>301</v>
      </c>
      <c r="K220" s="522" t="str">
        <f t="shared" si="67"/>
        <v>12-hr TWA</v>
      </c>
      <c r="L220" s="522" t="s">
        <v>302</v>
      </c>
      <c r="M220" s="535">
        <v>39593</v>
      </c>
      <c r="N220" s="2">
        <v>720</v>
      </c>
      <c r="O220" s="2">
        <v>1</v>
      </c>
      <c r="P220" s="2"/>
      <c r="Q220" s="2"/>
      <c r="R220" s="2"/>
      <c r="S220" s="2"/>
      <c r="T220" s="2"/>
      <c r="U220" s="2"/>
      <c r="V220" s="2"/>
      <c r="W220" s="2">
        <v>0.14000000000000001</v>
      </c>
      <c r="X220" s="2" t="str">
        <f t="shared" si="59"/>
        <v/>
      </c>
      <c r="Y220" s="2">
        <f t="shared" si="60"/>
        <v>0.14000000000000001</v>
      </c>
      <c r="Z220" s="2"/>
      <c r="AA220" s="2"/>
      <c r="AB220" s="2"/>
      <c r="AC220" s="2"/>
      <c r="AD220" s="536">
        <f t="shared" si="68"/>
        <v>0.8807689161554193</v>
      </c>
      <c r="AE220" s="537" t="str">
        <f t="shared" si="61"/>
        <v/>
      </c>
      <c r="AF220" s="536">
        <f t="shared" si="62"/>
        <v>0.8807689161554193</v>
      </c>
      <c r="AG220" s="537" t="str">
        <f t="shared" si="56"/>
        <v/>
      </c>
      <c r="AH220" s="537" t="str">
        <f t="shared" si="57"/>
        <v/>
      </c>
      <c r="AI220" s="525" t="str">
        <f t="shared" si="58"/>
        <v/>
      </c>
      <c r="AJ220" s="522"/>
      <c r="AK220" s="522"/>
      <c r="AL220" s="526" t="str">
        <f t="shared" si="63"/>
        <v/>
      </c>
      <c r="AM220" s="526" t="str">
        <f t="shared" si="64"/>
        <v/>
      </c>
      <c r="AN220" s="526">
        <f t="shared" si="65"/>
        <v>0.14000000000000001</v>
      </c>
      <c r="AO220" s="526">
        <f t="shared" si="66"/>
        <v>-1.9661128563728327</v>
      </c>
    </row>
    <row r="221" spans="1:41" x14ac:dyDescent="0.25">
      <c r="A221" s="2">
        <v>5176376</v>
      </c>
      <c r="B221" s="522" t="s">
        <v>312</v>
      </c>
      <c r="C221" s="522">
        <v>2018</v>
      </c>
      <c r="D221" s="522" t="s">
        <v>297</v>
      </c>
      <c r="E221" s="522" t="s">
        <v>333</v>
      </c>
      <c r="F221" s="522" t="s">
        <v>299</v>
      </c>
      <c r="G221" s="522"/>
      <c r="H221" s="522" t="s">
        <v>342</v>
      </c>
      <c r="I221" s="522"/>
      <c r="J221" s="2" t="s">
        <v>301</v>
      </c>
      <c r="K221" s="522" t="str">
        <f t="shared" si="67"/>
        <v>12-hr TWA</v>
      </c>
      <c r="L221" s="522" t="s">
        <v>302</v>
      </c>
      <c r="M221" s="535">
        <v>40281</v>
      </c>
      <c r="N221" s="2">
        <v>720</v>
      </c>
      <c r="O221" s="2">
        <v>1</v>
      </c>
      <c r="P221" s="2"/>
      <c r="Q221" s="2"/>
      <c r="R221" s="2"/>
      <c r="S221" s="2"/>
      <c r="T221" s="2"/>
      <c r="U221" s="2"/>
      <c r="V221" s="2"/>
      <c r="W221" s="2">
        <v>1.2</v>
      </c>
      <c r="X221" s="2" t="str">
        <f t="shared" si="59"/>
        <v/>
      </c>
      <c r="Y221" s="2">
        <f t="shared" si="60"/>
        <v>1.2</v>
      </c>
      <c r="Z221" s="2"/>
      <c r="AA221" s="2"/>
      <c r="AB221" s="2"/>
      <c r="AC221" s="2"/>
      <c r="AD221" s="537">
        <f t="shared" si="68"/>
        <v>7.5494478527607356</v>
      </c>
      <c r="AE221" s="537" t="str">
        <f t="shared" si="61"/>
        <v/>
      </c>
      <c r="AF221" s="537">
        <f t="shared" si="62"/>
        <v>7.5494478527607356</v>
      </c>
      <c r="AG221" s="537" t="str">
        <f t="shared" si="56"/>
        <v/>
      </c>
      <c r="AH221" s="537" t="str">
        <f t="shared" si="57"/>
        <v/>
      </c>
      <c r="AI221" s="525" t="str">
        <f t="shared" si="58"/>
        <v/>
      </c>
      <c r="AJ221" s="522"/>
      <c r="AK221" s="522"/>
      <c r="AL221" s="526" t="str">
        <f t="shared" si="63"/>
        <v/>
      </c>
      <c r="AM221" s="526" t="str">
        <f t="shared" si="64"/>
        <v/>
      </c>
      <c r="AN221" s="526">
        <f t="shared" si="65"/>
        <v>1.2</v>
      </c>
      <c r="AO221" s="526">
        <f t="shared" si="66"/>
        <v>0.18232155679395459</v>
      </c>
    </row>
    <row r="222" spans="1:41" x14ac:dyDescent="0.25">
      <c r="A222" s="2">
        <v>5176376</v>
      </c>
      <c r="B222" s="522" t="s">
        <v>312</v>
      </c>
      <c r="C222" s="522">
        <v>2018</v>
      </c>
      <c r="D222" s="522" t="s">
        <v>297</v>
      </c>
      <c r="E222" s="522" t="s">
        <v>333</v>
      </c>
      <c r="F222" s="522" t="s">
        <v>299</v>
      </c>
      <c r="G222" s="522"/>
      <c r="H222" s="522" t="s">
        <v>353</v>
      </c>
      <c r="I222" s="522"/>
      <c r="J222" s="2" t="s">
        <v>301</v>
      </c>
      <c r="K222" s="522" t="str">
        <f t="shared" si="67"/>
        <v>12-hr TWA</v>
      </c>
      <c r="L222" s="522" t="s">
        <v>302</v>
      </c>
      <c r="M222" s="535">
        <v>38580</v>
      </c>
      <c r="N222" s="2">
        <v>720</v>
      </c>
      <c r="O222" s="2">
        <v>1</v>
      </c>
      <c r="P222" s="2"/>
      <c r="Q222" s="2"/>
      <c r="R222" s="2"/>
      <c r="S222" s="2"/>
      <c r="T222" s="2"/>
      <c r="U222" s="2"/>
      <c r="V222" s="2"/>
      <c r="W222" s="2">
        <v>4.0999999999999996</v>
      </c>
      <c r="X222" s="2" t="str">
        <f t="shared" si="59"/>
        <v/>
      </c>
      <c r="Y222" s="2">
        <f t="shared" si="60"/>
        <v>4.0999999999999996</v>
      </c>
      <c r="Z222" s="2"/>
      <c r="AA222" s="2"/>
      <c r="AB222" s="2"/>
      <c r="AC222" s="2"/>
      <c r="AD222" s="540">
        <f t="shared" si="68"/>
        <v>25.793946830265845</v>
      </c>
      <c r="AE222" s="537" t="str">
        <f t="shared" si="61"/>
        <v/>
      </c>
      <c r="AF222" s="540">
        <f t="shared" si="62"/>
        <v>25.793946830265845</v>
      </c>
      <c r="AG222" s="537" t="str">
        <f t="shared" si="56"/>
        <v/>
      </c>
      <c r="AH222" s="537" t="str">
        <f t="shared" si="57"/>
        <v/>
      </c>
      <c r="AI222" s="525" t="str">
        <f t="shared" si="58"/>
        <v/>
      </c>
      <c r="AJ222" s="522"/>
      <c r="AK222" s="522"/>
      <c r="AL222" s="526" t="str">
        <f t="shared" si="63"/>
        <v/>
      </c>
      <c r="AM222" s="526" t="str">
        <f t="shared" si="64"/>
        <v/>
      </c>
      <c r="AN222" s="526">
        <f t="shared" si="65"/>
        <v>4.0999999999999996</v>
      </c>
      <c r="AO222" s="526">
        <f t="shared" si="66"/>
        <v>1.410986973710262</v>
      </c>
    </row>
    <row r="223" spans="1:41" x14ac:dyDescent="0.25">
      <c r="A223" s="2">
        <v>5176376</v>
      </c>
      <c r="B223" s="522" t="s">
        <v>312</v>
      </c>
      <c r="C223" s="522">
        <v>2018</v>
      </c>
      <c r="D223" s="522" t="s">
        <v>297</v>
      </c>
      <c r="E223" s="522" t="s">
        <v>333</v>
      </c>
      <c r="F223" s="522" t="s">
        <v>299</v>
      </c>
      <c r="G223" s="522"/>
      <c r="H223" s="522" t="s">
        <v>353</v>
      </c>
      <c r="I223" s="522"/>
      <c r="J223" s="2" t="s">
        <v>301</v>
      </c>
      <c r="K223" s="522" t="str">
        <f t="shared" si="67"/>
        <v>12-hr TWA</v>
      </c>
      <c r="L223" s="522" t="s">
        <v>302</v>
      </c>
      <c r="M223" s="535">
        <v>38581</v>
      </c>
      <c r="N223" s="2">
        <v>720</v>
      </c>
      <c r="O223" s="2">
        <v>1</v>
      </c>
      <c r="P223" s="2"/>
      <c r="Q223" s="2"/>
      <c r="R223" s="2"/>
      <c r="S223" s="2"/>
      <c r="T223" s="2"/>
      <c r="U223" s="2"/>
      <c r="V223" s="2"/>
      <c r="W223" s="2">
        <v>0.23</v>
      </c>
      <c r="X223" s="2" t="str">
        <f t="shared" si="59"/>
        <v/>
      </c>
      <c r="Y223" s="444">
        <f t="shared" si="60"/>
        <v>0.115</v>
      </c>
      <c r="Z223" s="2"/>
      <c r="AA223" s="2"/>
      <c r="AB223" s="2"/>
      <c r="AC223" s="2"/>
      <c r="AD223" s="537">
        <f t="shared" si="68"/>
        <v>1.4469775051124745</v>
      </c>
      <c r="AE223" s="537" t="str">
        <f t="shared" si="61"/>
        <v/>
      </c>
      <c r="AF223" s="536">
        <f t="shared" si="62"/>
        <v>0.72348875255623724</v>
      </c>
      <c r="AG223" s="537" t="str">
        <f t="shared" si="56"/>
        <v/>
      </c>
      <c r="AH223" s="537" t="str">
        <f t="shared" si="57"/>
        <v/>
      </c>
      <c r="AI223" s="525" t="str">
        <f t="shared" si="58"/>
        <v/>
      </c>
      <c r="AJ223" s="522"/>
      <c r="AK223" s="522" t="s">
        <v>315</v>
      </c>
      <c r="AL223" s="526" t="str">
        <f t="shared" si="63"/>
        <v/>
      </c>
      <c r="AM223" s="526" t="str">
        <f t="shared" si="64"/>
        <v/>
      </c>
      <c r="AN223" s="526" t="str">
        <f t="shared" si="65"/>
        <v/>
      </c>
      <c r="AO223" s="526" t="str">
        <f t="shared" si="66"/>
        <v/>
      </c>
    </row>
    <row r="224" spans="1:41" x14ac:dyDescent="0.25">
      <c r="A224" s="2">
        <v>5176376</v>
      </c>
      <c r="B224" s="522" t="s">
        <v>312</v>
      </c>
      <c r="C224" s="522">
        <v>2018</v>
      </c>
      <c r="D224" s="522" t="s">
        <v>297</v>
      </c>
      <c r="E224" s="522" t="s">
        <v>333</v>
      </c>
      <c r="F224" s="522" t="s">
        <v>299</v>
      </c>
      <c r="G224" s="522"/>
      <c r="H224" s="522" t="s">
        <v>353</v>
      </c>
      <c r="I224" s="522"/>
      <c r="J224" s="2" t="s">
        <v>301</v>
      </c>
      <c r="K224" s="522" t="str">
        <f t="shared" si="67"/>
        <v>12-hr TWA</v>
      </c>
      <c r="L224" s="522" t="s">
        <v>302</v>
      </c>
      <c r="M224" s="535">
        <v>38582</v>
      </c>
      <c r="N224" s="2">
        <v>720</v>
      </c>
      <c r="O224" s="2">
        <v>1</v>
      </c>
      <c r="P224" s="2"/>
      <c r="Q224" s="2"/>
      <c r="R224" s="2"/>
      <c r="S224" s="2"/>
      <c r="T224" s="2"/>
      <c r="U224" s="2"/>
      <c r="V224" s="2"/>
      <c r="W224" s="2">
        <v>0.22</v>
      </c>
      <c r="X224" s="2" t="str">
        <f t="shared" si="59"/>
        <v/>
      </c>
      <c r="Y224" s="2">
        <f t="shared" si="60"/>
        <v>0.11</v>
      </c>
      <c r="Z224" s="2"/>
      <c r="AA224" s="2"/>
      <c r="AB224" s="2"/>
      <c r="AC224" s="2"/>
      <c r="AD224" s="537">
        <f t="shared" si="68"/>
        <v>1.3840654396728014</v>
      </c>
      <c r="AE224" s="537" t="str">
        <f t="shared" si="61"/>
        <v/>
      </c>
      <c r="AF224" s="536">
        <f t="shared" si="62"/>
        <v>0.69203271983640069</v>
      </c>
      <c r="AG224" s="537" t="str">
        <f t="shared" si="56"/>
        <v/>
      </c>
      <c r="AH224" s="537" t="str">
        <f t="shared" si="57"/>
        <v/>
      </c>
      <c r="AI224" s="525" t="str">
        <f t="shared" si="58"/>
        <v/>
      </c>
      <c r="AJ224" s="522"/>
      <c r="AK224" s="522" t="s">
        <v>315</v>
      </c>
      <c r="AL224" s="526" t="str">
        <f t="shared" si="63"/>
        <v/>
      </c>
      <c r="AM224" s="526" t="str">
        <f t="shared" si="64"/>
        <v/>
      </c>
      <c r="AN224" s="526" t="str">
        <f t="shared" si="65"/>
        <v/>
      </c>
      <c r="AO224" s="526" t="str">
        <f t="shared" si="66"/>
        <v/>
      </c>
    </row>
    <row r="225" spans="1:41" x14ac:dyDescent="0.25">
      <c r="A225" s="2">
        <v>5176376</v>
      </c>
      <c r="B225" s="522" t="s">
        <v>312</v>
      </c>
      <c r="C225" s="522">
        <v>2018</v>
      </c>
      <c r="D225" s="522" t="s">
        <v>297</v>
      </c>
      <c r="E225" s="522" t="s">
        <v>333</v>
      </c>
      <c r="F225" s="522" t="s">
        <v>299</v>
      </c>
      <c r="G225" s="522"/>
      <c r="H225" s="522" t="s">
        <v>353</v>
      </c>
      <c r="I225" s="522"/>
      <c r="J225" s="2" t="s">
        <v>301</v>
      </c>
      <c r="K225" s="522" t="str">
        <f t="shared" si="67"/>
        <v>12-hr TWA</v>
      </c>
      <c r="L225" s="522" t="s">
        <v>302</v>
      </c>
      <c r="M225" s="535">
        <v>38582</v>
      </c>
      <c r="N225" s="2">
        <v>600</v>
      </c>
      <c r="O225" s="2">
        <v>1</v>
      </c>
      <c r="P225" s="2"/>
      <c r="Q225" s="2"/>
      <c r="R225" s="2"/>
      <c r="S225" s="2"/>
      <c r="T225" s="2"/>
      <c r="U225" s="2"/>
      <c r="V225" s="2"/>
      <c r="W225" s="2">
        <v>0.24</v>
      </c>
      <c r="X225" s="2" t="str">
        <f t="shared" si="59"/>
        <v/>
      </c>
      <c r="Y225" s="444">
        <f t="shared" si="60"/>
        <v>0.1</v>
      </c>
      <c r="Z225" s="2"/>
      <c r="AA225" s="2"/>
      <c r="AB225" s="2"/>
      <c r="AC225" s="2"/>
      <c r="AD225" s="537">
        <f t="shared" si="68"/>
        <v>1.5098895705521471</v>
      </c>
      <c r="AE225" s="537" t="str">
        <f t="shared" si="61"/>
        <v/>
      </c>
      <c r="AF225" s="536">
        <f t="shared" si="62"/>
        <v>0.62912065439672804</v>
      </c>
      <c r="AG225" s="537" t="str">
        <f t="shared" si="56"/>
        <v/>
      </c>
      <c r="AH225" s="537" t="str">
        <f t="shared" si="57"/>
        <v/>
      </c>
      <c r="AI225" s="525" t="str">
        <f t="shared" si="58"/>
        <v/>
      </c>
      <c r="AJ225" s="522"/>
      <c r="AK225" s="522" t="s">
        <v>315</v>
      </c>
      <c r="AL225" s="526" t="str">
        <f t="shared" si="63"/>
        <v/>
      </c>
      <c r="AM225" s="526" t="str">
        <f t="shared" si="64"/>
        <v/>
      </c>
      <c r="AN225" s="526" t="str">
        <f t="shared" si="65"/>
        <v/>
      </c>
      <c r="AO225" s="526" t="str">
        <f t="shared" si="66"/>
        <v/>
      </c>
    </row>
    <row r="226" spans="1:41" x14ac:dyDescent="0.25">
      <c r="A226" s="2">
        <v>5176376</v>
      </c>
      <c r="B226" s="522" t="s">
        <v>312</v>
      </c>
      <c r="C226" s="522">
        <v>2018</v>
      </c>
      <c r="D226" s="522" t="s">
        <v>297</v>
      </c>
      <c r="E226" s="522" t="s">
        <v>333</v>
      </c>
      <c r="F226" s="522" t="s">
        <v>299</v>
      </c>
      <c r="G226" s="522"/>
      <c r="H226" s="522" t="s">
        <v>353</v>
      </c>
      <c r="I226" s="522"/>
      <c r="J226" s="2" t="s">
        <v>301</v>
      </c>
      <c r="K226" s="522" t="str">
        <f t="shared" si="67"/>
        <v>12-hr TWA</v>
      </c>
      <c r="L226" s="522" t="s">
        <v>302</v>
      </c>
      <c r="M226" s="535">
        <v>38583</v>
      </c>
      <c r="N226" s="2">
        <v>600</v>
      </c>
      <c r="O226" s="2">
        <v>1</v>
      </c>
      <c r="P226" s="2"/>
      <c r="Q226" s="2"/>
      <c r="R226" s="2"/>
      <c r="S226" s="2"/>
      <c r="T226" s="2"/>
      <c r="U226" s="2"/>
      <c r="V226" s="2"/>
      <c r="W226" s="539">
        <v>1</v>
      </c>
      <c r="X226" s="2" t="str">
        <f t="shared" si="59"/>
        <v/>
      </c>
      <c r="Y226" s="444">
        <f t="shared" si="60"/>
        <v>0.83333333333333337</v>
      </c>
      <c r="Z226" s="2"/>
      <c r="AA226" s="2"/>
      <c r="AB226" s="2"/>
      <c r="AC226" s="2"/>
      <c r="AD226" s="537">
        <f t="shared" si="68"/>
        <v>6.29120654396728</v>
      </c>
      <c r="AE226" s="537" t="str">
        <f t="shared" si="61"/>
        <v/>
      </c>
      <c r="AF226" s="537">
        <f t="shared" si="62"/>
        <v>5.2426721199727337</v>
      </c>
      <c r="AG226" s="537" t="str">
        <f t="shared" si="56"/>
        <v/>
      </c>
      <c r="AH226" s="537" t="str">
        <f t="shared" si="57"/>
        <v/>
      </c>
      <c r="AI226" s="525" t="str">
        <f t="shared" si="58"/>
        <v/>
      </c>
      <c r="AJ226" s="522"/>
      <c r="AK226" s="522"/>
      <c r="AL226" s="526" t="str">
        <f t="shared" si="63"/>
        <v/>
      </c>
      <c r="AM226" s="526" t="str">
        <f t="shared" si="64"/>
        <v/>
      </c>
      <c r="AN226" s="526">
        <f t="shared" si="65"/>
        <v>0.83333333333333337</v>
      </c>
      <c r="AO226" s="526">
        <f t="shared" si="66"/>
        <v>-0.18232155679395459</v>
      </c>
    </row>
    <row r="227" spans="1:41" x14ac:dyDescent="0.25">
      <c r="A227" s="2">
        <v>5176376</v>
      </c>
      <c r="B227" s="522" t="s">
        <v>312</v>
      </c>
      <c r="C227" s="522">
        <v>2018</v>
      </c>
      <c r="D227" s="522" t="s">
        <v>297</v>
      </c>
      <c r="E227" s="522" t="s">
        <v>333</v>
      </c>
      <c r="F227" s="522" t="s">
        <v>299</v>
      </c>
      <c r="G227" s="522"/>
      <c r="H227" s="522" t="s">
        <v>353</v>
      </c>
      <c r="I227" s="522"/>
      <c r="J227" s="2" t="s">
        <v>301</v>
      </c>
      <c r="K227" s="522" t="str">
        <f t="shared" si="67"/>
        <v>8-hr TWA</v>
      </c>
      <c r="L227" s="522" t="s">
        <v>302</v>
      </c>
      <c r="M227" s="535">
        <v>38595</v>
      </c>
      <c r="N227" s="2">
        <v>390</v>
      </c>
      <c r="O227" s="2">
        <v>1</v>
      </c>
      <c r="P227" s="2"/>
      <c r="Q227" s="2"/>
      <c r="R227" s="2"/>
      <c r="S227" s="2"/>
      <c r="T227" s="2"/>
      <c r="U227" s="2"/>
      <c r="V227" s="2"/>
      <c r="W227" s="2">
        <v>0.36</v>
      </c>
      <c r="X227" s="444">
        <f t="shared" si="59"/>
        <v>0.20682873349706513</v>
      </c>
      <c r="Y227" s="2" t="str">
        <f t="shared" si="60"/>
        <v/>
      </c>
      <c r="Z227" s="2"/>
      <c r="AA227" s="2"/>
      <c r="AB227" s="2"/>
      <c r="AC227" s="2"/>
      <c r="AD227" s="537">
        <f t="shared" si="68"/>
        <v>2.2648343558282207</v>
      </c>
      <c r="AE227" s="537">
        <f t="shared" si="61"/>
        <v>1.3012022816572006</v>
      </c>
      <c r="AF227" s="537" t="str">
        <f t="shared" si="62"/>
        <v/>
      </c>
      <c r="AG227" s="537" t="str">
        <f t="shared" si="56"/>
        <v/>
      </c>
      <c r="AH227" s="537" t="str">
        <f t="shared" si="57"/>
        <v/>
      </c>
      <c r="AI227" s="525" t="str">
        <f t="shared" si="58"/>
        <v/>
      </c>
      <c r="AJ227" s="522"/>
      <c r="AK227" s="522" t="s">
        <v>315</v>
      </c>
      <c r="AL227" s="526" t="str">
        <f t="shared" si="63"/>
        <v/>
      </c>
      <c r="AM227" s="526" t="str">
        <f t="shared" si="64"/>
        <v/>
      </c>
      <c r="AN227" s="526" t="str">
        <f t="shared" si="65"/>
        <v/>
      </c>
      <c r="AO227" s="526" t="str">
        <f t="shared" si="66"/>
        <v/>
      </c>
    </row>
    <row r="228" spans="1:41" x14ac:dyDescent="0.25">
      <c r="A228" s="2">
        <v>5176376</v>
      </c>
      <c r="B228" s="522" t="s">
        <v>312</v>
      </c>
      <c r="C228" s="522">
        <v>2018</v>
      </c>
      <c r="D228" s="522" t="s">
        <v>297</v>
      </c>
      <c r="E228" s="522" t="s">
        <v>333</v>
      </c>
      <c r="F228" s="522" t="s">
        <v>299</v>
      </c>
      <c r="G228" s="522"/>
      <c r="H228" s="522" t="s">
        <v>354</v>
      </c>
      <c r="I228" s="522"/>
      <c r="J228" s="2" t="s">
        <v>301</v>
      </c>
      <c r="K228" s="522" t="str">
        <f t="shared" si="67"/>
        <v>8-hr TWA</v>
      </c>
      <c r="L228" s="522" t="s">
        <v>302</v>
      </c>
      <c r="M228" s="535">
        <v>38860</v>
      </c>
      <c r="N228" s="2">
        <v>480</v>
      </c>
      <c r="O228" s="2">
        <v>1</v>
      </c>
      <c r="P228" s="2"/>
      <c r="Q228" s="2"/>
      <c r="R228" s="2"/>
      <c r="S228" s="2"/>
      <c r="T228" s="2"/>
      <c r="U228" s="2"/>
      <c r="V228" s="2"/>
      <c r="W228" s="444">
        <v>0.3</v>
      </c>
      <c r="X228" s="444">
        <f t="shared" si="59"/>
        <v>0.21213203435596423</v>
      </c>
      <c r="Y228" s="2" t="str">
        <f t="shared" si="60"/>
        <v/>
      </c>
      <c r="Z228" s="2"/>
      <c r="AA228" s="2"/>
      <c r="AB228" s="2"/>
      <c r="AC228" s="2"/>
      <c r="AD228" s="537">
        <f t="shared" si="68"/>
        <v>1.8873619631901839</v>
      </c>
      <c r="AE228" s="537">
        <f t="shared" si="61"/>
        <v>1.3345664427253341</v>
      </c>
      <c r="AF228" s="537" t="str">
        <f t="shared" si="62"/>
        <v/>
      </c>
      <c r="AG228" s="537" t="str">
        <f t="shared" si="56"/>
        <v/>
      </c>
      <c r="AH228" s="537" t="str">
        <f t="shared" si="57"/>
        <v/>
      </c>
      <c r="AI228" s="525" t="str">
        <f t="shared" si="58"/>
        <v/>
      </c>
      <c r="AJ228" s="522"/>
      <c r="AK228" s="522" t="s">
        <v>315</v>
      </c>
      <c r="AL228" s="526" t="str">
        <f t="shared" si="63"/>
        <v/>
      </c>
      <c r="AM228" s="526" t="str">
        <f t="shared" si="64"/>
        <v/>
      </c>
      <c r="AN228" s="526" t="str">
        <f t="shared" si="65"/>
        <v/>
      </c>
      <c r="AO228" s="526" t="str">
        <f t="shared" si="66"/>
        <v/>
      </c>
    </row>
    <row r="229" spans="1:41" x14ac:dyDescent="0.25">
      <c r="A229" s="2">
        <v>5176376</v>
      </c>
      <c r="B229" s="522" t="s">
        <v>312</v>
      </c>
      <c r="C229" s="522">
        <v>2018</v>
      </c>
      <c r="D229" s="522" t="s">
        <v>297</v>
      </c>
      <c r="E229" s="522" t="s">
        <v>333</v>
      </c>
      <c r="F229" s="522" t="s">
        <v>299</v>
      </c>
      <c r="G229" s="522"/>
      <c r="H229" s="522" t="s">
        <v>354</v>
      </c>
      <c r="I229" s="522"/>
      <c r="J229" s="2" t="s">
        <v>301</v>
      </c>
      <c r="K229" s="522" t="str">
        <f t="shared" si="67"/>
        <v>8-hr TWA</v>
      </c>
      <c r="L229" s="522" t="s">
        <v>302</v>
      </c>
      <c r="M229" s="535">
        <v>38860</v>
      </c>
      <c r="N229" s="2">
        <v>480</v>
      </c>
      <c r="O229" s="2">
        <v>1</v>
      </c>
      <c r="P229" s="2"/>
      <c r="Q229" s="2"/>
      <c r="R229" s="2"/>
      <c r="S229" s="2"/>
      <c r="T229" s="2"/>
      <c r="U229" s="2"/>
      <c r="V229" s="2"/>
      <c r="W229" s="444">
        <v>0.3</v>
      </c>
      <c r="X229" s="444">
        <f t="shared" si="59"/>
        <v>0.21213203435596423</v>
      </c>
      <c r="Y229" s="2" t="str">
        <f t="shared" si="60"/>
        <v/>
      </c>
      <c r="Z229" s="2"/>
      <c r="AA229" s="2"/>
      <c r="AB229" s="2"/>
      <c r="AC229" s="2"/>
      <c r="AD229" s="537">
        <f t="shared" si="68"/>
        <v>1.8873619631901839</v>
      </c>
      <c r="AE229" s="537">
        <f t="shared" si="61"/>
        <v>1.3345664427253341</v>
      </c>
      <c r="AF229" s="537" t="str">
        <f t="shared" si="62"/>
        <v/>
      </c>
      <c r="AG229" s="537" t="str">
        <f t="shared" si="56"/>
        <v/>
      </c>
      <c r="AH229" s="537" t="str">
        <f t="shared" si="57"/>
        <v/>
      </c>
      <c r="AI229" s="525" t="str">
        <f t="shared" si="58"/>
        <v/>
      </c>
      <c r="AJ229" s="522"/>
      <c r="AK229" s="522" t="s">
        <v>315</v>
      </c>
      <c r="AL229" s="526" t="str">
        <f t="shared" si="63"/>
        <v/>
      </c>
      <c r="AM229" s="526" t="str">
        <f t="shared" si="64"/>
        <v/>
      </c>
      <c r="AN229" s="526" t="str">
        <f t="shared" si="65"/>
        <v/>
      </c>
      <c r="AO229" s="526" t="str">
        <f t="shared" si="66"/>
        <v/>
      </c>
    </row>
    <row r="230" spans="1:41" x14ac:dyDescent="0.25">
      <c r="A230" s="2">
        <v>5176376</v>
      </c>
      <c r="B230" s="522" t="s">
        <v>312</v>
      </c>
      <c r="C230" s="522">
        <v>2018</v>
      </c>
      <c r="D230" s="522" t="s">
        <v>297</v>
      </c>
      <c r="E230" s="522" t="s">
        <v>333</v>
      </c>
      <c r="F230" s="522" t="s">
        <v>299</v>
      </c>
      <c r="G230" s="522"/>
      <c r="H230" s="522" t="s">
        <v>354</v>
      </c>
      <c r="I230" s="522"/>
      <c r="J230" s="2" t="s">
        <v>301</v>
      </c>
      <c r="K230" s="522" t="str">
        <f t="shared" si="67"/>
        <v>8-hr TWA</v>
      </c>
      <c r="L230" s="522" t="s">
        <v>302</v>
      </c>
      <c r="M230" s="535">
        <v>38861</v>
      </c>
      <c r="N230" s="2">
        <v>480</v>
      </c>
      <c r="O230" s="2">
        <v>1</v>
      </c>
      <c r="P230" s="2"/>
      <c r="Q230" s="2"/>
      <c r="R230" s="2"/>
      <c r="S230" s="2"/>
      <c r="T230" s="2"/>
      <c r="U230" s="2"/>
      <c r="V230" s="2"/>
      <c r="W230" s="444">
        <v>0.3</v>
      </c>
      <c r="X230" s="444">
        <f t="shared" si="59"/>
        <v>0.21213203435596423</v>
      </c>
      <c r="Y230" s="2" t="str">
        <f t="shared" si="60"/>
        <v/>
      </c>
      <c r="Z230" s="2"/>
      <c r="AA230" s="2"/>
      <c r="AB230" s="2"/>
      <c r="AC230" s="2"/>
      <c r="AD230" s="537">
        <f t="shared" si="68"/>
        <v>1.8873619631901839</v>
      </c>
      <c r="AE230" s="537">
        <f t="shared" si="61"/>
        <v>1.3345664427253341</v>
      </c>
      <c r="AF230" s="537" t="str">
        <f t="shared" si="62"/>
        <v/>
      </c>
      <c r="AG230" s="537" t="str">
        <f t="shared" si="56"/>
        <v/>
      </c>
      <c r="AH230" s="537" t="str">
        <f t="shared" si="57"/>
        <v/>
      </c>
      <c r="AI230" s="525" t="str">
        <f t="shared" si="58"/>
        <v/>
      </c>
      <c r="AJ230" s="522"/>
      <c r="AK230" s="522" t="s">
        <v>315</v>
      </c>
      <c r="AL230" s="526" t="str">
        <f t="shared" si="63"/>
        <v/>
      </c>
      <c r="AM230" s="526" t="str">
        <f t="shared" si="64"/>
        <v/>
      </c>
      <c r="AN230" s="526" t="str">
        <f t="shared" si="65"/>
        <v/>
      </c>
      <c r="AO230" s="526" t="str">
        <f t="shared" si="66"/>
        <v/>
      </c>
    </row>
    <row r="231" spans="1:41" x14ac:dyDescent="0.25">
      <c r="A231" s="2">
        <v>5176376</v>
      </c>
      <c r="B231" s="522" t="s">
        <v>312</v>
      </c>
      <c r="C231" s="522">
        <v>2018</v>
      </c>
      <c r="D231" s="522" t="s">
        <v>297</v>
      </c>
      <c r="E231" s="522" t="s">
        <v>333</v>
      </c>
      <c r="F231" s="522" t="s">
        <v>299</v>
      </c>
      <c r="G231" s="522"/>
      <c r="H231" s="522" t="s">
        <v>354</v>
      </c>
      <c r="I231" s="522"/>
      <c r="J231" s="2" t="s">
        <v>301</v>
      </c>
      <c r="K231" s="522" t="str">
        <f t="shared" si="67"/>
        <v>8-hr TWA</v>
      </c>
      <c r="L231" s="522" t="s">
        <v>302</v>
      </c>
      <c r="M231" s="535">
        <v>38861</v>
      </c>
      <c r="N231" s="2">
        <v>480</v>
      </c>
      <c r="O231" s="2">
        <v>1</v>
      </c>
      <c r="P231" s="2"/>
      <c r="Q231" s="2"/>
      <c r="R231" s="2"/>
      <c r="S231" s="2"/>
      <c r="T231" s="2"/>
      <c r="U231" s="2"/>
      <c r="V231" s="2"/>
      <c r="W231" s="444">
        <v>0.3</v>
      </c>
      <c r="X231" s="444">
        <f t="shared" si="59"/>
        <v>0.21213203435596423</v>
      </c>
      <c r="Y231" s="2" t="str">
        <f t="shared" si="60"/>
        <v/>
      </c>
      <c r="Z231" s="2"/>
      <c r="AA231" s="2"/>
      <c r="AB231" s="2"/>
      <c r="AC231" s="2"/>
      <c r="AD231" s="537">
        <f t="shared" si="68"/>
        <v>1.8873619631901839</v>
      </c>
      <c r="AE231" s="537">
        <f t="shared" si="61"/>
        <v>1.3345664427253341</v>
      </c>
      <c r="AF231" s="537" t="str">
        <f t="shared" si="62"/>
        <v/>
      </c>
      <c r="AG231" s="537" t="str">
        <f t="shared" si="56"/>
        <v/>
      </c>
      <c r="AH231" s="537" t="str">
        <f t="shared" si="57"/>
        <v/>
      </c>
      <c r="AI231" s="525" t="str">
        <f t="shared" si="58"/>
        <v/>
      </c>
      <c r="AJ231" s="522"/>
      <c r="AK231" s="522" t="s">
        <v>315</v>
      </c>
      <c r="AL231" s="526" t="str">
        <f t="shared" si="63"/>
        <v/>
      </c>
      <c r="AM231" s="526" t="str">
        <f t="shared" si="64"/>
        <v/>
      </c>
      <c r="AN231" s="526" t="str">
        <f t="shared" si="65"/>
        <v/>
      </c>
      <c r="AO231" s="526" t="str">
        <f t="shared" si="66"/>
        <v/>
      </c>
    </row>
    <row r="232" spans="1:41" x14ac:dyDescent="0.25">
      <c r="A232" s="2">
        <v>5176376</v>
      </c>
      <c r="B232" s="522" t="s">
        <v>312</v>
      </c>
      <c r="C232" s="522">
        <v>2018</v>
      </c>
      <c r="D232" s="522" t="s">
        <v>297</v>
      </c>
      <c r="E232" s="522" t="s">
        <v>333</v>
      </c>
      <c r="F232" s="522" t="s">
        <v>299</v>
      </c>
      <c r="G232" s="522"/>
      <c r="H232" s="522" t="s">
        <v>354</v>
      </c>
      <c r="I232" s="522"/>
      <c r="J232" s="2" t="s">
        <v>301</v>
      </c>
      <c r="K232" s="522" t="str">
        <f t="shared" si="67"/>
        <v>8-hr TWA</v>
      </c>
      <c r="L232" s="522" t="s">
        <v>302</v>
      </c>
      <c r="M232" s="535">
        <v>38862</v>
      </c>
      <c r="N232" s="2">
        <v>480</v>
      </c>
      <c r="O232" s="2">
        <v>1</v>
      </c>
      <c r="P232" s="2"/>
      <c r="Q232" s="2"/>
      <c r="R232" s="2"/>
      <c r="S232" s="2"/>
      <c r="T232" s="2"/>
      <c r="U232" s="2"/>
      <c r="V232" s="2"/>
      <c r="W232" s="2">
        <v>0.34</v>
      </c>
      <c r="X232" s="2">
        <f t="shared" si="59"/>
        <v>0.34</v>
      </c>
      <c r="Y232" s="2" t="str">
        <f t="shared" si="60"/>
        <v/>
      </c>
      <c r="Z232" s="2"/>
      <c r="AA232" s="2"/>
      <c r="AB232" s="2"/>
      <c r="AC232" s="2"/>
      <c r="AD232" s="537">
        <f t="shared" si="68"/>
        <v>2.1390102249488754</v>
      </c>
      <c r="AE232" s="537">
        <f t="shared" si="61"/>
        <v>2.1390102249488754</v>
      </c>
      <c r="AF232" s="537" t="str">
        <f t="shared" si="62"/>
        <v/>
      </c>
      <c r="AG232" s="537" t="str">
        <f t="shared" si="56"/>
        <v/>
      </c>
      <c r="AH232" s="537" t="str">
        <f t="shared" si="57"/>
        <v/>
      </c>
      <c r="AI232" s="525" t="str">
        <f t="shared" si="58"/>
        <v/>
      </c>
      <c r="AJ232" s="522"/>
      <c r="AK232" s="522"/>
      <c r="AL232" s="526">
        <f t="shared" si="63"/>
        <v>0.34</v>
      </c>
      <c r="AM232" s="526">
        <f t="shared" si="64"/>
        <v>-1.0788096613719298</v>
      </c>
      <c r="AN232" s="526" t="str">
        <f t="shared" si="65"/>
        <v/>
      </c>
      <c r="AO232" s="526" t="str">
        <f t="shared" si="66"/>
        <v/>
      </c>
    </row>
    <row r="233" spans="1:41" x14ac:dyDescent="0.25">
      <c r="A233" s="2">
        <v>5176376</v>
      </c>
      <c r="B233" s="522" t="s">
        <v>312</v>
      </c>
      <c r="C233" s="522">
        <v>2018</v>
      </c>
      <c r="D233" s="522" t="s">
        <v>297</v>
      </c>
      <c r="E233" s="522" t="s">
        <v>333</v>
      </c>
      <c r="F233" s="522" t="s">
        <v>299</v>
      </c>
      <c r="G233" s="522"/>
      <c r="H233" s="522" t="s">
        <v>354</v>
      </c>
      <c r="I233" s="522"/>
      <c r="J233" s="2" t="s">
        <v>301</v>
      </c>
      <c r="K233" s="522" t="str">
        <f t="shared" si="67"/>
        <v>8-hr TWA</v>
      </c>
      <c r="L233" s="522" t="s">
        <v>302</v>
      </c>
      <c r="M233" s="535">
        <v>38862</v>
      </c>
      <c r="N233" s="2">
        <v>480</v>
      </c>
      <c r="O233" s="2">
        <v>1</v>
      </c>
      <c r="P233" s="2"/>
      <c r="Q233" s="2"/>
      <c r="R233" s="2"/>
      <c r="S233" s="2"/>
      <c r="T233" s="2"/>
      <c r="U233" s="2"/>
      <c r="V233" s="2"/>
      <c r="W233" s="2">
        <v>0.31</v>
      </c>
      <c r="X233" s="444">
        <f t="shared" si="59"/>
        <v>0.21920310216782971</v>
      </c>
      <c r="Y233" s="2" t="str">
        <f t="shared" si="60"/>
        <v/>
      </c>
      <c r="Z233" s="2"/>
      <c r="AA233" s="2"/>
      <c r="AB233" s="2"/>
      <c r="AC233" s="2"/>
      <c r="AD233" s="537">
        <f t="shared" si="68"/>
        <v>1.9502740286298568</v>
      </c>
      <c r="AE233" s="537">
        <f t="shared" si="61"/>
        <v>1.3790519908161785</v>
      </c>
      <c r="AF233" s="537" t="str">
        <f t="shared" si="62"/>
        <v/>
      </c>
      <c r="AG233" s="537" t="str">
        <f t="shared" si="56"/>
        <v/>
      </c>
      <c r="AH233" s="537" t="str">
        <f t="shared" si="57"/>
        <v/>
      </c>
      <c r="AI233" s="525" t="str">
        <f t="shared" si="58"/>
        <v/>
      </c>
      <c r="AJ233" s="522"/>
      <c r="AK233" s="522" t="s">
        <v>315</v>
      </c>
      <c r="AL233" s="526" t="str">
        <f t="shared" si="63"/>
        <v/>
      </c>
      <c r="AM233" s="526" t="str">
        <f t="shared" si="64"/>
        <v/>
      </c>
      <c r="AN233" s="526" t="str">
        <f t="shared" si="65"/>
        <v/>
      </c>
      <c r="AO233" s="526" t="str">
        <f t="shared" si="66"/>
        <v/>
      </c>
    </row>
    <row r="234" spans="1:41" x14ac:dyDescent="0.25">
      <c r="A234" s="2">
        <v>5176376</v>
      </c>
      <c r="B234" s="522" t="s">
        <v>312</v>
      </c>
      <c r="C234" s="522">
        <v>2018</v>
      </c>
      <c r="D234" s="522" t="s">
        <v>297</v>
      </c>
      <c r="E234" s="522" t="s">
        <v>333</v>
      </c>
      <c r="F234" s="522" t="s">
        <v>299</v>
      </c>
      <c r="G234" s="522"/>
      <c r="H234" s="522" t="s">
        <v>353</v>
      </c>
      <c r="I234" s="522"/>
      <c r="J234" s="2" t="s">
        <v>301</v>
      </c>
      <c r="K234" s="522" t="str">
        <f t="shared" si="67"/>
        <v>12-hr TWA</v>
      </c>
      <c r="L234" s="522" t="s">
        <v>302</v>
      </c>
      <c r="M234" s="535">
        <v>38896</v>
      </c>
      <c r="N234" s="2">
        <v>600</v>
      </c>
      <c r="O234" s="2">
        <v>1</v>
      </c>
      <c r="P234" s="2"/>
      <c r="Q234" s="2"/>
      <c r="R234" s="2"/>
      <c r="S234" s="2"/>
      <c r="T234" s="2"/>
      <c r="U234" s="2"/>
      <c r="V234" s="2"/>
      <c r="W234" s="2">
        <v>2.4</v>
      </c>
      <c r="X234" s="2" t="str">
        <f t="shared" si="59"/>
        <v/>
      </c>
      <c r="Y234" s="539">
        <f t="shared" si="60"/>
        <v>2</v>
      </c>
      <c r="Z234" s="2"/>
      <c r="AA234" s="2"/>
      <c r="AB234" s="2"/>
      <c r="AC234" s="2"/>
      <c r="AD234" s="540">
        <f t="shared" si="68"/>
        <v>15.098895705521471</v>
      </c>
      <c r="AE234" s="537" t="str">
        <f t="shared" si="61"/>
        <v/>
      </c>
      <c r="AF234" s="540">
        <f t="shared" si="62"/>
        <v>12.58241308793456</v>
      </c>
      <c r="AG234" s="537" t="str">
        <f t="shared" si="56"/>
        <v/>
      </c>
      <c r="AH234" s="537" t="str">
        <f t="shared" si="57"/>
        <v/>
      </c>
      <c r="AI234" s="525" t="str">
        <f t="shared" si="58"/>
        <v/>
      </c>
      <c r="AJ234" s="522"/>
      <c r="AK234" s="522"/>
      <c r="AL234" s="526" t="str">
        <f t="shared" si="63"/>
        <v/>
      </c>
      <c r="AM234" s="526" t="str">
        <f t="shared" si="64"/>
        <v/>
      </c>
      <c r="AN234" s="526">
        <f t="shared" si="65"/>
        <v>2</v>
      </c>
      <c r="AO234" s="526">
        <f t="shared" si="66"/>
        <v>0.69314718055994529</v>
      </c>
    </row>
    <row r="235" spans="1:41" x14ac:dyDescent="0.25">
      <c r="A235" s="2">
        <v>5176376</v>
      </c>
      <c r="B235" s="522" t="s">
        <v>312</v>
      </c>
      <c r="C235" s="522">
        <v>2018</v>
      </c>
      <c r="D235" s="522" t="s">
        <v>297</v>
      </c>
      <c r="E235" s="522" t="s">
        <v>333</v>
      </c>
      <c r="F235" s="522" t="s">
        <v>299</v>
      </c>
      <c r="G235" s="522"/>
      <c r="H235" s="522" t="s">
        <v>355</v>
      </c>
      <c r="I235" s="522"/>
      <c r="J235" s="2" t="s">
        <v>301</v>
      </c>
      <c r="K235" s="522" t="str">
        <f t="shared" si="67"/>
        <v>12-hr TWA</v>
      </c>
      <c r="L235" s="522" t="s">
        <v>302</v>
      </c>
      <c r="M235" s="535">
        <v>39056</v>
      </c>
      <c r="N235" s="2">
        <v>660</v>
      </c>
      <c r="O235" s="2">
        <v>1</v>
      </c>
      <c r="P235" s="2"/>
      <c r="Q235" s="2"/>
      <c r="R235" s="2"/>
      <c r="S235" s="2"/>
      <c r="T235" s="2"/>
      <c r="U235" s="2"/>
      <c r="V235" s="2"/>
      <c r="W235" s="2">
        <v>1.7999999999999999E-2</v>
      </c>
      <c r="X235" s="2" t="str">
        <f t="shared" si="59"/>
        <v/>
      </c>
      <c r="Y235" s="525">
        <f t="shared" si="60"/>
        <v>8.2499999999999987E-3</v>
      </c>
      <c r="Z235" s="2"/>
      <c r="AA235" s="2"/>
      <c r="AB235" s="2"/>
      <c r="AC235" s="2"/>
      <c r="AD235" s="536">
        <f t="shared" si="68"/>
        <v>0.11324171779141104</v>
      </c>
      <c r="AE235" s="537" t="str">
        <f t="shared" si="61"/>
        <v/>
      </c>
      <c r="AF235" s="553">
        <f t="shared" si="62"/>
        <v>5.1902453987730052E-2</v>
      </c>
      <c r="AG235" s="537" t="str">
        <f t="shared" si="56"/>
        <v/>
      </c>
      <c r="AH235" s="537" t="str">
        <f t="shared" si="57"/>
        <v/>
      </c>
      <c r="AI235" s="525" t="str">
        <f t="shared" si="58"/>
        <v/>
      </c>
      <c r="AJ235" s="522"/>
      <c r="AK235" s="522" t="s">
        <v>315</v>
      </c>
      <c r="AL235" s="526" t="str">
        <f t="shared" si="63"/>
        <v/>
      </c>
      <c r="AM235" s="526" t="str">
        <f t="shared" si="64"/>
        <v/>
      </c>
      <c r="AN235" s="526" t="str">
        <f t="shared" si="65"/>
        <v/>
      </c>
      <c r="AO235" s="526" t="str">
        <f t="shared" si="66"/>
        <v/>
      </c>
    </row>
    <row r="236" spans="1:41" x14ac:dyDescent="0.25">
      <c r="A236" s="2">
        <v>5176376</v>
      </c>
      <c r="B236" s="522" t="s">
        <v>312</v>
      </c>
      <c r="C236" s="522">
        <v>2018</v>
      </c>
      <c r="D236" s="522" t="s">
        <v>297</v>
      </c>
      <c r="E236" s="522" t="s">
        <v>333</v>
      </c>
      <c r="F236" s="522" t="s">
        <v>299</v>
      </c>
      <c r="G236" s="522"/>
      <c r="H236" s="522" t="s">
        <v>355</v>
      </c>
      <c r="I236" s="522"/>
      <c r="J236" s="2" t="s">
        <v>301</v>
      </c>
      <c r="K236" s="522" t="str">
        <f t="shared" si="67"/>
        <v>12-hr TWA</v>
      </c>
      <c r="L236" s="522" t="s">
        <v>302</v>
      </c>
      <c r="M236" s="535">
        <v>39056</v>
      </c>
      <c r="N236" s="2">
        <v>660</v>
      </c>
      <c r="O236" s="2">
        <v>1</v>
      </c>
      <c r="P236" s="2"/>
      <c r="Q236" s="2"/>
      <c r="R236" s="2"/>
      <c r="S236" s="2"/>
      <c r="T236" s="2"/>
      <c r="U236" s="2"/>
      <c r="V236" s="2"/>
      <c r="W236" s="2">
        <v>1.7999999999999999E-2</v>
      </c>
      <c r="X236" s="2" t="str">
        <f t="shared" si="59"/>
        <v/>
      </c>
      <c r="Y236" s="525">
        <f t="shared" si="60"/>
        <v>8.2499999999999987E-3</v>
      </c>
      <c r="Z236" s="2"/>
      <c r="AA236" s="2"/>
      <c r="AB236" s="2"/>
      <c r="AC236" s="2"/>
      <c r="AD236" s="536">
        <f t="shared" si="68"/>
        <v>0.11324171779141104</v>
      </c>
      <c r="AE236" s="537" t="str">
        <f t="shared" si="61"/>
        <v/>
      </c>
      <c r="AF236" s="553">
        <f t="shared" si="62"/>
        <v>5.1902453987730052E-2</v>
      </c>
      <c r="AG236" s="537" t="str">
        <f t="shared" si="56"/>
        <v/>
      </c>
      <c r="AH236" s="537" t="str">
        <f t="shared" si="57"/>
        <v/>
      </c>
      <c r="AI236" s="525" t="str">
        <f t="shared" si="58"/>
        <v/>
      </c>
      <c r="AJ236" s="522"/>
      <c r="AK236" s="522" t="s">
        <v>315</v>
      </c>
      <c r="AL236" s="526" t="str">
        <f t="shared" si="63"/>
        <v/>
      </c>
      <c r="AM236" s="526" t="str">
        <f t="shared" si="64"/>
        <v/>
      </c>
      <c r="AN236" s="526" t="str">
        <f t="shared" si="65"/>
        <v/>
      </c>
      <c r="AO236" s="526" t="str">
        <f t="shared" si="66"/>
        <v/>
      </c>
    </row>
    <row r="237" spans="1:41" x14ac:dyDescent="0.25">
      <c r="A237" s="2">
        <v>5176376</v>
      </c>
      <c r="B237" s="522" t="s">
        <v>312</v>
      </c>
      <c r="C237" s="522">
        <v>2018</v>
      </c>
      <c r="D237" s="522" t="s">
        <v>297</v>
      </c>
      <c r="E237" s="522" t="s">
        <v>333</v>
      </c>
      <c r="F237" s="522" t="s">
        <v>299</v>
      </c>
      <c r="G237" s="522"/>
      <c r="H237" s="522" t="s">
        <v>356</v>
      </c>
      <c r="I237" s="522"/>
      <c r="J237" s="2" t="s">
        <v>301</v>
      </c>
      <c r="K237" s="522" t="str">
        <f t="shared" si="67"/>
        <v>12-hr TWA</v>
      </c>
      <c r="L237" s="522" t="s">
        <v>302</v>
      </c>
      <c r="M237" s="535">
        <v>39056</v>
      </c>
      <c r="N237" s="2">
        <v>660</v>
      </c>
      <c r="O237" s="2">
        <v>1</v>
      </c>
      <c r="P237" s="2"/>
      <c r="Q237" s="2"/>
      <c r="R237" s="2"/>
      <c r="S237" s="2"/>
      <c r="T237" s="2"/>
      <c r="U237" s="2"/>
      <c r="V237" s="2"/>
      <c r="W237" s="2">
        <v>2.3E-2</v>
      </c>
      <c r="X237" s="2" t="str">
        <f t="shared" si="59"/>
        <v/>
      </c>
      <c r="Y237" s="524">
        <f t="shared" si="60"/>
        <v>1.0541666666666666E-2</v>
      </c>
      <c r="Z237" s="2"/>
      <c r="AA237" s="2"/>
      <c r="AB237" s="2"/>
      <c r="AC237" s="2"/>
      <c r="AD237" s="536">
        <f t="shared" si="68"/>
        <v>0.14469775051124745</v>
      </c>
      <c r="AE237" s="537" t="str">
        <f t="shared" si="61"/>
        <v/>
      </c>
      <c r="AF237" s="553">
        <f t="shared" si="62"/>
        <v>6.631980231765508E-2</v>
      </c>
      <c r="AG237" s="537" t="str">
        <f t="shared" si="56"/>
        <v/>
      </c>
      <c r="AH237" s="537" t="str">
        <f t="shared" si="57"/>
        <v/>
      </c>
      <c r="AI237" s="525" t="str">
        <f t="shared" si="58"/>
        <v/>
      </c>
      <c r="AJ237" s="522"/>
      <c r="AK237" s="522" t="s">
        <v>315</v>
      </c>
      <c r="AL237" s="526" t="str">
        <f t="shared" si="63"/>
        <v/>
      </c>
      <c r="AM237" s="526" t="str">
        <f t="shared" si="64"/>
        <v/>
      </c>
      <c r="AN237" s="526" t="str">
        <f t="shared" si="65"/>
        <v/>
      </c>
      <c r="AO237" s="526" t="str">
        <f t="shared" si="66"/>
        <v/>
      </c>
    </row>
    <row r="238" spans="1:41" x14ac:dyDescent="0.25">
      <c r="A238" s="2">
        <v>5176376</v>
      </c>
      <c r="B238" s="522" t="s">
        <v>312</v>
      </c>
      <c r="C238" s="522">
        <v>2018</v>
      </c>
      <c r="D238" s="522" t="s">
        <v>297</v>
      </c>
      <c r="E238" s="522" t="s">
        <v>333</v>
      </c>
      <c r="F238" s="522" t="s">
        <v>299</v>
      </c>
      <c r="G238" s="522"/>
      <c r="H238" s="522" t="s">
        <v>355</v>
      </c>
      <c r="I238" s="522"/>
      <c r="J238" s="2" t="s">
        <v>301</v>
      </c>
      <c r="K238" s="522" t="str">
        <f t="shared" si="67"/>
        <v>12-hr TWA</v>
      </c>
      <c r="L238" s="522" t="s">
        <v>302</v>
      </c>
      <c r="M238" s="535">
        <v>39057</v>
      </c>
      <c r="N238" s="2">
        <v>660</v>
      </c>
      <c r="O238" s="2">
        <v>1</v>
      </c>
      <c r="P238" s="2"/>
      <c r="Q238" s="2"/>
      <c r="R238" s="2"/>
      <c r="S238" s="2"/>
      <c r="T238" s="2"/>
      <c r="U238" s="2"/>
      <c r="V238" s="2"/>
      <c r="W238" s="2">
        <v>2.3E-2</v>
      </c>
      <c r="X238" s="2" t="str">
        <f t="shared" si="59"/>
        <v/>
      </c>
      <c r="Y238" s="524">
        <f t="shared" si="60"/>
        <v>1.0541666666666666E-2</v>
      </c>
      <c r="Z238" s="2"/>
      <c r="AA238" s="2"/>
      <c r="AB238" s="2"/>
      <c r="AC238" s="2"/>
      <c r="AD238" s="536">
        <f t="shared" si="68"/>
        <v>0.14469775051124745</v>
      </c>
      <c r="AE238" s="537" t="str">
        <f t="shared" si="61"/>
        <v/>
      </c>
      <c r="AF238" s="553">
        <f t="shared" si="62"/>
        <v>6.631980231765508E-2</v>
      </c>
      <c r="AG238" s="537" t="str">
        <f t="shared" si="56"/>
        <v/>
      </c>
      <c r="AH238" s="537" t="str">
        <f t="shared" si="57"/>
        <v/>
      </c>
      <c r="AI238" s="525" t="str">
        <f t="shared" si="58"/>
        <v/>
      </c>
      <c r="AJ238" s="522"/>
      <c r="AK238" s="522" t="s">
        <v>315</v>
      </c>
      <c r="AL238" s="526" t="str">
        <f t="shared" si="63"/>
        <v/>
      </c>
      <c r="AM238" s="526" t="str">
        <f t="shared" si="64"/>
        <v/>
      </c>
      <c r="AN238" s="526" t="str">
        <f t="shared" si="65"/>
        <v/>
      </c>
      <c r="AO238" s="526" t="str">
        <f t="shared" si="66"/>
        <v/>
      </c>
    </row>
    <row r="239" spans="1:41" x14ac:dyDescent="0.25">
      <c r="A239" s="2">
        <v>5176376</v>
      </c>
      <c r="B239" s="522" t="s">
        <v>312</v>
      </c>
      <c r="C239" s="522">
        <v>2018</v>
      </c>
      <c r="D239" s="522" t="s">
        <v>297</v>
      </c>
      <c r="E239" s="522" t="s">
        <v>333</v>
      </c>
      <c r="F239" s="522" t="s">
        <v>299</v>
      </c>
      <c r="G239" s="522"/>
      <c r="H239" s="522" t="s">
        <v>356</v>
      </c>
      <c r="I239" s="522"/>
      <c r="J239" s="2" t="s">
        <v>301</v>
      </c>
      <c r="K239" s="522" t="str">
        <f t="shared" si="67"/>
        <v>12-hr TWA</v>
      </c>
      <c r="L239" s="522" t="s">
        <v>302</v>
      </c>
      <c r="M239" s="535">
        <v>39057</v>
      </c>
      <c r="N239" s="2">
        <v>660</v>
      </c>
      <c r="O239" s="2">
        <v>1</v>
      </c>
      <c r="P239" s="2"/>
      <c r="Q239" s="2"/>
      <c r="R239" s="2"/>
      <c r="S239" s="2"/>
      <c r="T239" s="2"/>
      <c r="U239" s="2"/>
      <c r="V239" s="2"/>
      <c r="W239" s="2">
        <v>2.3E-2</v>
      </c>
      <c r="X239" s="2" t="str">
        <f t="shared" si="59"/>
        <v/>
      </c>
      <c r="Y239" s="524">
        <f t="shared" si="60"/>
        <v>1.0541666666666666E-2</v>
      </c>
      <c r="Z239" s="2"/>
      <c r="AA239" s="2"/>
      <c r="AB239" s="2"/>
      <c r="AC239" s="2"/>
      <c r="AD239" s="536">
        <f t="shared" si="68"/>
        <v>0.14469775051124745</v>
      </c>
      <c r="AE239" s="537" t="str">
        <f t="shared" si="61"/>
        <v/>
      </c>
      <c r="AF239" s="553">
        <f t="shared" si="62"/>
        <v>6.631980231765508E-2</v>
      </c>
      <c r="AG239" s="537" t="str">
        <f t="shared" si="56"/>
        <v/>
      </c>
      <c r="AH239" s="537" t="str">
        <f t="shared" si="57"/>
        <v/>
      </c>
      <c r="AI239" s="525" t="str">
        <f t="shared" si="58"/>
        <v/>
      </c>
      <c r="AJ239" s="522"/>
      <c r="AK239" s="522" t="s">
        <v>315</v>
      </c>
      <c r="AL239" s="526" t="str">
        <f t="shared" si="63"/>
        <v/>
      </c>
      <c r="AM239" s="526" t="str">
        <f t="shared" si="64"/>
        <v/>
      </c>
      <c r="AN239" s="526" t="str">
        <f t="shared" si="65"/>
        <v/>
      </c>
      <c r="AO239" s="526" t="str">
        <f t="shared" si="66"/>
        <v/>
      </c>
    </row>
    <row r="240" spans="1:41" x14ac:dyDescent="0.25">
      <c r="A240" s="2">
        <v>5176376</v>
      </c>
      <c r="B240" s="522" t="s">
        <v>312</v>
      </c>
      <c r="C240" s="522">
        <v>2018</v>
      </c>
      <c r="D240" s="522" t="s">
        <v>297</v>
      </c>
      <c r="E240" s="522" t="s">
        <v>333</v>
      </c>
      <c r="F240" s="522" t="s">
        <v>299</v>
      </c>
      <c r="G240" s="522"/>
      <c r="H240" s="522" t="s">
        <v>357</v>
      </c>
      <c r="I240" s="522"/>
      <c r="J240" s="2" t="s">
        <v>301</v>
      </c>
      <c r="K240" s="522" t="str">
        <f t="shared" si="67"/>
        <v>12-hr TWA</v>
      </c>
      <c r="L240" s="522" t="s">
        <v>302</v>
      </c>
      <c r="M240" s="535">
        <v>39057</v>
      </c>
      <c r="N240" s="2">
        <v>600</v>
      </c>
      <c r="O240" s="2">
        <v>1</v>
      </c>
      <c r="P240" s="2"/>
      <c r="Q240" s="2"/>
      <c r="R240" s="2"/>
      <c r="S240" s="2"/>
      <c r="T240" s="2"/>
      <c r="U240" s="2"/>
      <c r="V240" s="2"/>
      <c r="W240" s="2">
        <v>2.3E-2</v>
      </c>
      <c r="X240" s="2" t="str">
        <f t="shared" si="59"/>
        <v/>
      </c>
      <c r="Y240" s="525">
        <f t="shared" si="60"/>
        <v>9.5833333333333326E-3</v>
      </c>
      <c r="Z240" s="2"/>
      <c r="AA240" s="2"/>
      <c r="AB240" s="2"/>
      <c r="AC240" s="2"/>
      <c r="AD240" s="536">
        <f t="shared" si="68"/>
        <v>0.14469775051124745</v>
      </c>
      <c r="AE240" s="537" t="str">
        <f t="shared" si="61"/>
        <v/>
      </c>
      <c r="AF240" s="553">
        <f t="shared" si="62"/>
        <v>6.0290729379686429E-2</v>
      </c>
      <c r="AG240" s="537" t="str">
        <f t="shared" si="56"/>
        <v/>
      </c>
      <c r="AH240" s="537" t="str">
        <f t="shared" si="57"/>
        <v/>
      </c>
      <c r="AI240" s="525" t="str">
        <f t="shared" si="58"/>
        <v/>
      </c>
      <c r="AJ240" s="522"/>
      <c r="AK240" s="522" t="s">
        <v>315</v>
      </c>
      <c r="AL240" s="526" t="str">
        <f t="shared" si="63"/>
        <v/>
      </c>
      <c r="AM240" s="526" t="str">
        <f t="shared" si="64"/>
        <v/>
      </c>
      <c r="AN240" s="526" t="str">
        <f t="shared" si="65"/>
        <v/>
      </c>
      <c r="AO240" s="526" t="str">
        <f t="shared" si="66"/>
        <v/>
      </c>
    </row>
    <row r="241" spans="1:41" x14ac:dyDescent="0.25">
      <c r="A241" s="2">
        <v>5176376</v>
      </c>
      <c r="B241" s="522" t="s">
        <v>312</v>
      </c>
      <c r="C241" s="522">
        <v>2018</v>
      </c>
      <c r="D241" s="522" t="s">
        <v>297</v>
      </c>
      <c r="E241" s="522" t="s">
        <v>333</v>
      </c>
      <c r="F241" s="522" t="s">
        <v>299</v>
      </c>
      <c r="G241" s="522"/>
      <c r="H241" s="522" t="s">
        <v>353</v>
      </c>
      <c r="I241" s="522"/>
      <c r="J241" s="2" t="s">
        <v>301</v>
      </c>
      <c r="K241" s="522" t="str">
        <f t="shared" si="67"/>
        <v>8-hr TWA</v>
      </c>
      <c r="L241" s="522" t="s">
        <v>302</v>
      </c>
      <c r="M241" s="535">
        <v>39160</v>
      </c>
      <c r="N241" s="2">
        <v>420</v>
      </c>
      <c r="O241" s="2">
        <v>1</v>
      </c>
      <c r="P241" s="2"/>
      <c r="Q241" s="2"/>
      <c r="R241" s="2"/>
      <c r="S241" s="2"/>
      <c r="T241" s="2"/>
      <c r="U241" s="2"/>
      <c r="V241" s="2"/>
      <c r="W241" s="2">
        <v>0.34</v>
      </c>
      <c r="X241" s="444">
        <f t="shared" ref="X241:X272" si="69">IF($K241="8-hr TWA", IF($N241&lt;480,IF($AK241="ND",IF($AR$9&lt;3,($W241/SQRT(2))*$N241/480, ($W241/2)*$N241/480),$W241*$N241/480),IF($AK241="ND",IF($AR$9&lt;3,($W241/SQRT(2)), ($W241/2)),$W241)),"")</f>
        <v>0.21036426740299788</v>
      </c>
      <c r="Y241" s="2" t="str">
        <f t="shared" ref="Y241:Y272" si="70">IF($K241="12-hr TWA", IF($N241&lt;720,IF($AK241="ND",IF($AS$9&lt;3,($W241/SQRT(2))*$N241/720, ($W241/2)*$N241/720),$W241*$N241/720),IF($AK241="ND",IF($AS$9&lt;3,($W241/SQRT(2)), ($W241/2)),$W241)),"")</f>
        <v/>
      </c>
      <c r="Z241" s="2"/>
      <c r="AA241" s="2"/>
      <c r="AB241" s="2"/>
      <c r="AC241" s="2"/>
      <c r="AD241" s="537">
        <f t="shared" si="68"/>
        <v>2.1390102249488754</v>
      </c>
      <c r="AE241" s="537">
        <f t="shared" ref="AE241:AE272" si="71">+IFERROR(X241*MolW/MolVol,"")</f>
        <v>1.3234450557026232</v>
      </c>
      <c r="AF241" s="537" t="str">
        <f t="shared" ref="AF241:AF272" si="72">+IFERROR(Y241*MolW/MolVol,"")</f>
        <v/>
      </c>
      <c r="AG241" s="537" t="str">
        <f t="shared" si="56"/>
        <v/>
      </c>
      <c r="AH241" s="537" t="str">
        <f t="shared" si="57"/>
        <v/>
      </c>
      <c r="AI241" s="525" t="str">
        <f t="shared" si="58"/>
        <v/>
      </c>
      <c r="AJ241" s="522"/>
      <c r="AK241" s="522" t="s">
        <v>315</v>
      </c>
      <c r="AL241" s="526" t="str">
        <f t="shared" ref="AL241:AL272" si="73">IF($K241="8-hr TWA", IF($AK241&lt;&gt;"ND", IF($N241&lt;480, $W241*$N241/480,$W241),""),"")</f>
        <v/>
      </c>
      <c r="AM241" s="526" t="str">
        <f t="shared" ref="AM241:AM272" si="74">+IFERROR(LN(AL241), "")</f>
        <v/>
      </c>
      <c r="AN241" s="526" t="str">
        <f t="shared" ref="AN241:AN272" si="75">IF($K241="12-hr TWA", IF($AK241&lt;&gt;"ND", IF($N241&lt;720, $W241*$N241/720,$W241),""),"")</f>
        <v/>
      </c>
      <c r="AO241" s="526" t="str">
        <f t="shared" ref="AO241:AO272" si="76">+IFERROR(LN(AN241), "")</f>
        <v/>
      </c>
    </row>
    <row r="242" spans="1:41" x14ac:dyDescent="0.25">
      <c r="A242" s="2">
        <v>5176376</v>
      </c>
      <c r="B242" s="522" t="s">
        <v>312</v>
      </c>
      <c r="C242" s="522">
        <v>2018</v>
      </c>
      <c r="D242" s="522" t="s">
        <v>297</v>
      </c>
      <c r="E242" s="522" t="s">
        <v>333</v>
      </c>
      <c r="F242" s="522" t="s">
        <v>299</v>
      </c>
      <c r="G242" s="522"/>
      <c r="H242" s="522" t="s">
        <v>353</v>
      </c>
      <c r="I242" s="522"/>
      <c r="J242" s="2" t="s">
        <v>301</v>
      </c>
      <c r="K242" s="522" t="str">
        <f t="shared" si="67"/>
        <v>12-hr TWA</v>
      </c>
      <c r="L242" s="522" t="s">
        <v>302</v>
      </c>
      <c r="M242" s="535">
        <v>39160</v>
      </c>
      <c r="N242" s="2">
        <v>570</v>
      </c>
      <c r="O242" s="2">
        <v>1</v>
      </c>
      <c r="P242" s="2"/>
      <c r="Q242" s="2"/>
      <c r="R242" s="2"/>
      <c r="S242" s="2"/>
      <c r="T242" s="2"/>
      <c r="U242" s="2"/>
      <c r="V242" s="2"/>
      <c r="W242" s="2">
        <v>0.25</v>
      </c>
      <c r="X242" s="444" t="str">
        <f t="shared" si="69"/>
        <v/>
      </c>
      <c r="Y242" s="524">
        <f t="shared" si="70"/>
        <v>9.8958333333333329E-2</v>
      </c>
      <c r="Z242" s="2"/>
      <c r="AA242" s="2"/>
      <c r="AB242" s="2"/>
      <c r="AC242" s="2"/>
      <c r="AD242" s="537">
        <f t="shared" si="68"/>
        <v>1.57280163599182</v>
      </c>
      <c r="AE242" s="537" t="str">
        <f t="shared" si="71"/>
        <v/>
      </c>
      <c r="AF242" s="536">
        <f t="shared" si="72"/>
        <v>0.62256731424676204</v>
      </c>
      <c r="AG242" s="537" t="str">
        <f t="shared" si="56"/>
        <v/>
      </c>
      <c r="AH242" s="537" t="str">
        <f t="shared" si="57"/>
        <v/>
      </c>
      <c r="AI242" s="525" t="str">
        <f t="shared" si="58"/>
        <v/>
      </c>
      <c r="AJ242" s="522"/>
      <c r="AK242" s="522" t="s">
        <v>315</v>
      </c>
      <c r="AL242" s="526" t="str">
        <f t="shared" si="73"/>
        <v/>
      </c>
      <c r="AM242" s="526" t="str">
        <f t="shared" si="74"/>
        <v/>
      </c>
      <c r="AN242" s="526" t="str">
        <f t="shared" si="75"/>
        <v/>
      </c>
      <c r="AO242" s="526" t="str">
        <f t="shared" si="76"/>
        <v/>
      </c>
    </row>
    <row r="243" spans="1:41" x14ac:dyDescent="0.25">
      <c r="A243" s="2">
        <v>5176376</v>
      </c>
      <c r="B243" s="522" t="s">
        <v>312</v>
      </c>
      <c r="C243" s="522">
        <v>2018</v>
      </c>
      <c r="D243" s="522" t="s">
        <v>297</v>
      </c>
      <c r="E243" s="522" t="s">
        <v>333</v>
      </c>
      <c r="F243" s="522" t="s">
        <v>299</v>
      </c>
      <c r="G243" s="522"/>
      <c r="H243" s="522" t="s">
        <v>353</v>
      </c>
      <c r="I243" s="522"/>
      <c r="J243" s="2" t="s">
        <v>301</v>
      </c>
      <c r="K243" s="522" t="str">
        <f t="shared" si="67"/>
        <v>12-hr TWA</v>
      </c>
      <c r="L243" s="522" t="s">
        <v>302</v>
      </c>
      <c r="M243" s="535">
        <v>39162</v>
      </c>
      <c r="N243" s="2">
        <v>585</v>
      </c>
      <c r="O243" s="2">
        <v>1</v>
      </c>
      <c r="P243" s="2"/>
      <c r="Q243" s="2"/>
      <c r="R243" s="2"/>
      <c r="S243" s="2"/>
      <c r="T243" s="2"/>
      <c r="U243" s="2"/>
      <c r="V243" s="2"/>
      <c r="W243" s="2">
        <v>0.24</v>
      </c>
      <c r="X243" s="444" t="str">
        <f t="shared" si="69"/>
        <v/>
      </c>
      <c r="Y243" s="524">
        <f t="shared" si="70"/>
        <v>9.7500000000000003E-2</v>
      </c>
      <c r="Z243" s="2"/>
      <c r="AA243" s="2"/>
      <c r="AB243" s="2"/>
      <c r="AC243" s="2"/>
      <c r="AD243" s="537">
        <f t="shared" si="68"/>
        <v>1.5098895705521471</v>
      </c>
      <c r="AE243" s="537" t="str">
        <f t="shared" si="71"/>
        <v/>
      </c>
      <c r="AF243" s="536">
        <f t="shared" si="72"/>
        <v>0.61339263803680988</v>
      </c>
      <c r="AG243" s="537" t="str">
        <f t="shared" si="56"/>
        <v/>
      </c>
      <c r="AH243" s="537" t="str">
        <f t="shared" si="57"/>
        <v/>
      </c>
      <c r="AI243" s="525" t="str">
        <f t="shared" si="58"/>
        <v/>
      </c>
      <c r="AJ243" s="522"/>
      <c r="AK243" s="522" t="s">
        <v>315</v>
      </c>
      <c r="AL243" s="526" t="str">
        <f t="shared" si="73"/>
        <v/>
      </c>
      <c r="AM243" s="526" t="str">
        <f t="shared" si="74"/>
        <v/>
      </c>
      <c r="AN243" s="526" t="str">
        <f t="shared" si="75"/>
        <v/>
      </c>
      <c r="AO243" s="526" t="str">
        <f t="shared" si="76"/>
        <v/>
      </c>
    </row>
    <row r="244" spans="1:41" x14ac:dyDescent="0.25">
      <c r="A244" s="2">
        <v>5176376</v>
      </c>
      <c r="B244" s="522" t="s">
        <v>312</v>
      </c>
      <c r="C244" s="522">
        <v>2018</v>
      </c>
      <c r="D244" s="522" t="s">
        <v>297</v>
      </c>
      <c r="E244" s="522" t="s">
        <v>333</v>
      </c>
      <c r="F244" s="522" t="s">
        <v>299</v>
      </c>
      <c r="G244" s="522"/>
      <c r="H244" s="522" t="s">
        <v>353</v>
      </c>
      <c r="I244" s="522"/>
      <c r="J244" s="2" t="s">
        <v>301</v>
      </c>
      <c r="K244" s="522" t="str">
        <f t="shared" si="67"/>
        <v>12-hr TWA</v>
      </c>
      <c r="L244" s="522" t="s">
        <v>302</v>
      </c>
      <c r="M244" s="535">
        <v>39163</v>
      </c>
      <c r="N244" s="2">
        <v>600</v>
      </c>
      <c r="O244" s="2">
        <v>1</v>
      </c>
      <c r="P244" s="2"/>
      <c r="Q244" s="2"/>
      <c r="R244" s="2"/>
      <c r="S244" s="2"/>
      <c r="T244" s="2"/>
      <c r="U244" s="2"/>
      <c r="V244" s="2"/>
      <c r="W244" s="2">
        <v>0.24</v>
      </c>
      <c r="X244" s="444" t="str">
        <f t="shared" si="69"/>
        <v/>
      </c>
      <c r="Y244" s="444">
        <f t="shared" si="70"/>
        <v>0.1</v>
      </c>
      <c r="Z244" s="2"/>
      <c r="AA244" s="2"/>
      <c r="AB244" s="2"/>
      <c r="AC244" s="2"/>
      <c r="AD244" s="537">
        <f t="shared" si="68"/>
        <v>1.5098895705521471</v>
      </c>
      <c r="AE244" s="537" t="str">
        <f t="shared" si="71"/>
        <v/>
      </c>
      <c r="AF244" s="536">
        <f t="shared" si="72"/>
        <v>0.62912065439672804</v>
      </c>
      <c r="AG244" s="537" t="str">
        <f t="shared" si="56"/>
        <v/>
      </c>
      <c r="AH244" s="537" t="str">
        <f t="shared" si="57"/>
        <v/>
      </c>
      <c r="AI244" s="525" t="str">
        <f t="shared" si="58"/>
        <v/>
      </c>
      <c r="AJ244" s="522"/>
      <c r="AK244" s="522" t="s">
        <v>315</v>
      </c>
      <c r="AL244" s="526" t="str">
        <f t="shared" si="73"/>
        <v/>
      </c>
      <c r="AM244" s="526" t="str">
        <f t="shared" si="74"/>
        <v/>
      </c>
      <c r="AN244" s="526" t="str">
        <f t="shared" si="75"/>
        <v/>
      </c>
      <c r="AO244" s="526" t="str">
        <f t="shared" si="76"/>
        <v/>
      </c>
    </row>
    <row r="245" spans="1:41" x14ac:dyDescent="0.25">
      <c r="A245" s="2">
        <v>5176376</v>
      </c>
      <c r="B245" s="522" t="s">
        <v>312</v>
      </c>
      <c r="C245" s="522">
        <v>2018</v>
      </c>
      <c r="D245" s="522" t="s">
        <v>297</v>
      </c>
      <c r="E245" s="522" t="s">
        <v>333</v>
      </c>
      <c r="F245" s="522" t="s">
        <v>299</v>
      </c>
      <c r="G245" s="522"/>
      <c r="H245" s="522" t="s">
        <v>353</v>
      </c>
      <c r="I245" s="522"/>
      <c r="J245" s="2" t="s">
        <v>301</v>
      </c>
      <c r="K245" s="522" t="str">
        <f t="shared" si="67"/>
        <v>8-hr TWA</v>
      </c>
      <c r="L245" s="522" t="s">
        <v>302</v>
      </c>
      <c r="M245" s="535">
        <v>39163</v>
      </c>
      <c r="N245" s="2">
        <v>470</v>
      </c>
      <c r="O245" s="2">
        <v>1</v>
      </c>
      <c r="P245" s="2"/>
      <c r="Q245" s="2"/>
      <c r="R245" s="2"/>
      <c r="S245" s="2"/>
      <c r="T245" s="2"/>
      <c r="U245" s="2"/>
      <c r="V245" s="2"/>
      <c r="W245" s="2">
        <v>0.3</v>
      </c>
      <c r="X245" s="444">
        <f t="shared" si="69"/>
        <v>0.20771261697354829</v>
      </c>
      <c r="Y245" s="2" t="str">
        <f t="shared" si="70"/>
        <v/>
      </c>
      <c r="Z245" s="2"/>
      <c r="AA245" s="2"/>
      <c r="AB245" s="2"/>
      <c r="AC245" s="2"/>
      <c r="AD245" s="537">
        <f t="shared" si="68"/>
        <v>1.8873619631901839</v>
      </c>
      <c r="AE245" s="537">
        <f t="shared" si="71"/>
        <v>1.3067629751685561</v>
      </c>
      <c r="AF245" s="536" t="str">
        <f t="shared" si="72"/>
        <v/>
      </c>
      <c r="AG245" s="537" t="str">
        <f t="shared" si="56"/>
        <v/>
      </c>
      <c r="AH245" s="537" t="str">
        <f t="shared" si="57"/>
        <v/>
      </c>
      <c r="AI245" s="525" t="str">
        <f t="shared" si="58"/>
        <v/>
      </c>
      <c r="AJ245" s="522"/>
      <c r="AK245" s="522" t="s">
        <v>315</v>
      </c>
      <c r="AL245" s="526" t="str">
        <f t="shared" si="73"/>
        <v/>
      </c>
      <c r="AM245" s="526" t="str">
        <f t="shared" si="74"/>
        <v/>
      </c>
      <c r="AN245" s="526" t="str">
        <f t="shared" si="75"/>
        <v/>
      </c>
      <c r="AO245" s="526" t="str">
        <f t="shared" si="76"/>
        <v/>
      </c>
    </row>
    <row r="246" spans="1:41" x14ac:dyDescent="0.25">
      <c r="A246" s="2">
        <v>5176376</v>
      </c>
      <c r="B246" s="522" t="s">
        <v>312</v>
      </c>
      <c r="C246" s="522">
        <v>2018</v>
      </c>
      <c r="D246" s="522" t="s">
        <v>297</v>
      </c>
      <c r="E246" s="522" t="s">
        <v>333</v>
      </c>
      <c r="F246" s="522" t="s">
        <v>299</v>
      </c>
      <c r="G246" s="522"/>
      <c r="H246" s="522" t="s">
        <v>353</v>
      </c>
      <c r="I246" s="522"/>
      <c r="J246" s="2" t="s">
        <v>301</v>
      </c>
      <c r="K246" s="522" t="str">
        <f t="shared" si="67"/>
        <v>12-hr TWA</v>
      </c>
      <c r="L246" s="522" t="s">
        <v>302</v>
      </c>
      <c r="M246" s="535">
        <v>39163</v>
      </c>
      <c r="N246" s="2">
        <v>600</v>
      </c>
      <c r="O246" s="2">
        <v>1</v>
      </c>
      <c r="P246" s="2"/>
      <c r="Q246" s="2"/>
      <c r="R246" s="2"/>
      <c r="S246" s="2"/>
      <c r="T246" s="2"/>
      <c r="U246" s="2"/>
      <c r="V246" s="2"/>
      <c r="W246" s="2">
        <v>0.24</v>
      </c>
      <c r="X246" s="2" t="str">
        <f t="shared" si="69"/>
        <v/>
      </c>
      <c r="Y246" s="444">
        <f t="shared" si="70"/>
        <v>0.1</v>
      </c>
      <c r="Z246" s="2"/>
      <c r="AA246" s="2"/>
      <c r="AB246" s="2"/>
      <c r="AC246" s="2"/>
      <c r="AD246" s="537">
        <f t="shared" si="68"/>
        <v>1.5098895705521471</v>
      </c>
      <c r="AE246" s="537" t="str">
        <f t="shared" si="71"/>
        <v/>
      </c>
      <c r="AF246" s="536">
        <f t="shared" si="72"/>
        <v>0.62912065439672804</v>
      </c>
      <c r="AG246" s="537" t="str">
        <f t="shared" si="56"/>
        <v/>
      </c>
      <c r="AH246" s="537" t="str">
        <f t="shared" si="57"/>
        <v/>
      </c>
      <c r="AI246" s="525" t="str">
        <f t="shared" si="58"/>
        <v/>
      </c>
      <c r="AJ246" s="522"/>
      <c r="AK246" s="522" t="s">
        <v>315</v>
      </c>
      <c r="AL246" s="526" t="str">
        <f t="shared" si="73"/>
        <v/>
      </c>
      <c r="AM246" s="526" t="str">
        <f t="shared" si="74"/>
        <v/>
      </c>
      <c r="AN246" s="526" t="str">
        <f t="shared" si="75"/>
        <v/>
      </c>
      <c r="AO246" s="526" t="str">
        <f t="shared" si="76"/>
        <v/>
      </c>
    </row>
    <row r="247" spans="1:41" x14ac:dyDescent="0.25">
      <c r="A247" s="2">
        <v>5176376</v>
      </c>
      <c r="B247" s="522" t="s">
        <v>312</v>
      </c>
      <c r="C247" s="522">
        <v>2018</v>
      </c>
      <c r="D247" s="522" t="s">
        <v>297</v>
      </c>
      <c r="E247" s="522" t="s">
        <v>333</v>
      </c>
      <c r="F247" s="522" t="s">
        <v>299</v>
      </c>
      <c r="G247" s="522"/>
      <c r="H247" s="522" t="s">
        <v>354</v>
      </c>
      <c r="I247" s="522"/>
      <c r="J247" s="2" t="s">
        <v>301</v>
      </c>
      <c r="K247" s="522" t="str">
        <f t="shared" si="67"/>
        <v>8-hr TWA</v>
      </c>
      <c r="L247" s="522" t="s">
        <v>302</v>
      </c>
      <c r="M247" s="535">
        <v>39209</v>
      </c>
      <c r="N247" s="2">
        <v>525</v>
      </c>
      <c r="O247" s="2">
        <v>1</v>
      </c>
      <c r="P247" s="2"/>
      <c r="Q247" s="2"/>
      <c r="R247" s="2"/>
      <c r="S247" s="2"/>
      <c r="T247" s="2"/>
      <c r="U247" s="2"/>
      <c r="V247" s="2"/>
      <c r="W247" s="2">
        <v>0.27</v>
      </c>
      <c r="X247" s="444">
        <f t="shared" si="69"/>
        <v>0.19091883092036782</v>
      </c>
      <c r="Y247" s="2" t="str">
        <f t="shared" si="70"/>
        <v/>
      </c>
      <c r="Z247" s="2"/>
      <c r="AA247" s="2"/>
      <c r="AB247" s="2"/>
      <c r="AC247" s="2"/>
      <c r="AD247" s="537">
        <f t="shared" si="68"/>
        <v>1.6986257668711655</v>
      </c>
      <c r="AE247" s="537">
        <f t="shared" si="71"/>
        <v>1.2011097984528007</v>
      </c>
      <c r="AF247" s="536" t="str">
        <f t="shared" si="72"/>
        <v/>
      </c>
      <c r="AG247" s="537" t="str">
        <f t="shared" si="56"/>
        <v/>
      </c>
      <c r="AH247" s="537" t="str">
        <f t="shared" si="57"/>
        <v/>
      </c>
      <c r="AI247" s="525" t="str">
        <f t="shared" si="58"/>
        <v/>
      </c>
      <c r="AJ247" s="522"/>
      <c r="AK247" s="522" t="s">
        <v>315</v>
      </c>
      <c r="AL247" s="526" t="str">
        <f t="shared" si="73"/>
        <v/>
      </c>
      <c r="AM247" s="526" t="str">
        <f t="shared" si="74"/>
        <v/>
      </c>
      <c r="AN247" s="526" t="str">
        <f t="shared" si="75"/>
        <v/>
      </c>
      <c r="AO247" s="526" t="str">
        <f t="shared" si="76"/>
        <v/>
      </c>
    </row>
    <row r="248" spans="1:41" x14ac:dyDescent="0.25">
      <c r="A248" s="2">
        <v>5176376</v>
      </c>
      <c r="B248" s="522" t="s">
        <v>312</v>
      </c>
      <c r="C248" s="522">
        <v>2018</v>
      </c>
      <c r="D248" s="522" t="s">
        <v>297</v>
      </c>
      <c r="E248" s="522" t="s">
        <v>333</v>
      </c>
      <c r="F248" s="522" t="s">
        <v>299</v>
      </c>
      <c r="G248" s="522"/>
      <c r="H248" s="522" t="s">
        <v>354</v>
      </c>
      <c r="I248" s="522"/>
      <c r="J248" s="2" t="s">
        <v>301</v>
      </c>
      <c r="K248" s="522" t="str">
        <f t="shared" si="67"/>
        <v>8-hr TWA</v>
      </c>
      <c r="L248" s="522" t="s">
        <v>302</v>
      </c>
      <c r="M248" s="535">
        <v>39209</v>
      </c>
      <c r="N248" s="2">
        <v>510</v>
      </c>
      <c r="O248" s="2">
        <v>1</v>
      </c>
      <c r="P248" s="2"/>
      <c r="Q248" s="2"/>
      <c r="R248" s="2"/>
      <c r="S248" s="2"/>
      <c r="T248" s="2"/>
      <c r="U248" s="2"/>
      <c r="V248" s="2"/>
      <c r="W248" s="2">
        <v>0.28000000000000003</v>
      </c>
      <c r="X248" s="444">
        <f t="shared" si="69"/>
        <v>0.1979898987322333</v>
      </c>
      <c r="Y248" s="2" t="str">
        <f t="shared" si="70"/>
        <v/>
      </c>
      <c r="Z248" s="2"/>
      <c r="AA248" s="2"/>
      <c r="AB248" s="2"/>
      <c r="AC248" s="2"/>
      <c r="AD248" s="537">
        <f t="shared" si="68"/>
        <v>1.7615378323108386</v>
      </c>
      <c r="AE248" s="537">
        <f t="shared" si="71"/>
        <v>1.2455953465436453</v>
      </c>
      <c r="AF248" s="537" t="str">
        <f t="shared" si="72"/>
        <v/>
      </c>
      <c r="AG248" s="537" t="str">
        <f t="shared" si="56"/>
        <v/>
      </c>
      <c r="AH248" s="537" t="str">
        <f t="shared" si="57"/>
        <v/>
      </c>
      <c r="AI248" s="525" t="str">
        <f t="shared" si="58"/>
        <v/>
      </c>
      <c r="AJ248" s="522"/>
      <c r="AK248" s="522" t="s">
        <v>315</v>
      </c>
      <c r="AL248" s="526" t="str">
        <f t="shared" si="73"/>
        <v/>
      </c>
      <c r="AM248" s="526" t="str">
        <f t="shared" si="74"/>
        <v/>
      </c>
      <c r="AN248" s="526" t="str">
        <f t="shared" si="75"/>
        <v/>
      </c>
      <c r="AO248" s="526" t="str">
        <f t="shared" si="76"/>
        <v/>
      </c>
    </row>
    <row r="249" spans="1:41" x14ac:dyDescent="0.25">
      <c r="A249" s="2">
        <v>5176376</v>
      </c>
      <c r="B249" s="522" t="s">
        <v>312</v>
      </c>
      <c r="C249" s="522">
        <v>2018</v>
      </c>
      <c r="D249" s="522" t="s">
        <v>297</v>
      </c>
      <c r="E249" s="522" t="s">
        <v>333</v>
      </c>
      <c r="F249" s="522" t="s">
        <v>299</v>
      </c>
      <c r="G249" s="522"/>
      <c r="H249" s="522" t="s">
        <v>354</v>
      </c>
      <c r="I249" s="522"/>
      <c r="J249" s="2" t="s">
        <v>301</v>
      </c>
      <c r="K249" s="522" t="str">
        <f t="shared" si="67"/>
        <v>8-hr TWA</v>
      </c>
      <c r="L249" s="522" t="s">
        <v>302</v>
      </c>
      <c r="M249" s="535">
        <v>39210</v>
      </c>
      <c r="N249" s="2">
        <v>450</v>
      </c>
      <c r="O249" s="2">
        <v>1</v>
      </c>
      <c r="P249" s="2"/>
      <c r="Q249" s="2"/>
      <c r="R249" s="2"/>
      <c r="S249" s="2"/>
      <c r="T249" s="2"/>
      <c r="U249" s="2"/>
      <c r="V249" s="2"/>
      <c r="W249" s="2">
        <v>0.32</v>
      </c>
      <c r="X249" s="444">
        <f t="shared" si="69"/>
        <v>0.21213203435596423</v>
      </c>
      <c r="Y249" s="2" t="str">
        <f t="shared" si="70"/>
        <v/>
      </c>
      <c r="Z249" s="2"/>
      <c r="AA249" s="2"/>
      <c r="AB249" s="2"/>
      <c r="AC249" s="2"/>
      <c r="AD249" s="537">
        <f t="shared" si="68"/>
        <v>2.0131860940695296</v>
      </c>
      <c r="AE249" s="537">
        <f t="shared" si="71"/>
        <v>1.3345664427253341</v>
      </c>
      <c r="AF249" s="537" t="str">
        <f t="shared" si="72"/>
        <v/>
      </c>
      <c r="AG249" s="537" t="str">
        <f t="shared" si="56"/>
        <v/>
      </c>
      <c r="AH249" s="537" t="str">
        <f t="shared" si="57"/>
        <v/>
      </c>
      <c r="AI249" s="525" t="str">
        <f t="shared" si="58"/>
        <v/>
      </c>
      <c r="AJ249" s="522"/>
      <c r="AK249" s="522" t="s">
        <v>315</v>
      </c>
      <c r="AL249" s="526" t="str">
        <f t="shared" si="73"/>
        <v/>
      </c>
      <c r="AM249" s="526" t="str">
        <f t="shared" si="74"/>
        <v/>
      </c>
      <c r="AN249" s="526" t="str">
        <f t="shared" si="75"/>
        <v/>
      </c>
      <c r="AO249" s="526" t="str">
        <f t="shared" si="76"/>
        <v/>
      </c>
    </row>
    <row r="250" spans="1:41" x14ac:dyDescent="0.25">
      <c r="A250" s="2">
        <v>5176376</v>
      </c>
      <c r="B250" s="522" t="s">
        <v>312</v>
      </c>
      <c r="C250" s="522">
        <v>2018</v>
      </c>
      <c r="D250" s="522" t="s">
        <v>297</v>
      </c>
      <c r="E250" s="522" t="s">
        <v>333</v>
      </c>
      <c r="F250" s="522" t="s">
        <v>299</v>
      </c>
      <c r="G250" s="522"/>
      <c r="H250" s="522" t="s">
        <v>354</v>
      </c>
      <c r="I250" s="522"/>
      <c r="J250" s="2" t="s">
        <v>301</v>
      </c>
      <c r="K250" s="522" t="str">
        <f t="shared" si="67"/>
        <v>12-hr TWA</v>
      </c>
      <c r="L250" s="522" t="s">
        <v>302</v>
      </c>
      <c r="M250" s="535">
        <v>39211</v>
      </c>
      <c r="N250" s="2">
        <v>570</v>
      </c>
      <c r="O250" s="2">
        <v>1</v>
      </c>
      <c r="P250" s="2"/>
      <c r="Q250" s="2"/>
      <c r="R250" s="2"/>
      <c r="S250" s="2"/>
      <c r="T250" s="2"/>
      <c r="U250" s="2"/>
      <c r="V250" s="2"/>
      <c r="W250" s="2">
        <v>0.28000000000000003</v>
      </c>
      <c r="X250" s="2" t="str">
        <f t="shared" si="69"/>
        <v/>
      </c>
      <c r="Y250" s="444">
        <f t="shared" si="70"/>
        <v>0.22166666666666671</v>
      </c>
      <c r="Z250" s="2"/>
      <c r="AA250" s="2"/>
      <c r="AB250" s="2"/>
      <c r="AC250" s="2"/>
      <c r="AD250" s="537">
        <f t="shared" si="68"/>
        <v>1.7615378323108386</v>
      </c>
      <c r="AE250" s="537" t="str">
        <f t="shared" si="71"/>
        <v/>
      </c>
      <c r="AF250" s="537">
        <f t="shared" si="72"/>
        <v>1.3945507839127476</v>
      </c>
      <c r="AG250" s="537" t="str">
        <f t="shared" si="56"/>
        <v/>
      </c>
      <c r="AH250" s="537" t="str">
        <f t="shared" si="57"/>
        <v/>
      </c>
      <c r="AI250" s="525" t="str">
        <f t="shared" si="58"/>
        <v/>
      </c>
      <c r="AJ250" s="522"/>
      <c r="AK250" s="522"/>
      <c r="AL250" s="526" t="str">
        <f t="shared" si="73"/>
        <v/>
      </c>
      <c r="AM250" s="526" t="str">
        <f t="shared" si="74"/>
        <v/>
      </c>
      <c r="AN250" s="526">
        <f t="shared" si="75"/>
        <v>0.22166666666666671</v>
      </c>
      <c r="AO250" s="526">
        <f t="shared" si="76"/>
        <v>-1.5065805269943924</v>
      </c>
    </row>
    <row r="251" spans="1:41" x14ac:dyDescent="0.25">
      <c r="A251" s="2">
        <v>5176376</v>
      </c>
      <c r="B251" s="522" t="s">
        <v>312</v>
      </c>
      <c r="C251" s="522">
        <v>2018</v>
      </c>
      <c r="D251" s="522" t="s">
        <v>297</v>
      </c>
      <c r="E251" s="522" t="s">
        <v>333</v>
      </c>
      <c r="F251" s="522" t="s">
        <v>299</v>
      </c>
      <c r="G251" s="522"/>
      <c r="H251" s="522" t="s">
        <v>354</v>
      </c>
      <c r="I251" s="522"/>
      <c r="J251" s="2" t="s">
        <v>301</v>
      </c>
      <c r="K251" s="522" t="str">
        <f t="shared" si="67"/>
        <v>8-hr TWA</v>
      </c>
      <c r="L251" s="522" t="s">
        <v>302</v>
      </c>
      <c r="M251" s="535">
        <v>39211</v>
      </c>
      <c r="N251" s="2">
        <v>440</v>
      </c>
      <c r="O251" s="2">
        <v>1</v>
      </c>
      <c r="P251" s="2"/>
      <c r="Q251" s="2"/>
      <c r="R251" s="2"/>
      <c r="S251" s="2"/>
      <c r="T251" s="2"/>
      <c r="U251" s="2"/>
      <c r="V251" s="2"/>
      <c r="W251" s="2">
        <v>0.32</v>
      </c>
      <c r="X251" s="444">
        <f t="shared" si="69"/>
        <v>0.20741798914805393</v>
      </c>
      <c r="Y251" s="444" t="str">
        <f t="shared" si="70"/>
        <v/>
      </c>
      <c r="Z251" s="2"/>
      <c r="AA251" s="2"/>
      <c r="AB251" s="2"/>
      <c r="AC251" s="2"/>
      <c r="AD251" s="537">
        <f t="shared" si="68"/>
        <v>2.0131860940695296</v>
      </c>
      <c r="AE251" s="537">
        <f t="shared" si="71"/>
        <v>1.3049094106647712</v>
      </c>
      <c r="AF251" s="537" t="str">
        <f t="shared" si="72"/>
        <v/>
      </c>
      <c r="AG251" s="537" t="str">
        <f t="shared" si="56"/>
        <v/>
      </c>
      <c r="AH251" s="537" t="str">
        <f t="shared" si="57"/>
        <v/>
      </c>
      <c r="AI251" s="525" t="str">
        <f t="shared" si="58"/>
        <v/>
      </c>
      <c r="AJ251" s="522"/>
      <c r="AK251" s="522" t="s">
        <v>315</v>
      </c>
      <c r="AL251" s="526" t="str">
        <f t="shared" si="73"/>
        <v/>
      </c>
      <c r="AM251" s="526" t="str">
        <f t="shared" si="74"/>
        <v/>
      </c>
      <c r="AN251" s="526" t="str">
        <f t="shared" si="75"/>
        <v/>
      </c>
      <c r="AO251" s="526" t="str">
        <f t="shared" si="76"/>
        <v/>
      </c>
    </row>
    <row r="252" spans="1:41" x14ac:dyDescent="0.25">
      <c r="A252" s="2">
        <v>5176376</v>
      </c>
      <c r="B252" s="522" t="s">
        <v>312</v>
      </c>
      <c r="C252" s="522">
        <v>2018</v>
      </c>
      <c r="D252" s="522" t="s">
        <v>297</v>
      </c>
      <c r="E252" s="522" t="s">
        <v>333</v>
      </c>
      <c r="F252" s="522" t="s">
        <v>299</v>
      </c>
      <c r="G252" s="522"/>
      <c r="H252" s="522" t="s">
        <v>354</v>
      </c>
      <c r="I252" s="522"/>
      <c r="J252" s="2" t="s">
        <v>301</v>
      </c>
      <c r="K252" s="522" t="str">
        <f t="shared" si="67"/>
        <v>12-hr TWA</v>
      </c>
      <c r="L252" s="522" t="s">
        <v>302</v>
      </c>
      <c r="M252" s="535">
        <v>39212</v>
      </c>
      <c r="N252" s="2">
        <v>570</v>
      </c>
      <c r="O252" s="2">
        <v>1</v>
      </c>
      <c r="P252" s="2"/>
      <c r="Q252" s="2"/>
      <c r="R252" s="2"/>
      <c r="S252" s="2"/>
      <c r="T252" s="2"/>
      <c r="U252" s="2"/>
      <c r="V252" s="2"/>
      <c r="W252" s="2">
        <v>0.46</v>
      </c>
      <c r="X252" s="2" t="str">
        <f t="shared" si="69"/>
        <v/>
      </c>
      <c r="Y252" s="444">
        <f t="shared" si="70"/>
        <v>0.36416666666666664</v>
      </c>
      <c r="Z252" s="2"/>
      <c r="AA252" s="2"/>
      <c r="AB252" s="2"/>
      <c r="AC252" s="2"/>
      <c r="AD252" s="537">
        <f t="shared" si="68"/>
        <v>2.8939550102249489</v>
      </c>
      <c r="AE252" s="537" t="str">
        <f t="shared" si="71"/>
        <v/>
      </c>
      <c r="AF252" s="537">
        <f t="shared" si="72"/>
        <v>2.2910477164280842</v>
      </c>
      <c r="AG252" s="537" t="str">
        <f t="shared" si="56"/>
        <v/>
      </c>
      <c r="AH252" s="537" t="str">
        <f t="shared" si="57"/>
        <v/>
      </c>
      <c r="AI252" s="525" t="str">
        <f t="shared" si="58"/>
        <v/>
      </c>
      <c r="AJ252" s="522"/>
      <c r="AK252" s="522"/>
      <c r="AL252" s="526" t="str">
        <f t="shared" si="73"/>
        <v/>
      </c>
      <c r="AM252" s="526" t="str">
        <f t="shared" si="74"/>
        <v/>
      </c>
      <c r="AN252" s="526">
        <f t="shared" si="75"/>
        <v>0.36416666666666664</v>
      </c>
      <c r="AO252" s="526">
        <f t="shared" si="76"/>
        <v>-1.0101436406805016</v>
      </c>
    </row>
    <row r="253" spans="1:41" x14ac:dyDescent="0.25">
      <c r="A253" s="2">
        <v>5176376</v>
      </c>
      <c r="B253" s="522" t="s">
        <v>312</v>
      </c>
      <c r="C253" s="522">
        <v>2018</v>
      </c>
      <c r="D253" s="522" t="s">
        <v>297</v>
      </c>
      <c r="E253" s="522" t="s">
        <v>333</v>
      </c>
      <c r="F253" s="522" t="s">
        <v>299</v>
      </c>
      <c r="G253" s="522"/>
      <c r="H253" s="522" t="s">
        <v>355</v>
      </c>
      <c r="I253" s="522"/>
      <c r="J253" s="2" t="s">
        <v>301</v>
      </c>
      <c r="K253" s="522" t="str">
        <f t="shared" si="67"/>
        <v>12-hr TWA</v>
      </c>
      <c r="L253" s="522" t="s">
        <v>302</v>
      </c>
      <c r="M253" s="535">
        <v>39246</v>
      </c>
      <c r="N253" s="2">
        <v>550</v>
      </c>
      <c r="O253" s="2">
        <v>1</v>
      </c>
      <c r="P253" s="2"/>
      <c r="Q253" s="2"/>
      <c r="R253" s="2"/>
      <c r="S253" s="2"/>
      <c r="T253" s="2"/>
      <c r="U253" s="2"/>
      <c r="V253" s="2"/>
      <c r="W253" s="2">
        <v>0.26</v>
      </c>
      <c r="X253" s="2" t="str">
        <f t="shared" si="69"/>
        <v/>
      </c>
      <c r="Y253" s="524">
        <f t="shared" si="70"/>
        <v>9.930555555555555E-2</v>
      </c>
      <c r="Z253" s="2"/>
      <c r="AA253" s="2"/>
      <c r="AB253" s="2"/>
      <c r="AC253" s="2"/>
      <c r="AD253" s="537">
        <f t="shared" si="68"/>
        <v>1.6357137014314929</v>
      </c>
      <c r="AE253" s="537" t="str">
        <f t="shared" si="71"/>
        <v/>
      </c>
      <c r="AF253" s="536">
        <f t="shared" si="72"/>
        <v>0.62475176096341734</v>
      </c>
      <c r="AG253" s="537" t="str">
        <f t="shared" si="56"/>
        <v/>
      </c>
      <c r="AH253" s="537" t="str">
        <f t="shared" si="57"/>
        <v/>
      </c>
      <c r="AI253" s="525" t="str">
        <f t="shared" si="58"/>
        <v/>
      </c>
      <c r="AJ253" s="522"/>
      <c r="AK253" s="522" t="s">
        <v>315</v>
      </c>
      <c r="AL253" s="526" t="str">
        <f t="shared" si="73"/>
        <v/>
      </c>
      <c r="AM253" s="526" t="str">
        <f t="shared" si="74"/>
        <v/>
      </c>
      <c r="AN253" s="526" t="str">
        <f t="shared" si="75"/>
        <v/>
      </c>
      <c r="AO253" s="526" t="str">
        <f t="shared" si="76"/>
        <v/>
      </c>
    </row>
    <row r="254" spans="1:41" x14ac:dyDescent="0.25">
      <c r="A254" s="2">
        <v>5176376</v>
      </c>
      <c r="B254" s="522" t="s">
        <v>312</v>
      </c>
      <c r="C254" s="522">
        <v>2018</v>
      </c>
      <c r="D254" s="522" t="s">
        <v>297</v>
      </c>
      <c r="E254" s="522" t="s">
        <v>333</v>
      </c>
      <c r="F254" s="522" t="s">
        <v>299</v>
      </c>
      <c r="G254" s="522"/>
      <c r="H254" s="522" t="s">
        <v>356</v>
      </c>
      <c r="I254" s="522"/>
      <c r="J254" s="2" t="s">
        <v>301</v>
      </c>
      <c r="K254" s="522" t="str">
        <f t="shared" si="67"/>
        <v>12-hr TWA</v>
      </c>
      <c r="L254" s="522" t="s">
        <v>302</v>
      </c>
      <c r="M254" s="535">
        <v>39246</v>
      </c>
      <c r="N254" s="2">
        <v>550</v>
      </c>
      <c r="O254" s="2">
        <v>1</v>
      </c>
      <c r="P254" s="2"/>
      <c r="Q254" s="2"/>
      <c r="R254" s="2"/>
      <c r="S254" s="2"/>
      <c r="T254" s="2"/>
      <c r="U254" s="2"/>
      <c r="V254" s="2"/>
      <c r="W254" s="2">
        <v>0.26</v>
      </c>
      <c r="X254" s="2" t="str">
        <f t="shared" si="69"/>
        <v/>
      </c>
      <c r="Y254" s="524">
        <f t="shared" si="70"/>
        <v>9.930555555555555E-2</v>
      </c>
      <c r="Z254" s="2"/>
      <c r="AA254" s="2"/>
      <c r="AB254" s="2"/>
      <c r="AC254" s="2"/>
      <c r="AD254" s="537">
        <f t="shared" si="68"/>
        <v>1.6357137014314929</v>
      </c>
      <c r="AE254" s="537" t="str">
        <f t="shared" si="71"/>
        <v/>
      </c>
      <c r="AF254" s="536">
        <f t="shared" si="72"/>
        <v>0.62475176096341734</v>
      </c>
      <c r="AG254" s="537" t="str">
        <f t="shared" si="56"/>
        <v/>
      </c>
      <c r="AH254" s="537" t="str">
        <f t="shared" si="57"/>
        <v/>
      </c>
      <c r="AI254" s="525" t="str">
        <f t="shared" si="58"/>
        <v/>
      </c>
      <c r="AJ254" s="522"/>
      <c r="AK254" s="522" t="s">
        <v>315</v>
      </c>
      <c r="AL254" s="526" t="str">
        <f t="shared" si="73"/>
        <v/>
      </c>
      <c r="AM254" s="526" t="str">
        <f t="shared" si="74"/>
        <v/>
      </c>
      <c r="AN254" s="526" t="str">
        <f t="shared" si="75"/>
        <v/>
      </c>
      <c r="AO254" s="526" t="str">
        <f t="shared" si="76"/>
        <v/>
      </c>
    </row>
    <row r="255" spans="1:41" x14ac:dyDescent="0.25">
      <c r="A255" s="2">
        <v>5176376</v>
      </c>
      <c r="B255" s="522" t="s">
        <v>312</v>
      </c>
      <c r="C255" s="522">
        <v>2018</v>
      </c>
      <c r="D255" s="522" t="s">
        <v>297</v>
      </c>
      <c r="E255" s="522" t="s">
        <v>333</v>
      </c>
      <c r="F255" s="522" t="s">
        <v>299</v>
      </c>
      <c r="G255" s="522"/>
      <c r="H255" s="522" t="s">
        <v>355</v>
      </c>
      <c r="I255" s="522"/>
      <c r="J255" s="2" t="s">
        <v>301</v>
      </c>
      <c r="K255" s="522" t="str">
        <f t="shared" si="67"/>
        <v>8-hr TWA</v>
      </c>
      <c r="L255" s="522" t="s">
        <v>302</v>
      </c>
      <c r="M255" s="535">
        <v>39246</v>
      </c>
      <c r="N255" s="2">
        <v>440</v>
      </c>
      <c r="O255" s="2">
        <v>1</v>
      </c>
      <c r="P255" s="2"/>
      <c r="Q255" s="2"/>
      <c r="R255" s="2"/>
      <c r="S255" s="2"/>
      <c r="T255" s="2"/>
      <c r="U255" s="2"/>
      <c r="V255" s="2"/>
      <c r="W255" s="2">
        <v>0.32</v>
      </c>
      <c r="X255" s="444">
        <f t="shared" si="69"/>
        <v>0.20741798914805393</v>
      </c>
      <c r="Y255" s="444" t="str">
        <f t="shared" si="70"/>
        <v/>
      </c>
      <c r="Z255" s="2"/>
      <c r="AA255" s="2"/>
      <c r="AB255" s="2"/>
      <c r="AC255" s="2"/>
      <c r="AD255" s="537">
        <f t="shared" si="68"/>
        <v>2.0131860940695296</v>
      </c>
      <c r="AE255" s="537">
        <f t="shared" si="71"/>
        <v>1.3049094106647712</v>
      </c>
      <c r="AF255" s="537" t="str">
        <f t="shared" si="72"/>
        <v/>
      </c>
      <c r="AG255" s="537" t="str">
        <f t="shared" si="56"/>
        <v/>
      </c>
      <c r="AH255" s="537" t="str">
        <f t="shared" si="57"/>
        <v/>
      </c>
      <c r="AI255" s="525" t="str">
        <f t="shared" si="58"/>
        <v/>
      </c>
      <c r="AJ255" s="522"/>
      <c r="AK255" s="522" t="s">
        <v>315</v>
      </c>
      <c r="AL255" s="526" t="str">
        <f t="shared" si="73"/>
        <v/>
      </c>
      <c r="AM255" s="526" t="str">
        <f t="shared" si="74"/>
        <v/>
      </c>
      <c r="AN255" s="526" t="str">
        <f t="shared" si="75"/>
        <v/>
      </c>
      <c r="AO255" s="526" t="str">
        <f t="shared" si="76"/>
        <v/>
      </c>
    </row>
    <row r="256" spans="1:41" x14ac:dyDescent="0.25">
      <c r="A256" s="2">
        <v>5176376</v>
      </c>
      <c r="B256" s="522" t="s">
        <v>312</v>
      </c>
      <c r="C256" s="522">
        <v>2018</v>
      </c>
      <c r="D256" s="522" t="s">
        <v>297</v>
      </c>
      <c r="E256" s="522" t="s">
        <v>333</v>
      </c>
      <c r="F256" s="522" t="s">
        <v>299</v>
      </c>
      <c r="G256" s="522"/>
      <c r="H256" s="522" t="s">
        <v>356</v>
      </c>
      <c r="I256" s="522"/>
      <c r="J256" s="2" t="s">
        <v>301</v>
      </c>
      <c r="K256" s="522" t="str">
        <f t="shared" si="67"/>
        <v>12-hr TWA</v>
      </c>
      <c r="L256" s="522" t="s">
        <v>302</v>
      </c>
      <c r="M256" s="535">
        <v>39252</v>
      </c>
      <c r="N256" s="2">
        <v>620</v>
      </c>
      <c r="O256" s="2">
        <v>1</v>
      </c>
      <c r="P256" s="2"/>
      <c r="Q256" s="2"/>
      <c r="R256" s="2"/>
      <c r="S256" s="2"/>
      <c r="T256" s="2"/>
      <c r="U256" s="2"/>
      <c r="V256" s="2"/>
      <c r="W256" s="2">
        <v>1.4</v>
      </c>
      <c r="X256" s="444" t="str">
        <f t="shared" si="69"/>
        <v/>
      </c>
      <c r="Y256" s="539">
        <f t="shared" si="70"/>
        <v>1.2055555555555555</v>
      </c>
      <c r="Z256" s="2"/>
      <c r="AA256" s="2"/>
      <c r="AB256" s="2"/>
      <c r="AC256" s="2"/>
      <c r="AD256" s="537">
        <f t="shared" si="68"/>
        <v>8.8076891615541921</v>
      </c>
      <c r="AE256" s="537" t="str">
        <f t="shared" si="71"/>
        <v/>
      </c>
      <c r="AF256" s="537">
        <f t="shared" si="72"/>
        <v>7.5843990002272204</v>
      </c>
      <c r="AG256" s="537" t="str">
        <f t="shared" si="56"/>
        <v/>
      </c>
      <c r="AH256" s="537" t="str">
        <f t="shared" si="57"/>
        <v/>
      </c>
      <c r="AI256" s="525" t="str">
        <f t="shared" si="58"/>
        <v/>
      </c>
      <c r="AJ256" s="522"/>
      <c r="AK256" s="522"/>
      <c r="AL256" s="526" t="str">
        <f t="shared" si="73"/>
        <v/>
      </c>
      <c r="AM256" s="526" t="str">
        <f t="shared" si="74"/>
        <v/>
      </c>
      <c r="AN256" s="526">
        <f t="shared" si="75"/>
        <v>1.2055555555555555</v>
      </c>
      <c r="AO256" s="526">
        <f t="shared" si="76"/>
        <v>0.18694050265024911</v>
      </c>
    </row>
    <row r="257" spans="1:41" x14ac:dyDescent="0.25">
      <c r="A257" s="2">
        <v>5176376</v>
      </c>
      <c r="B257" s="522" t="s">
        <v>312</v>
      </c>
      <c r="C257" s="522">
        <v>2018</v>
      </c>
      <c r="D257" s="522" t="s">
        <v>297</v>
      </c>
      <c r="E257" s="522" t="s">
        <v>333</v>
      </c>
      <c r="F257" s="522" t="s">
        <v>299</v>
      </c>
      <c r="G257" s="522"/>
      <c r="H257" s="522" t="s">
        <v>356</v>
      </c>
      <c r="I257" s="522"/>
      <c r="J257" s="2" t="s">
        <v>301</v>
      </c>
      <c r="K257" s="522" t="str">
        <f t="shared" si="67"/>
        <v>12-hr TWA</v>
      </c>
      <c r="L257" s="522" t="s">
        <v>302</v>
      </c>
      <c r="M257" s="535">
        <v>39252</v>
      </c>
      <c r="N257" s="2">
        <v>615</v>
      </c>
      <c r="O257" s="2">
        <v>1</v>
      </c>
      <c r="P257" s="2"/>
      <c r="Q257" s="2"/>
      <c r="R257" s="2"/>
      <c r="S257" s="2"/>
      <c r="T257" s="2"/>
      <c r="U257" s="2"/>
      <c r="V257" s="2"/>
      <c r="W257" s="2">
        <v>1.3</v>
      </c>
      <c r="X257" s="444" t="str">
        <f t="shared" si="69"/>
        <v/>
      </c>
      <c r="Y257" s="539">
        <f t="shared" si="70"/>
        <v>1.1104166666666666</v>
      </c>
      <c r="Z257" s="2"/>
      <c r="AA257" s="2"/>
      <c r="AB257" s="2"/>
      <c r="AC257" s="2"/>
      <c r="AD257" s="537">
        <f t="shared" si="68"/>
        <v>8.1785685071574648</v>
      </c>
      <c r="AE257" s="537" t="str">
        <f t="shared" si="71"/>
        <v/>
      </c>
      <c r="AF257" s="537">
        <f t="shared" si="72"/>
        <v>6.9858605998636669</v>
      </c>
      <c r="AG257" s="537" t="str">
        <f t="shared" si="56"/>
        <v/>
      </c>
      <c r="AH257" s="537" t="str">
        <f t="shared" si="57"/>
        <v/>
      </c>
      <c r="AI257" s="525" t="str">
        <f t="shared" si="58"/>
        <v/>
      </c>
      <c r="AJ257" s="522"/>
      <c r="AK257" s="522"/>
      <c r="AL257" s="526" t="str">
        <f t="shared" si="73"/>
        <v/>
      </c>
      <c r="AM257" s="526" t="str">
        <f t="shared" si="74"/>
        <v/>
      </c>
      <c r="AN257" s="526">
        <f t="shared" si="75"/>
        <v>1.1104166666666666</v>
      </c>
      <c r="AO257" s="526">
        <f t="shared" si="76"/>
        <v>0.10473532026390787</v>
      </c>
    </row>
    <row r="258" spans="1:41" x14ac:dyDescent="0.25">
      <c r="A258" s="2">
        <v>5176376</v>
      </c>
      <c r="B258" s="522" t="s">
        <v>312</v>
      </c>
      <c r="C258" s="522">
        <v>2018</v>
      </c>
      <c r="D258" s="522" t="s">
        <v>297</v>
      </c>
      <c r="E258" s="522" t="s">
        <v>333</v>
      </c>
      <c r="F258" s="522" t="s">
        <v>299</v>
      </c>
      <c r="G258" s="522"/>
      <c r="H258" s="522" t="s">
        <v>355</v>
      </c>
      <c r="I258" s="522"/>
      <c r="J258" s="2" t="s">
        <v>301</v>
      </c>
      <c r="K258" s="522" t="str">
        <f t="shared" si="67"/>
        <v>12-hr TWA</v>
      </c>
      <c r="L258" s="522" t="s">
        <v>302</v>
      </c>
      <c r="M258" s="535">
        <v>39254</v>
      </c>
      <c r="N258" s="2">
        <v>660</v>
      </c>
      <c r="O258" s="2">
        <v>1</v>
      </c>
      <c r="P258" s="2"/>
      <c r="Q258" s="2"/>
      <c r="R258" s="2"/>
      <c r="S258" s="2"/>
      <c r="T258" s="2"/>
      <c r="U258" s="2"/>
      <c r="V258" s="2"/>
      <c r="W258" s="2">
        <v>0.31</v>
      </c>
      <c r="X258" s="444" t="str">
        <f t="shared" si="69"/>
        <v/>
      </c>
      <c r="Y258" s="444">
        <f t="shared" si="70"/>
        <v>0.28416666666666668</v>
      </c>
      <c r="Z258" s="2"/>
      <c r="AA258" s="2"/>
      <c r="AB258" s="2"/>
      <c r="AC258" s="2"/>
      <c r="AD258" s="537">
        <f t="shared" si="68"/>
        <v>1.9502740286298568</v>
      </c>
      <c r="AE258" s="537" t="str">
        <f t="shared" si="71"/>
        <v/>
      </c>
      <c r="AF258" s="537">
        <f t="shared" si="72"/>
        <v>1.7877511929107019</v>
      </c>
      <c r="AG258" s="537" t="str">
        <f t="shared" si="56"/>
        <v/>
      </c>
      <c r="AH258" s="537" t="str">
        <f t="shared" si="57"/>
        <v/>
      </c>
      <c r="AI258" s="525" t="str">
        <f t="shared" si="58"/>
        <v/>
      </c>
      <c r="AJ258" s="522"/>
      <c r="AK258" s="522"/>
      <c r="AL258" s="526" t="str">
        <f t="shared" si="73"/>
        <v/>
      </c>
      <c r="AM258" s="526" t="str">
        <f t="shared" si="74"/>
        <v/>
      </c>
      <c r="AN258" s="526">
        <f t="shared" si="75"/>
        <v>0.28416666666666668</v>
      </c>
      <c r="AO258" s="526">
        <f t="shared" si="76"/>
        <v>-1.2581943584925748</v>
      </c>
    </row>
    <row r="259" spans="1:41" x14ac:dyDescent="0.25">
      <c r="A259" s="2">
        <v>5176376</v>
      </c>
      <c r="B259" s="522" t="s">
        <v>312</v>
      </c>
      <c r="C259" s="522">
        <v>2018</v>
      </c>
      <c r="D259" s="522" t="s">
        <v>297</v>
      </c>
      <c r="E259" s="522" t="s">
        <v>333</v>
      </c>
      <c r="F259" s="522" t="s">
        <v>299</v>
      </c>
      <c r="G259" s="522"/>
      <c r="H259" s="522" t="s">
        <v>356</v>
      </c>
      <c r="I259" s="522"/>
      <c r="J259" s="2" t="s">
        <v>301</v>
      </c>
      <c r="K259" s="522" t="str">
        <f t="shared" si="67"/>
        <v>12-hr TWA</v>
      </c>
      <c r="L259" s="522" t="s">
        <v>302</v>
      </c>
      <c r="M259" s="535">
        <v>39254</v>
      </c>
      <c r="N259" s="2">
        <v>660</v>
      </c>
      <c r="O259" s="2">
        <v>1</v>
      </c>
      <c r="P259" s="2"/>
      <c r="Q259" s="2"/>
      <c r="R259" s="2"/>
      <c r="S259" s="2"/>
      <c r="T259" s="2"/>
      <c r="U259" s="2"/>
      <c r="V259" s="2"/>
      <c r="W259" s="2">
        <v>0.22</v>
      </c>
      <c r="X259" s="444" t="str">
        <f t="shared" si="69"/>
        <v/>
      </c>
      <c r="Y259" s="444">
        <f t="shared" si="70"/>
        <v>0.20166666666666666</v>
      </c>
      <c r="Z259" s="2"/>
      <c r="AA259" s="2"/>
      <c r="AB259" s="2"/>
      <c r="AC259" s="2"/>
      <c r="AD259" s="537">
        <f t="shared" si="68"/>
        <v>1.3840654396728014</v>
      </c>
      <c r="AE259" s="537" t="str">
        <f t="shared" si="71"/>
        <v/>
      </c>
      <c r="AF259" s="537">
        <f t="shared" si="72"/>
        <v>1.2687266530334014</v>
      </c>
      <c r="AG259" s="537" t="str">
        <f t="shared" si="56"/>
        <v/>
      </c>
      <c r="AH259" s="537" t="str">
        <f t="shared" si="57"/>
        <v/>
      </c>
      <c r="AI259" s="525" t="str">
        <f t="shared" si="58"/>
        <v/>
      </c>
      <c r="AJ259" s="522"/>
      <c r="AK259" s="522"/>
      <c r="AL259" s="526" t="str">
        <f t="shared" si="73"/>
        <v/>
      </c>
      <c r="AM259" s="526" t="str">
        <f t="shared" si="74"/>
        <v/>
      </c>
      <c r="AN259" s="526">
        <f t="shared" si="75"/>
        <v>0.20166666666666666</v>
      </c>
      <c r="AO259" s="526">
        <f t="shared" si="76"/>
        <v>-1.6011391096194054</v>
      </c>
    </row>
    <row r="260" spans="1:41" x14ac:dyDescent="0.25">
      <c r="A260" s="2">
        <v>5176376</v>
      </c>
      <c r="B260" s="522" t="s">
        <v>312</v>
      </c>
      <c r="C260" s="522">
        <v>2018</v>
      </c>
      <c r="D260" s="522" t="s">
        <v>297</v>
      </c>
      <c r="E260" s="522" t="s">
        <v>333</v>
      </c>
      <c r="F260" s="522" t="s">
        <v>299</v>
      </c>
      <c r="G260" s="522"/>
      <c r="H260" s="522" t="s">
        <v>354</v>
      </c>
      <c r="I260" s="522"/>
      <c r="J260" s="2" t="s">
        <v>301</v>
      </c>
      <c r="K260" s="522" t="str">
        <f t="shared" si="67"/>
        <v>12-hr TWA</v>
      </c>
      <c r="L260" s="522" t="s">
        <v>302</v>
      </c>
      <c r="M260" s="535">
        <v>39504</v>
      </c>
      <c r="N260" s="2">
        <v>680</v>
      </c>
      <c r="O260" s="2">
        <v>1</v>
      </c>
      <c r="P260" s="2"/>
      <c r="Q260" s="2"/>
      <c r="R260" s="2"/>
      <c r="S260" s="2"/>
      <c r="T260" s="2"/>
      <c r="U260" s="2"/>
      <c r="V260" s="2"/>
      <c r="W260" s="444">
        <v>0.3</v>
      </c>
      <c r="X260" s="444" t="str">
        <f t="shared" si="69"/>
        <v/>
      </c>
      <c r="Y260" s="444">
        <f t="shared" si="70"/>
        <v>0.28333333333333333</v>
      </c>
      <c r="Z260" s="2"/>
      <c r="AA260" s="2"/>
      <c r="AB260" s="2"/>
      <c r="AC260" s="2"/>
      <c r="AD260" s="537">
        <f t="shared" si="68"/>
        <v>1.8873619631901839</v>
      </c>
      <c r="AE260" s="537" t="str">
        <f t="shared" si="71"/>
        <v/>
      </c>
      <c r="AF260" s="537">
        <f t="shared" si="72"/>
        <v>1.7825085207907294</v>
      </c>
      <c r="AG260" s="537" t="str">
        <f t="shared" si="56"/>
        <v/>
      </c>
      <c r="AH260" s="537" t="str">
        <f t="shared" si="57"/>
        <v/>
      </c>
      <c r="AI260" s="525" t="str">
        <f t="shared" si="58"/>
        <v/>
      </c>
      <c r="AJ260" s="522"/>
      <c r="AK260" s="522"/>
      <c r="AL260" s="526" t="str">
        <f t="shared" si="73"/>
        <v/>
      </c>
      <c r="AM260" s="526" t="str">
        <f t="shared" si="74"/>
        <v/>
      </c>
      <c r="AN260" s="526">
        <f t="shared" si="75"/>
        <v>0.28333333333333333</v>
      </c>
      <c r="AO260" s="526">
        <f t="shared" si="76"/>
        <v>-1.2611312181658847</v>
      </c>
    </row>
    <row r="261" spans="1:41" x14ac:dyDescent="0.25">
      <c r="A261" s="2">
        <v>5176376</v>
      </c>
      <c r="B261" s="522" t="s">
        <v>312</v>
      </c>
      <c r="C261" s="522">
        <v>2018</v>
      </c>
      <c r="D261" s="522" t="s">
        <v>297</v>
      </c>
      <c r="E261" s="522" t="s">
        <v>333</v>
      </c>
      <c r="F261" s="522" t="s">
        <v>299</v>
      </c>
      <c r="G261" s="522"/>
      <c r="H261" s="522" t="s">
        <v>354</v>
      </c>
      <c r="I261" s="522"/>
      <c r="J261" s="2" t="s">
        <v>301</v>
      </c>
      <c r="K261" s="522" t="str">
        <f t="shared" si="67"/>
        <v>12-hr TWA</v>
      </c>
      <c r="L261" s="522" t="s">
        <v>302</v>
      </c>
      <c r="M261" s="535">
        <v>39505</v>
      </c>
      <c r="N261" s="2">
        <v>685</v>
      </c>
      <c r="O261" s="2">
        <v>1</v>
      </c>
      <c r="P261" s="2"/>
      <c r="Q261" s="2"/>
      <c r="R261" s="2"/>
      <c r="S261" s="2"/>
      <c r="T261" s="2"/>
      <c r="U261" s="2"/>
      <c r="V261" s="2"/>
      <c r="W261" s="2">
        <v>0.28999999999999998</v>
      </c>
      <c r="X261" s="444" t="str">
        <f t="shared" si="69"/>
        <v/>
      </c>
      <c r="Y261" s="444">
        <f t="shared" si="70"/>
        <v>0.27590277777777772</v>
      </c>
      <c r="Z261" s="2"/>
      <c r="AA261" s="2"/>
      <c r="AB261" s="2"/>
      <c r="AC261" s="2"/>
      <c r="AD261" s="537">
        <f t="shared" si="68"/>
        <v>1.8244498977505113</v>
      </c>
      <c r="AE261" s="537" t="str">
        <f t="shared" si="71"/>
        <v/>
      </c>
      <c r="AF261" s="537">
        <f t="shared" si="72"/>
        <v>1.7357613610543055</v>
      </c>
      <c r="AG261" s="537" t="str">
        <f t="shared" si="56"/>
        <v/>
      </c>
      <c r="AH261" s="537" t="str">
        <f t="shared" si="57"/>
        <v/>
      </c>
      <c r="AI261" s="525" t="str">
        <f t="shared" si="58"/>
        <v/>
      </c>
      <c r="AJ261" s="522"/>
      <c r="AK261" s="522"/>
      <c r="AL261" s="526" t="str">
        <f t="shared" si="73"/>
        <v/>
      </c>
      <c r="AM261" s="526" t="str">
        <f t="shared" si="74"/>
        <v/>
      </c>
      <c r="AN261" s="526">
        <f t="shared" si="75"/>
        <v>0.27590277777777772</v>
      </c>
      <c r="AO261" s="526">
        <f t="shared" si="76"/>
        <v>-1.2877067297494933</v>
      </c>
    </row>
    <row r="262" spans="1:41" x14ac:dyDescent="0.25">
      <c r="A262" s="2">
        <v>5176376</v>
      </c>
      <c r="B262" s="522" t="s">
        <v>312</v>
      </c>
      <c r="C262" s="522">
        <v>2018</v>
      </c>
      <c r="D262" s="522" t="s">
        <v>297</v>
      </c>
      <c r="E262" s="522" t="s">
        <v>333</v>
      </c>
      <c r="F262" s="522" t="s">
        <v>299</v>
      </c>
      <c r="G262" s="522"/>
      <c r="H262" s="522" t="s">
        <v>354</v>
      </c>
      <c r="I262" s="522"/>
      <c r="J262" s="2" t="s">
        <v>301</v>
      </c>
      <c r="K262" s="522" t="str">
        <f t="shared" si="67"/>
        <v>12-hr TWA</v>
      </c>
      <c r="L262" s="522" t="s">
        <v>302</v>
      </c>
      <c r="M262" s="535">
        <v>39506</v>
      </c>
      <c r="N262" s="2">
        <v>675</v>
      </c>
      <c r="O262" s="2">
        <v>1</v>
      </c>
      <c r="P262" s="2"/>
      <c r="Q262" s="2"/>
      <c r="R262" s="2"/>
      <c r="S262" s="2"/>
      <c r="T262" s="2"/>
      <c r="U262" s="2"/>
      <c r="V262" s="2"/>
      <c r="W262" s="2">
        <v>0.27</v>
      </c>
      <c r="X262" s="444" t="str">
        <f t="shared" si="69"/>
        <v/>
      </c>
      <c r="Y262" s="444">
        <f t="shared" si="70"/>
        <v>0.25312499999999999</v>
      </c>
      <c r="Z262" s="2"/>
      <c r="AA262" s="2"/>
      <c r="AB262" s="2"/>
      <c r="AC262" s="2"/>
      <c r="AD262" s="537">
        <f t="shared" si="68"/>
        <v>1.6986257668711655</v>
      </c>
      <c r="AE262" s="537" t="str">
        <f t="shared" si="71"/>
        <v/>
      </c>
      <c r="AF262" s="537">
        <f t="shared" si="72"/>
        <v>1.5924616564417176</v>
      </c>
      <c r="AG262" s="537" t="str">
        <f t="shared" si="56"/>
        <v/>
      </c>
      <c r="AH262" s="537" t="str">
        <f t="shared" si="57"/>
        <v/>
      </c>
      <c r="AI262" s="525" t="str">
        <f t="shared" si="58"/>
        <v/>
      </c>
      <c r="AJ262" s="522"/>
      <c r="AK262" s="522"/>
      <c r="AL262" s="526" t="str">
        <f t="shared" si="73"/>
        <v/>
      </c>
      <c r="AM262" s="526" t="str">
        <f t="shared" si="74"/>
        <v/>
      </c>
      <c r="AN262" s="526">
        <f t="shared" si="75"/>
        <v>0.25312499999999999</v>
      </c>
      <c r="AO262" s="526">
        <f t="shared" si="76"/>
        <v>-1.3738718411213335</v>
      </c>
    </row>
    <row r="263" spans="1:41" x14ac:dyDescent="0.25">
      <c r="A263" s="2">
        <v>5176376</v>
      </c>
      <c r="B263" s="522" t="s">
        <v>312</v>
      </c>
      <c r="C263" s="522">
        <v>2018</v>
      </c>
      <c r="D263" s="522" t="s">
        <v>297</v>
      </c>
      <c r="E263" s="522" t="s">
        <v>333</v>
      </c>
      <c r="F263" s="522" t="s">
        <v>299</v>
      </c>
      <c r="G263" s="522"/>
      <c r="H263" s="522" t="s">
        <v>353</v>
      </c>
      <c r="I263" s="522"/>
      <c r="J263" s="2" t="s">
        <v>301</v>
      </c>
      <c r="K263" s="522" t="str">
        <f t="shared" si="67"/>
        <v>8-hr TWA</v>
      </c>
      <c r="L263" s="522" t="s">
        <v>302</v>
      </c>
      <c r="M263" s="535">
        <v>39539</v>
      </c>
      <c r="N263" s="2">
        <v>480</v>
      </c>
      <c r="O263" s="2">
        <v>1</v>
      </c>
      <c r="P263" s="2"/>
      <c r="Q263" s="2"/>
      <c r="R263" s="2"/>
      <c r="S263" s="2"/>
      <c r="T263" s="2"/>
      <c r="U263" s="2"/>
      <c r="V263" s="2"/>
      <c r="W263" s="444">
        <v>0.3</v>
      </c>
      <c r="X263" s="444">
        <f t="shared" si="69"/>
        <v>0.21213203435596423</v>
      </c>
      <c r="Y263" s="444" t="str">
        <f t="shared" si="70"/>
        <v/>
      </c>
      <c r="Z263" s="2"/>
      <c r="AA263" s="2"/>
      <c r="AB263" s="2"/>
      <c r="AC263" s="2"/>
      <c r="AD263" s="537">
        <f t="shared" si="68"/>
        <v>1.8873619631901839</v>
      </c>
      <c r="AE263" s="537">
        <f t="shared" si="71"/>
        <v>1.3345664427253341</v>
      </c>
      <c r="AF263" s="537" t="str">
        <f t="shared" si="72"/>
        <v/>
      </c>
      <c r="AG263" s="537" t="str">
        <f t="shared" si="56"/>
        <v/>
      </c>
      <c r="AH263" s="537" t="str">
        <f t="shared" si="57"/>
        <v/>
      </c>
      <c r="AI263" s="525" t="str">
        <f t="shared" si="58"/>
        <v/>
      </c>
      <c r="AJ263" s="522"/>
      <c r="AK263" s="522" t="s">
        <v>315</v>
      </c>
      <c r="AL263" s="526" t="str">
        <f t="shared" si="73"/>
        <v/>
      </c>
      <c r="AM263" s="526" t="str">
        <f t="shared" si="74"/>
        <v/>
      </c>
      <c r="AN263" s="526" t="str">
        <f t="shared" si="75"/>
        <v/>
      </c>
      <c r="AO263" s="526" t="str">
        <f t="shared" si="76"/>
        <v/>
      </c>
    </row>
    <row r="264" spans="1:41" x14ac:dyDescent="0.25">
      <c r="A264" s="2">
        <v>5176376</v>
      </c>
      <c r="B264" s="522" t="s">
        <v>312</v>
      </c>
      <c r="C264" s="522">
        <v>2018</v>
      </c>
      <c r="D264" s="522" t="s">
        <v>297</v>
      </c>
      <c r="E264" s="522" t="s">
        <v>333</v>
      </c>
      <c r="F264" s="522" t="s">
        <v>299</v>
      </c>
      <c r="G264" s="522"/>
      <c r="H264" s="522" t="s">
        <v>353</v>
      </c>
      <c r="I264" s="522"/>
      <c r="J264" s="2" t="s">
        <v>301</v>
      </c>
      <c r="K264" s="522" t="str">
        <f t="shared" si="67"/>
        <v>12-hr TWA</v>
      </c>
      <c r="L264" s="522" t="s">
        <v>302</v>
      </c>
      <c r="M264" s="535">
        <v>39540</v>
      </c>
      <c r="N264" s="2">
        <v>610</v>
      </c>
      <c r="O264" s="2">
        <v>1</v>
      </c>
      <c r="P264" s="2"/>
      <c r="Q264" s="2"/>
      <c r="R264" s="2"/>
      <c r="S264" s="2"/>
      <c r="T264" s="2"/>
      <c r="U264" s="2"/>
      <c r="V264" s="2"/>
      <c r="W264" s="2">
        <v>0.23</v>
      </c>
      <c r="X264" s="444" t="str">
        <f t="shared" si="69"/>
        <v/>
      </c>
      <c r="Y264" s="444">
        <f t="shared" si="70"/>
        <v>9.7430555555555562E-2</v>
      </c>
      <c r="Z264" s="2"/>
      <c r="AA264" s="2"/>
      <c r="AB264" s="2"/>
      <c r="AC264" s="2"/>
      <c r="AD264" s="537">
        <f t="shared" si="68"/>
        <v>1.4469775051124745</v>
      </c>
      <c r="AE264" s="537" t="str">
        <f t="shared" si="71"/>
        <v/>
      </c>
      <c r="AF264" s="536">
        <f t="shared" si="72"/>
        <v>0.6129557486934788</v>
      </c>
      <c r="AG264" s="537" t="str">
        <f t="shared" si="56"/>
        <v/>
      </c>
      <c r="AH264" s="537" t="str">
        <f t="shared" si="57"/>
        <v/>
      </c>
      <c r="AI264" s="525" t="str">
        <f t="shared" si="58"/>
        <v/>
      </c>
      <c r="AJ264" s="522"/>
      <c r="AK264" s="522" t="s">
        <v>315</v>
      </c>
      <c r="AL264" s="526" t="str">
        <f t="shared" si="73"/>
        <v/>
      </c>
      <c r="AM264" s="526" t="str">
        <f t="shared" si="74"/>
        <v/>
      </c>
      <c r="AN264" s="526" t="str">
        <f t="shared" si="75"/>
        <v/>
      </c>
      <c r="AO264" s="526" t="str">
        <f t="shared" si="76"/>
        <v/>
      </c>
    </row>
    <row r="265" spans="1:41" x14ac:dyDescent="0.25">
      <c r="A265" s="2">
        <v>5176376</v>
      </c>
      <c r="B265" s="522" t="s">
        <v>312</v>
      </c>
      <c r="C265" s="522">
        <v>2018</v>
      </c>
      <c r="D265" s="522" t="s">
        <v>297</v>
      </c>
      <c r="E265" s="522" t="s">
        <v>333</v>
      </c>
      <c r="F265" s="522" t="s">
        <v>299</v>
      </c>
      <c r="G265" s="522"/>
      <c r="H265" s="522" t="s">
        <v>353</v>
      </c>
      <c r="I265" s="522"/>
      <c r="J265" s="2" t="s">
        <v>301</v>
      </c>
      <c r="K265" s="522" t="str">
        <f t="shared" si="67"/>
        <v>12-hr TWA</v>
      </c>
      <c r="L265" s="522" t="s">
        <v>302</v>
      </c>
      <c r="M265" s="535">
        <v>39540</v>
      </c>
      <c r="N265" s="2">
        <v>685</v>
      </c>
      <c r="O265" s="2">
        <v>1</v>
      </c>
      <c r="P265" s="2"/>
      <c r="Q265" s="2"/>
      <c r="R265" s="2"/>
      <c r="S265" s="2"/>
      <c r="T265" s="2"/>
      <c r="U265" s="2"/>
      <c r="V265" s="2"/>
      <c r="W265" s="2">
        <v>0.54</v>
      </c>
      <c r="X265" s="444" t="str">
        <f t="shared" si="69"/>
        <v/>
      </c>
      <c r="Y265" s="444">
        <f t="shared" si="70"/>
        <v>0.51375000000000004</v>
      </c>
      <c r="Z265" s="2"/>
      <c r="AA265" s="2"/>
      <c r="AB265" s="2"/>
      <c r="AC265" s="2"/>
      <c r="AD265" s="537">
        <f t="shared" si="68"/>
        <v>3.397251533742331</v>
      </c>
      <c r="AE265" s="537" t="str">
        <f t="shared" si="71"/>
        <v/>
      </c>
      <c r="AF265" s="537">
        <f t="shared" si="72"/>
        <v>3.2321073619631902</v>
      </c>
      <c r="AG265" s="537" t="str">
        <f t="shared" si="56"/>
        <v/>
      </c>
      <c r="AH265" s="537" t="str">
        <f t="shared" si="57"/>
        <v/>
      </c>
      <c r="AI265" s="525" t="str">
        <f t="shared" si="58"/>
        <v/>
      </c>
      <c r="AJ265" s="522"/>
      <c r="AK265" s="522"/>
      <c r="AL265" s="526" t="str">
        <f t="shared" si="73"/>
        <v/>
      </c>
      <c r="AM265" s="526" t="str">
        <f t="shared" si="74"/>
        <v/>
      </c>
      <c r="AN265" s="526">
        <f t="shared" si="75"/>
        <v>0.51375000000000004</v>
      </c>
      <c r="AO265" s="526">
        <f t="shared" si="76"/>
        <v>-0.66601851317169258</v>
      </c>
    </row>
    <row r="266" spans="1:41" x14ac:dyDescent="0.25">
      <c r="A266" s="2">
        <v>5176376</v>
      </c>
      <c r="B266" s="522" t="s">
        <v>312</v>
      </c>
      <c r="C266" s="522">
        <v>2018</v>
      </c>
      <c r="D266" s="522" t="s">
        <v>297</v>
      </c>
      <c r="E266" s="522" t="s">
        <v>333</v>
      </c>
      <c r="F266" s="522" t="s">
        <v>299</v>
      </c>
      <c r="G266" s="522"/>
      <c r="H266" s="522" t="s">
        <v>353</v>
      </c>
      <c r="I266" s="522"/>
      <c r="J266" s="2" t="s">
        <v>301</v>
      </c>
      <c r="K266" s="522" t="str">
        <f t="shared" si="67"/>
        <v>12-hr TWA</v>
      </c>
      <c r="L266" s="522" t="s">
        <v>302</v>
      </c>
      <c r="M266" s="535">
        <v>39555</v>
      </c>
      <c r="N266" s="2">
        <v>660</v>
      </c>
      <c r="O266" s="2">
        <v>1</v>
      </c>
      <c r="P266" s="2"/>
      <c r="Q266" s="2"/>
      <c r="R266" s="2"/>
      <c r="S266" s="2"/>
      <c r="T266" s="2"/>
      <c r="U266" s="2"/>
      <c r="V266" s="2"/>
      <c r="W266" s="2">
        <v>0.22</v>
      </c>
      <c r="X266" s="2" t="str">
        <f t="shared" si="69"/>
        <v/>
      </c>
      <c r="Y266" s="444">
        <f t="shared" si="70"/>
        <v>0.10083333333333333</v>
      </c>
      <c r="Z266" s="2"/>
      <c r="AA266" s="2"/>
      <c r="AB266" s="2"/>
      <c r="AC266" s="2"/>
      <c r="AD266" s="537">
        <f t="shared" si="68"/>
        <v>1.3840654396728014</v>
      </c>
      <c r="AE266" s="536" t="str">
        <f t="shared" si="71"/>
        <v/>
      </c>
      <c r="AF266" s="536">
        <f t="shared" si="72"/>
        <v>0.63436332651670069</v>
      </c>
      <c r="AG266" s="537" t="str">
        <f t="shared" si="56"/>
        <v/>
      </c>
      <c r="AH266" s="537" t="str">
        <f t="shared" si="57"/>
        <v/>
      </c>
      <c r="AI266" s="525" t="str">
        <f t="shared" si="58"/>
        <v/>
      </c>
      <c r="AJ266" s="522"/>
      <c r="AK266" s="522" t="s">
        <v>315</v>
      </c>
      <c r="AL266" s="526" t="str">
        <f t="shared" si="73"/>
        <v/>
      </c>
      <c r="AM266" s="526" t="str">
        <f t="shared" si="74"/>
        <v/>
      </c>
      <c r="AN266" s="526" t="str">
        <f t="shared" si="75"/>
        <v/>
      </c>
      <c r="AO266" s="526" t="str">
        <f t="shared" si="76"/>
        <v/>
      </c>
    </row>
    <row r="267" spans="1:41" x14ac:dyDescent="0.25">
      <c r="A267" s="2">
        <v>5176376</v>
      </c>
      <c r="B267" s="522" t="s">
        <v>312</v>
      </c>
      <c r="C267" s="522">
        <v>2018</v>
      </c>
      <c r="D267" s="522" t="s">
        <v>297</v>
      </c>
      <c r="E267" s="522" t="s">
        <v>333</v>
      </c>
      <c r="F267" s="522" t="s">
        <v>299</v>
      </c>
      <c r="G267" s="522"/>
      <c r="H267" s="522" t="s">
        <v>353</v>
      </c>
      <c r="I267" s="522"/>
      <c r="J267" s="2" t="s">
        <v>301</v>
      </c>
      <c r="K267" s="522" t="str">
        <f t="shared" si="67"/>
        <v>12-hr TWA</v>
      </c>
      <c r="L267" s="522" t="s">
        <v>302</v>
      </c>
      <c r="M267" s="535">
        <v>39555</v>
      </c>
      <c r="N267" s="2">
        <v>665</v>
      </c>
      <c r="O267" s="2">
        <v>1</v>
      </c>
      <c r="P267" s="2"/>
      <c r="Q267" s="2"/>
      <c r="R267" s="2"/>
      <c r="S267" s="2"/>
      <c r="T267" s="2"/>
      <c r="U267" s="2"/>
      <c r="V267" s="2"/>
      <c r="W267" s="2">
        <v>0.21</v>
      </c>
      <c r="X267" s="2" t="str">
        <f t="shared" si="69"/>
        <v/>
      </c>
      <c r="Y267" s="444">
        <f t="shared" si="70"/>
        <v>9.6979166666666672E-2</v>
      </c>
      <c r="Z267" s="2"/>
      <c r="AA267" s="2"/>
      <c r="AB267" s="2"/>
      <c r="AC267" s="2"/>
      <c r="AD267" s="537">
        <f t="shared" si="68"/>
        <v>1.3211533742331287</v>
      </c>
      <c r="AE267" s="536" t="str">
        <f t="shared" si="71"/>
        <v/>
      </c>
      <c r="AF267" s="536">
        <f t="shared" si="72"/>
        <v>0.61011596796182688</v>
      </c>
      <c r="AG267" s="537" t="str">
        <f t="shared" si="56"/>
        <v/>
      </c>
      <c r="AH267" s="537" t="str">
        <f t="shared" si="57"/>
        <v/>
      </c>
      <c r="AI267" s="525" t="str">
        <f t="shared" si="58"/>
        <v/>
      </c>
      <c r="AJ267" s="522"/>
      <c r="AK267" s="522" t="s">
        <v>315</v>
      </c>
      <c r="AL267" s="526" t="str">
        <f t="shared" si="73"/>
        <v/>
      </c>
      <c r="AM267" s="526" t="str">
        <f t="shared" si="74"/>
        <v/>
      </c>
      <c r="AN267" s="526" t="str">
        <f t="shared" si="75"/>
        <v/>
      </c>
      <c r="AO267" s="526" t="str">
        <f t="shared" si="76"/>
        <v/>
      </c>
    </row>
    <row r="268" spans="1:41" x14ac:dyDescent="0.25">
      <c r="A268" s="2">
        <v>5176376</v>
      </c>
      <c r="B268" s="522" t="s">
        <v>312</v>
      </c>
      <c r="C268" s="522">
        <v>2018</v>
      </c>
      <c r="D268" s="522" t="s">
        <v>297</v>
      </c>
      <c r="E268" s="522" t="s">
        <v>333</v>
      </c>
      <c r="F268" s="522" t="s">
        <v>299</v>
      </c>
      <c r="G268" s="522"/>
      <c r="H268" s="522" t="s">
        <v>353</v>
      </c>
      <c r="I268" s="522"/>
      <c r="J268" s="2" t="s">
        <v>301</v>
      </c>
      <c r="K268" s="522" t="str">
        <f t="shared" si="67"/>
        <v>12-hr TWA</v>
      </c>
      <c r="L268" s="522" t="s">
        <v>302</v>
      </c>
      <c r="M268" s="535">
        <v>39576</v>
      </c>
      <c r="N268" s="2">
        <v>645</v>
      </c>
      <c r="O268" s="2">
        <v>1</v>
      </c>
      <c r="P268" s="2"/>
      <c r="Q268" s="2"/>
      <c r="R268" s="2"/>
      <c r="S268" s="2"/>
      <c r="T268" s="2"/>
      <c r="U268" s="2"/>
      <c r="V268" s="2"/>
      <c r="W268" s="2">
        <v>0.21</v>
      </c>
      <c r="X268" s="2" t="str">
        <f t="shared" si="69"/>
        <v/>
      </c>
      <c r="Y268" s="444">
        <f t="shared" si="70"/>
        <v>9.4062499999999993E-2</v>
      </c>
      <c r="Z268" s="2"/>
      <c r="AA268" s="2"/>
      <c r="AB268" s="2"/>
      <c r="AC268" s="2"/>
      <c r="AD268" s="537">
        <f t="shared" si="68"/>
        <v>1.3211533742331287</v>
      </c>
      <c r="AE268" s="536" t="str">
        <f t="shared" si="71"/>
        <v/>
      </c>
      <c r="AF268" s="536">
        <f t="shared" si="72"/>
        <v>0.59176661554192223</v>
      </c>
      <c r="AG268" s="537" t="str">
        <f t="shared" ref="AG268:AG331" si="77">IF($K268="8-hr TWA", IF(J268="ONU",W268*MolW/MolVol,""),"")</f>
        <v/>
      </c>
      <c r="AH268" s="537" t="str">
        <f t="shared" ref="AH268:AH331" si="78">IF($K268="12-hr TWA", IF(J268="ONU",W268*MolW/MolVol,""),"")</f>
        <v/>
      </c>
      <c r="AI268" s="525" t="str">
        <f t="shared" ref="AI268:AI331" si="79">IF($K268="8-hr TWA", IF(I268="Y",X268*MolW/MolVol,""),"")</f>
        <v/>
      </c>
      <c r="AJ268" s="522"/>
      <c r="AK268" s="522" t="s">
        <v>315</v>
      </c>
      <c r="AL268" s="526" t="str">
        <f t="shared" si="73"/>
        <v/>
      </c>
      <c r="AM268" s="526" t="str">
        <f t="shared" si="74"/>
        <v/>
      </c>
      <c r="AN268" s="526" t="str">
        <f t="shared" si="75"/>
        <v/>
      </c>
      <c r="AO268" s="526" t="str">
        <f t="shared" si="76"/>
        <v/>
      </c>
    </row>
    <row r="269" spans="1:41" x14ac:dyDescent="0.25">
      <c r="A269" s="2">
        <v>5176376</v>
      </c>
      <c r="B269" s="522" t="s">
        <v>312</v>
      </c>
      <c r="C269" s="522">
        <v>2018</v>
      </c>
      <c r="D269" s="522" t="s">
        <v>297</v>
      </c>
      <c r="E269" s="522" t="s">
        <v>333</v>
      </c>
      <c r="F269" s="522" t="s">
        <v>299</v>
      </c>
      <c r="G269" s="522"/>
      <c r="H269" s="522" t="s">
        <v>353</v>
      </c>
      <c r="I269" s="522"/>
      <c r="J269" s="2" t="s">
        <v>301</v>
      </c>
      <c r="K269" s="522" t="str">
        <f t="shared" si="67"/>
        <v>12-hr TWA</v>
      </c>
      <c r="L269" s="522" t="s">
        <v>302</v>
      </c>
      <c r="M269" s="535">
        <v>39589</v>
      </c>
      <c r="N269" s="2">
        <v>630</v>
      </c>
      <c r="O269" s="2">
        <v>1</v>
      </c>
      <c r="P269" s="2"/>
      <c r="Q269" s="2"/>
      <c r="R269" s="2"/>
      <c r="S269" s="2"/>
      <c r="T269" s="2"/>
      <c r="U269" s="2"/>
      <c r="V269" s="2"/>
      <c r="W269" s="2">
        <v>0.23</v>
      </c>
      <c r="X269" s="2" t="str">
        <f t="shared" si="69"/>
        <v/>
      </c>
      <c r="Y269" s="444">
        <f t="shared" si="70"/>
        <v>0.10062500000000001</v>
      </c>
      <c r="Z269" s="2"/>
      <c r="AA269" s="2"/>
      <c r="AB269" s="2"/>
      <c r="AC269" s="2"/>
      <c r="AD269" s="537">
        <f t="shared" si="68"/>
        <v>1.4469775051124745</v>
      </c>
      <c r="AE269" s="536" t="str">
        <f t="shared" si="71"/>
        <v/>
      </c>
      <c r="AF269" s="536">
        <f t="shared" si="72"/>
        <v>0.63305265848670766</v>
      </c>
      <c r="AG269" s="537" t="str">
        <f t="shared" si="77"/>
        <v/>
      </c>
      <c r="AH269" s="537" t="str">
        <f t="shared" si="78"/>
        <v/>
      </c>
      <c r="AI269" s="525" t="str">
        <f t="shared" si="79"/>
        <v/>
      </c>
      <c r="AJ269" s="522"/>
      <c r="AK269" s="522" t="s">
        <v>315</v>
      </c>
      <c r="AL269" s="526" t="str">
        <f t="shared" si="73"/>
        <v/>
      </c>
      <c r="AM269" s="526" t="str">
        <f t="shared" si="74"/>
        <v/>
      </c>
      <c r="AN269" s="526" t="str">
        <f t="shared" si="75"/>
        <v/>
      </c>
      <c r="AO269" s="526" t="str">
        <f t="shared" si="76"/>
        <v/>
      </c>
    </row>
    <row r="270" spans="1:41" x14ac:dyDescent="0.25">
      <c r="A270" s="2">
        <v>5176376</v>
      </c>
      <c r="B270" s="522" t="s">
        <v>312</v>
      </c>
      <c r="C270" s="522">
        <v>2018</v>
      </c>
      <c r="D270" s="522" t="s">
        <v>297</v>
      </c>
      <c r="E270" s="522" t="s">
        <v>333</v>
      </c>
      <c r="F270" s="522" t="s">
        <v>299</v>
      </c>
      <c r="G270" s="522"/>
      <c r="H270" s="522" t="s">
        <v>355</v>
      </c>
      <c r="I270" s="522"/>
      <c r="J270" s="2" t="s">
        <v>301</v>
      </c>
      <c r="K270" s="522" t="str">
        <f t="shared" si="67"/>
        <v>12-hr TWA</v>
      </c>
      <c r="L270" s="522" t="s">
        <v>302</v>
      </c>
      <c r="M270" s="535">
        <v>39659</v>
      </c>
      <c r="N270" s="2">
        <v>690</v>
      </c>
      <c r="O270" s="2">
        <v>1</v>
      </c>
      <c r="P270" s="2"/>
      <c r="Q270" s="2"/>
      <c r="R270" s="2"/>
      <c r="S270" s="2"/>
      <c r="T270" s="2"/>
      <c r="U270" s="2"/>
      <c r="V270" s="2"/>
      <c r="W270" s="2">
        <v>0.21</v>
      </c>
      <c r="X270" s="2" t="str">
        <f t="shared" si="69"/>
        <v/>
      </c>
      <c r="Y270" s="444">
        <f t="shared" si="70"/>
        <v>0.10062500000000001</v>
      </c>
      <c r="Z270" s="2"/>
      <c r="AA270" s="2"/>
      <c r="AB270" s="2"/>
      <c r="AC270" s="2"/>
      <c r="AD270" s="537">
        <f t="shared" si="68"/>
        <v>1.3211533742331287</v>
      </c>
      <c r="AE270" s="536" t="str">
        <f t="shared" si="71"/>
        <v/>
      </c>
      <c r="AF270" s="536">
        <f t="shared" si="72"/>
        <v>0.63305265848670766</v>
      </c>
      <c r="AG270" s="537" t="str">
        <f t="shared" si="77"/>
        <v/>
      </c>
      <c r="AH270" s="537" t="str">
        <f t="shared" si="78"/>
        <v/>
      </c>
      <c r="AI270" s="525" t="str">
        <f t="shared" si="79"/>
        <v/>
      </c>
      <c r="AJ270" s="522"/>
      <c r="AK270" s="522" t="s">
        <v>315</v>
      </c>
      <c r="AL270" s="526" t="str">
        <f t="shared" si="73"/>
        <v/>
      </c>
      <c r="AM270" s="526" t="str">
        <f t="shared" si="74"/>
        <v/>
      </c>
      <c r="AN270" s="526" t="str">
        <f t="shared" si="75"/>
        <v/>
      </c>
      <c r="AO270" s="526" t="str">
        <f t="shared" si="76"/>
        <v/>
      </c>
    </row>
    <row r="271" spans="1:41" x14ac:dyDescent="0.25">
      <c r="A271" s="2">
        <v>5176376</v>
      </c>
      <c r="B271" s="522" t="s">
        <v>312</v>
      </c>
      <c r="C271" s="522">
        <v>2018</v>
      </c>
      <c r="D271" s="522" t="s">
        <v>297</v>
      </c>
      <c r="E271" s="522" t="s">
        <v>333</v>
      </c>
      <c r="F271" s="522" t="s">
        <v>299</v>
      </c>
      <c r="G271" s="522"/>
      <c r="H271" s="522" t="s">
        <v>356</v>
      </c>
      <c r="I271" s="522"/>
      <c r="J271" s="2" t="s">
        <v>301</v>
      </c>
      <c r="K271" s="522" t="str">
        <f t="shared" si="67"/>
        <v>12-hr TWA</v>
      </c>
      <c r="L271" s="522" t="s">
        <v>302</v>
      </c>
      <c r="M271" s="535">
        <v>39659</v>
      </c>
      <c r="N271" s="2">
        <v>690</v>
      </c>
      <c r="O271" s="2">
        <v>1</v>
      </c>
      <c r="P271" s="2"/>
      <c r="Q271" s="2"/>
      <c r="R271" s="2"/>
      <c r="S271" s="2"/>
      <c r="T271" s="2"/>
      <c r="U271" s="2"/>
      <c r="V271" s="2"/>
      <c r="W271" s="2">
        <v>0.21</v>
      </c>
      <c r="X271" s="2" t="str">
        <f t="shared" si="69"/>
        <v/>
      </c>
      <c r="Y271" s="444">
        <f t="shared" si="70"/>
        <v>0.10062500000000001</v>
      </c>
      <c r="Z271" s="2"/>
      <c r="AA271" s="2"/>
      <c r="AB271" s="2"/>
      <c r="AC271" s="2"/>
      <c r="AD271" s="537">
        <f t="shared" si="68"/>
        <v>1.3211533742331287</v>
      </c>
      <c r="AE271" s="536" t="str">
        <f t="shared" si="71"/>
        <v/>
      </c>
      <c r="AF271" s="536">
        <f t="shared" si="72"/>
        <v>0.63305265848670766</v>
      </c>
      <c r="AG271" s="537" t="str">
        <f t="shared" si="77"/>
        <v/>
      </c>
      <c r="AH271" s="537" t="str">
        <f t="shared" si="78"/>
        <v/>
      </c>
      <c r="AI271" s="525" t="str">
        <f t="shared" si="79"/>
        <v/>
      </c>
      <c r="AJ271" s="522"/>
      <c r="AK271" s="522" t="s">
        <v>315</v>
      </c>
      <c r="AL271" s="526" t="str">
        <f t="shared" si="73"/>
        <v/>
      </c>
      <c r="AM271" s="526" t="str">
        <f t="shared" si="74"/>
        <v/>
      </c>
      <c r="AN271" s="526" t="str">
        <f t="shared" si="75"/>
        <v/>
      </c>
      <c r="AO271" s="526" t="str">
        <f t="shared" si="76"/>
        <v/>
      </c>
    </row>
    <row r="272" spans="1:41" x14ac:dyDescent="0.25">
      <c r="A272" s="2">
        <v>5176376</v>
      </c>
      <c r="B272" s="522" t="s">
        <v>312</v>
      </c>
      <c r="C272" s="522">
        <v>2018</v>
      </c>
      <c r="D272" s="522" t="s">
        <v>297</v>
      </c>
      <c r="E272" s="522" t="s">
        <v>333</v>
      </c>
      <c r="F272" s="522" t="s">
        <v>299</v>
      </c>
      <c r="G272" s="522"/>
      <c r="H272" s="522" t="s">
        <v>357</v>
      </c>
      <c r="I272" s="522"/>
      <c r="J272" s="2" t="s">
        <v>301</v>
      </c>
      <c r="K272" s="522" t="str">
        <f t="shared" si="67"/>
        <v>8-hr TWA</v>
      </c>
      <c r="L272" s="522" t="s">
        <v>302</v>
      </c>
      <c r="M272" s="535">
        <v>39659</v>
      </c>
      <c r="N272" s="2">
        <v>480</v>
      </c>
      <c r="O272" s="2">
        <v>1</v>
      </c>
      <c r="P272" s="2"/>
      <c r="Q272" s="2"/>
      <c r="R272" s="2"/>
      <c r="S272" s="2"/>
      <c r="T272" s="2"/>
      <c r="U272" s="2"/>
      <c r="V272" s="2"/>
      <c r="W272" s="2">
        <v>0.21</v>
      </c>
      <c r="X272" s="444">
        <f t="shared" si="69"/>
        <v>0.14849242404917495</v>
      </c>
      <c r="Y272" s="2" t="str">
        <f t="shared" si="70"/>
        <v/>
      </c>
      <c r="Z272" s="2"/>
      <c r="AA272" s="2"/>
      <c r="AB272" s="2"/>
      <c r="AC272" s="2"/>
      <c r="AD272" s="537">
        <f t="shared" si="68"/>
        <v>1.3211533742331287</v>
      </c>
      <c r="AE272" s="536">
        <f t="shared" si="71"/>
        <v>0.93419650990773373</v>
      </c>
      <c r="AF272" s="536" t="str">
        <f t="shared" si="72"/>
        <v/>
      </c>
      <c r="AG272" s="537" t="str">
        <f t="shared" si="77"/>
        <v/>
      </c>
      <c r="AH272" s="537" t="str">
        <f t="shared" si="78"/>
        <v/>
      </c>
      <c r="AI272" s="525" t="str">
        <f t="shared" si="79"/>
        <v/>
      </c>
      <c r="AJ272" s="522"/>
      <c r="AK272" s="522" t="s">
        <v>315</v>
      </c>
      <c r="AL272" s="526" t="str">
        <f t="shared" si="73"/>
        <v/>
      </c>
      <c r="AM272" s="526" t="str">
        <f t="shared" si="74"/>
        <v/>
      </c>
      <c r="AN272" s="526" t="str">
        <f t="shared" si="75"/>
        <v/>
      </c>
      <c r="AO272" s="526" t="str">
        <f t="shared" si="76"/>
        <v/>
      </c>
    </row>
    <row r="273" spans="1:41" x14ac:dyDescent="0.25">
      <c r="A273" s="2">
        <v>5176376</v>
      </c>
      <c r="B273" s="522" t="s">
        <v>312</v>
      </c>
      <c r="C273" s="522">
        <v>2018</v>
      </c>
      <c r="D273" s="522" t="s">
        <v>297</v>
      </c>
      <c r="E273" s="522" t="s">
        <v>333</v>
      </c>
      <c r="F273" s="522" t="s">
        <v>299</v>
      </c>
      <c r="G273" s="522"/>
      <c r="H273" s="522" t="s">
        <v>355</v>
      </c>
      <c r="I273" s="522"/>
      <c r="J273" s="2" t="s">
        <v>301</v>
      </c>
      <c r="K273" s="522" t="str">
        <f t="shared" si="67"/>
        <v>12-hr TWA</v>
      </c>
      <c r="L273" s="522" t="s">
        <v>302</v>
      </c>
      <c r="M273" s="535">
        <v>39660</v>
      </c>
      <c r="N273" s="2">
        <v>645</v>
      </c>
      <c r="O273" s="2">
        <v>1</v>
      </c>
      <c r="P273" s="2"/>
      <c r="Q273" s="2"/>
      <c r="R273" s="2"/>
      <c r="S273" s="2"/>
      <c r="T273" s="2"/>
      <c r="U273" s="2"/>
      <c r="V273" s="2"/>
      <c r="W273" s="2">
        <v>0.21</v>
      </c>
      <c r="X273" s="2" t="str">
        <f t="shared" ref="X273:X304" si="80">IF($K273="8-hr TWA", IF($N273&lt;480,IF($AK273="ND",IF($AR$9&lt;3,($W273/SQRT(2))*$N273/480, ($W273/2)*$N273/480),$W273*$N273/480),IF($AK273="ND",IF($AR$9&lt;3,($W273/SQRT(2)), ($W273/2)),$W273)),"")</f>
        <v/>
      </c>
      <c r="Y273" s="524">
        <f t="shared" ref="Y273:Y304" si="81">IF($K273="12-hr TWA", IF($N273&lt;720,IF($AK273="ND",IF($AS$9&lt;3,($W273/SQRT(2))*$N273/720, ($W273/2)*$N273/720),$W273*$N273/720),IF($AK273="ND",IF($AS$9&lt;3,($W273/SQRT(2)), ($W273/2)),$W273)),"")</f>
        <v>9.4062499999999993E-2</v>
      </c>
      <c r="Z273" s="2"/>
      <c r="AA273" s="2"/>
      <c r="AB273" s="2"/>
      <c r="AC273" s="2"/>
      <c r="AD273" s="537">
        <f t="shared" si="68"/>
        <v>1.3211533742331287</v>
      </c>
      <c r="AE273" s="536" t="str">
        <f t="shared" ref="AE273:AE304" si="82">+IFERROR(X273*MolW/MolVol,"")</f>
        <v/>
      </c>
      <c r="AF273" s="536">
        <f t="shared" ref="AF273:AF304" si="83">+IFERROR(Y273*MolW/MolVol,"")</f>
        <v>0.59176661554192223</v>
      </c>
      <c r="AG273" s="537" t="str">
        <f t="shared" si="77"/>
        <v/>
      </c>
      <c r="AH273" s="537" t="str">
        <f t="shared" si="78"/>
        <v/>
      </c>
      <c r="AI273" s="525" t="str">
        <f t="shared" si="79"/>
        <v/>
      </c>
      <c r="AJ273" s="522"/>
      <c r="AK273" s="522" t="s">
        <v>315</v>
      </c>
      <c r="AL273" s="526" t="str">
        <f t="shared" ref="AL273:AL304" si="84">IF($K273="8-hr TWA", IF($AK273&lt;&gt;"ND", IF($N273&lt;480, $W273*$N273/480,$W273),""),"")</f>
        <v/>
      </c>
      <c r="AM273" s="526" t="str">
        <f t="shared" ref="AM273:AM304" si="85">+IFERROR(LN(AL273), "")</f>
        <v/>
      </c>
      <c r="AN273" s="526" t="str">
        <f t="shared" ref="AN273:AN304" si="86">IF($K273="12-hr TWA", IF($AK273&lt;&gt;"ND", IF($N273&lt;720, $W273*$N273/720,$W273),""),"")</f>
        <v/>
      </c>
      <c r="AO273" s="526" t="str">
        <f t="shared" ref="AO273:AO304" si="87">+IFERROR(LN(AN273), "")</f>
        <v/>
      </c>
    </row>
    <row r="274" spans="1:41" x14ac:dyDescent="0.25">
      <c r="A274" s="2">
        <v>5176376</v>
      </c>
      <c r="B274" s="522" t="s">
        <v>312</v>
      </c>
      <c r="C274" s="522">
        <v>2018</v>
      </c>
      <c r="D274" s="522" t="s">
        <v>297</v>
      </c>
      <c r="E274" s="522" t="s">
        <v>333</v>
      </c>
      <c r="F274" s="522" t="s">
        <v>299</v>
      </c>
      <c r="G274" s="522"/>
      <c r="H274" s="522" t="s">
        <v>355</v>
      </c>
      <c r="I274" s="522"/>
      <c r="J274" s="2" t="s">
        <v>301</v>
      </c>
      <c r="K274" s="522" t="str">
        <f t="shared" si="67"/>
        <v>12-hr TWA</v>
      </c>
      <c r="L274" s="522" t="s">
        <v>302</v>
      </c>
      <c r="M274" s="535">
        <v>39660</v>
      </c>
      <c r="N274" s="2">
        <v>645</v>
      </c>
      <c r="O274" s="2">
        <v>1</v>
      </c>
      <c r="P274" s="2"/>
      <c r="Q274" s="2"/>
      <c r="R274" s="2"/>
      <c r="S274" s="2"/>
      <c r="T274" s="2"/>
      <c r="U274" s="2"/>
      <c r="V274" s="2"/>
      <c r="W274" s="2">
        <v>0.22</v>
      </c>
      <c r="X274" s="2" t="str">
        <f t="shared" si="80"/>
        <v/>
      </c>
      <c r="Y274" s="524">
        <f t="shared" si="81"/>
        <v>9.8541666666666666E-2</v>
      </c>
      <c r="Z274" s="2"/>
      <c r="AA274" s="2"/>
      <c r="AB274" s="2"/>
      <c r="AC274" s="2"/>
      <c r="AD274" s="537">
        <f t="shared" si="68"/>
        <v>1.3840654396728014</v>
      </c>
      <c r="AE274" s="537" t="str">
        <f t="shared" si="82"/>
        <v/>
      </c>
      <c r="AF274" s="536">
        <f t="shared" si="83"/>
        <v>0.61994597818677577</v>
      </c>
      <c r="AG274" s="537" t="str">
        <f t="shared" si="77"/>
        <v/>
      </c>
      <c r="AH274" s="537" t="str">
        <f t="shared" si="78"/>
        <v/>
      </c>
      <c r="AI274" s="525" t="str">
        <f t="shared" si="79"/>
        <v/>
      </c>
      <c r="AJ274" s="522"/>
      <c r="AK274" s="522" t="s">
        <v>315</v>
      </c>
      <c r="AL274" s="526" t="str">
        <f t="shared" si="84"/>
        <v/>
      </c>
      <c r="AM274" s="526" t="str">
        <f t="shared" si="85"/>
        <v/>
      </c>
      <c r="AN274" s="526" t="str">
        <f t="shared" si="86"/>
        <v/>
      </c>
      <c r="AO274" s="526" t="str">
        <f t="shared" si="87"/>
        <v/>
      </c>
    </row>
    <row r="275" spans="1:41" x14ac:dyDescent="0.25">
      <c r="A275" s="2">
        <v>5176376</v>
      </c>
      <c r="B275" s="522" t="s">
        <v>312</v>
      </c>
      <c r="C275" s="522">
        <v>2018</v>
      </c>
      <c r="D275" s="522" t="s">
        <v>297</v>
      </c>
      <c r="E275" s="522" t="s">
        <v>333</v>
      </c>
      <c r="F275" s="522" t="s">
        <v>299</v>
      </c>
      <c r="G275" s="522"/>
      <c r="H275" s="522" t="s">
        <v>357</v>
      </c>
      <c r="I275" s="522"/>
      <c r="J275" s="2" t="s">
        <v>301</v>
      </c>
      <c r="K275" s="522" t="str">
        <f t="shared" si="67"/>
        <v>8-hr TWA</v>
      </c>
      <c r="L275" s="522" t="s">
        <v>302</v>
      </c>
      <c r="M275" s="535">
        <v>39660</v>
      </c>
      <c r="N275" s="2">
        <v>480</v>
      </c>
      <c r="O275" s="2">
        <v>1</v>
      </c>
      <c r="P275" s="2"/>
      <c r="Q275" s="2"/>
      <c r="R275" s="2"/>
      <c r="S275" s="2"/>
      <c r="T275" s="2"/>
      <c r="U275" s="2"/>
      <c r="V275" s="2"/>
      <c r="W275" s="444">
        <v>0.3</v>
      </c>
      <c r="X275" s="444">
        <f t="shared" si="80"/>
        <v>0.21213203435596423</v>
      </c>
      <c r="Y275" s="2" t="str">
        <f t="shared" si="81"/>
        <v/>
      </c>
      <c r="Z275" s="2"/>
      <c r="AA275" s="2"/>
      <c r="AB275" s="2"/>
      <c r="AC275" s="2"/>
      <c r="AD275" s="537">
        <f t="shared" si="68"/>
        <v>1.8873619631901839</v>
      </c>
      <c r="AE275" s="537">
        <f t="shared" si="82"/>
        <v>1.3345664427253341</v>
      </c>
      <c r="AF275" s="536" t="str">
        <f t="shared" si="83"/>
        <v/>
      </c>
      <c r="AG275" s="537" t="str">
        <f t="shared" si="77"/>
        <v/>
      </c>
      <c r="AH275" s="537" t="str">
        <f t="shared" si="78"/>
        <v/>
      </c>
      <c r="AI275" s="525" t="str">
        <f t="shared" si="79"/>
        <v/>
      </c>
      <c r="AJ275" s="522"/>
      <c r="AK275" s="522" t="s">
        <v>315</v>
      </c>
      <c r="AL275" s="526" t="str">
        <f t="shared" si="84"/>
        <v/>
      </c>
      <c r="AM275" s="526" t="str">
        <f t="shared" si="85"/>
        <v/>
      </c>
      <c r="AN275" s="526" t="str">
        <f t="shared" si="86"/>
        <v/>
      </c>
      <c r="AO275" s="526" t="str">
        <f t="shared" si="87"/>
        <v/>
      </c>
    </row>
    <row r="276" spans="1:41" x14ac:dyDescent="0.25">
      <c r="A276" s="2">
        <v>5176376</v>
      </c>
      <c r="B276" s="522" t="s">
        <v>312</v>
      </c>
      <c r="C276" s="522">
        <v>2018</v>
      </c>
      <c r="D276" s="522" t="s">
        <v>297</v>
      </c>
      <c r="E276" s="522" t="s">
        <v>333</v>
      </c>
      <c r="F276" s="522" t="s">
        <v>299</v>
      </c>
      <c r="G276" s="522"/>
      <c r="H276" s="522" t="s">
        <v>355</v>
      </c>
      <c r="I276" s="522"/>
      <c r="J276" s="2" t="s">
        <v>301</v>
      </c>
      <c r="K276" s="522" t="str">
        <f t="shared" ref="K276:K339" si="88">+IF(N276&lt;=540, "8-hr TWA", IF(N276&gt;540, "12-hr TWA", "Error"))</f>
        <v>12-hr TWA</v>
      </c>
      <c r="L276" s="522" t="s">
        <v>302</v>
      </c>
      <c r="M276" s="535">
        <v>39661</v>
      </c>
      <c r="N276" s="2">
        <v>660</v>
      </c>
      <c r="O276" s="2">
        <v>1</v>
      </c>
      <c r="P276" s="2"/>
      <c r="Q276" s="2"/>
      <c r="R276" s="2"/>
      <c r="S276" s="2"/>
      <c r="T276" s="2"/>
      <c r="U276" s="2"/>
      <c r="V276" s="2"/>
      <c r="W276" s="2">
        <v>0.22</v>
      </c>
      <c r="X276" s="444" t="str">
        <f t="shared" si="80"/>
        <v/>
      </c>
      <c r="Y276" s="444">
        <f t="shared" si="81"/>
        <v>0.10083333333333333</v>
      </c>
      <c r="Z276" s="2"/>
      <c r="AA276" s="2"/>
      <c r="AB276" s="2"/>
      <c r="AC276" s="2"/>
      <c r="AD276" s="537">
        <f t="shared" si="68"/>
        <v>1.3840654396728014</v>
      </c>
      <c r="AE276" s="537" t="str">
        <f t="shared" si="82"/>
        <v/>
      </c>
      <c r="AF276" s="536">
        <f t="shared" si="83"/>
        <v>0.63436332651670069</v>
      </c>
      <c r="AG276" s="537" t="str">
        <f t="shared" si="77"/>
        <v/>
      </c>
      <c r="AH276" s="537" t="str">
        <f t="shared" si="78"/>
        <v/>
      </c>
      <c r="AI276" s="525" t="str">
        <f t="shared" si="79"/>
        <v/>
      </c>
      <c r="AJ276" s="522"/>
      <c r="AK276" s="522" t="s">
        <v>315</v>
      </c>
      <c r="AL276" s="526" t="str">
        <f t="shared" si="84"/>
        <v/>
      </c>
      <c r="AM276" s="526" t="str">
        <f t="shared" si="85"/>
        <v/>
      </c>
      <c r="AN276" s="526" t="str">
        <f t="shared" si="86"/>
        <v/>
      </c>
      <c r="AO276" s="526" t="str">
        <f t="shared" si="87"/>
        <v/>
      </c>
    </row>
    <row r="277" spans="1:41" x14ac:dyDescent="0.25">
      <c r="A277" s="2">
        <v>5176376</v>
      </c>
      <c r="B277" s="522" t="s">
        <v>312</v>
      </c>
      <c r="C277" s="522">
        <v>2018</v>
      </c>
      <c r="D277" s="522" t="s">
        <v>297</v>
      </c>
      <c r="E277" s="522" t="s">
        <v>333</v>
      </c>
      <c r="F277" s="522" t="s">
        <v>299</v>
      </c>
      <c r="G277" s="522"/>
      <c r="H277" s="522" t="s">
        <v>356</v>
      </c>
      <c r="I277" s="522"/>
      <c r="J277" s="2" t="s">
        <v>301</v>
      </c>
      <c r="K277" s="522" t="str">
        <f t="shared" si="88"/>
        <v>12-hr TWA</v>
      </c>
      <c r="L277" s="522" t="s">
        <v>302</v>
      </c>
      <c r="M277" s="535">
        <v>39661</v>
      </c>
      <c r="N277" s="2">
        <v>660</v>
      </c>
      <c r="O277" s="2">
        <v>1</v>
      </c>
      <c r="P277" s="2"/>
      <c r="Q277" s="2"/>
      <c r="R277" s="2"/>
      <c r="S277" s="2"/>
      <c r="T277" s="2"/>
      <c r="U277" s="2"/>
      <c r="V277" s="2"/>
      <c r="W277" s="2">
        <v>0.22</v>
      </c>
      <c r="X277" s="444" t="str">
        <f t="shared" si="80"/>
        <v/>
      </c>
      <c r="Y277" s="444">
        <f t="shared" si="81"/>
        <v>0.10083333333333333</v>
      </c>
      <c r="Z277" s="2"/>
      <c r="AA277" s="2"/>
      <c r="AB277" s="2"/>
      <c r="AC277" s="2"/>
      <c r="AD277" s="537">
        <f t="shared" si="68"/>
        <v>1.3840654396728014</v>
      </c>
      <c r="AE277" s="537" t="str">
        <f t="shared" si="82"/>
        <v/>
      </c>
      <c r="AF277" s="536">
        <f t="shared" si="83"/>
        <v>0.63436332651670069</v>
      </c>
      <c r="AG277" s="537" t="str">
        <f t="shared" si="77"/>
        <v/>
      </c>
      <c r="AH277" s="537" t="str">
        <f t="shared" si="78"/>
        <v/>
      </c>
      <c r="AI277" s="525" t="str">
        <f t="shared" si="79"/>
        <v/>
      </c>
      <c r="AJ277" s="522"/>
      <c r="AK277" s="522" t="s">
        <v>315</v>
      </c>
      <c r="AL277" s="526" t="str">
        <f t="shared" si="84"/>
        <v/>
      </c>
      <c r="AM277" s="526" t="str">
        <f t="shared" si="85"/>
        <v/>
      </c>
      <c r="AN277" s="526" t="str">
        <f t="shared" si="86"/>
        <v/>
      </c>
      <c r="AO277" s="526" t="str">
        <f t="shared" si="87"/>
        <v/>
      </c>
    </row>
    <row r="278" spans="1:41" x14ac:dyDescent="0.25">
      <c r="A278" s="2">
        <v>5176376</v>
      </c>
      <c r="B278" s="522" t="s">
        <v>312</v>
      </c>
      <c r="C278" s="522">
        <v>2018</v>
      </c>
      <c r="D278" s="522" t="s">
        <v>297</v>
      </c>
      <c r="E278" s="522" t="s">
        <v>333</v>
      </c>
      <c r="F278" s="522" t="s">
        <v>299</v>
      </c>
      <c r="G278" s="522"/>
      <c r="H278" s="522" t="s">
        <v>357</v>
      </c>
      <c r="I278" s="522"/>
      <c r="J278" s="2" t="s">
        <v>301</v>
      </c>
      <c r="K278" s="522" t="str">
        <f t="shared" si="88"/>
        <v>8-hr TWA</v>
      </c>
      <c r="L278" s="522" t="s">
        <v>302</v>
      </c>
      <c r="M278" s="535">
        <v>39661</v>
      </c>
      <c r="N278" s="2">
        <v>480</v>
      </c>
      <c r="O278" s="2">
        <v>1</v>
      </c>
      <c r="P278" s="2"/>
      <c r="Q278" s="2"/>
      <c r="R278" s="2"/>
      <c r="S278" s="2"/>
      <c r="T278" s="2"/>
      <c r="U278" s="2"/>
      <c r="V278" s="2"/>
      <c r="W278" s="2">
        <v>0.22</v>
      </c>
      <c r="X278" s="444">
        <f t="shared" si="80"/>
        <v>0.15556349186104046</v>
      </c>
      <c r="Y278" s="444" t="str">
        <f t="shared" si="81"/>
        <v/>
      </c>
      <c r="Z278" s="2"/>
      <c r="AA278" s="2"/>
      <c r="AB278" s="2"/>
      <c r="AC278" s="2"/>
      <c r="AD278" s="537">
        <f t="shared" ref="AD278:AD341" si="89">+W278*MolW/MolVol</f>
        <v>1.3840654396728014</v>
      </c>
      <c r="AE278" s="537">
        <f t="shared" si="82"/>
        <v>0.97868205799857844</v>
      </c>
      <c r="AF278" s="536" t="str">
        <f t="shared" si="83"/>
        <v/>
      </c>
      <c r="AG278" s="537" t="str">
        <f t="shared" si="77"/>
        <v/>
      </c>
      <c r="AH278" s="537" t="str">
        <f t="shared" si="78"/>
        <v/>
      </c>
      <c r="AI278" s="525" t="str">
        <f t="shared" si="79"/>
        <v/>
      </c>
      <c r="AJ278" s="522"/>
      <c r="AK278" s="522" t="s">
        <v>315</v>
      </c>
      <c r="AL278" s="526" t="str">
        <f t="shared" si="84"/>
        <v/>
      </c>
      <c r="AM278" s="526" t="str">
        <f t="shared" si="85"/>
        <v/>
      </c>
      <c r="AN278" s="526" t="str">
        <f t="shared" si="86"/>
        <v/>
      </c>
      <c r="AO278" s="526" t="str">
        <f t="shared" si="87"/>
        <v/>
      </c>
    </row>
    <row r="279" spans="1:41" x14ac:dyDescent="0.25">
      <c r="A279" s="2">
        <v>5176376</v>
      </c>
      <c r="B279" s="522" t="s">
        <v>312</v>
      </c>
      <c r="C279" s="522">
        <v>2018</v>
      </c>
      <c r="D279" s="522" t="s">
        <v>297</v>
      </c>
      <c r="E279" s="522" t="s">
        <v>333</v>
      </c>
      <c r="F279" s="522" t="s">
        <v>299</v>
      </c>
      <c r="G279" s="522"/>
      <c r="H279" s="522" t="s">
        <v>355</v>
      </c>
      <c r="I279" s="522"/>
      <c r="J279" s="2" t="s">
        <v>301</v>
      </c>
      <c r="K279" s="522" t="str">
        <f t="shared" si="88"/>
        <v>12-hr TWA</v>
      </c>
      <c r="L279" s="522" t="s">
        <v>302</v>
      </c>
      <c r="M279" s="535">
        <v>39848</v>
      </c>
      <c r="N279" s="2">
        <v>685</v>
      </c>
      <c r="O279" s="2">
        <v>1</v>
      </c>
      <c r="P279" s="2"/>
      <c r="Q279" s="2"/>
      <c r="R279" s="2"/>
      <c r="S279" s="2"/>
      <c r="T279" s="2"/>
      <c r="U279" s="2"/>
      <c r="V279" s="2"/>
      <c r="W279" s="2">
        <v>0.21</v>
      </c>
      <c r="X279" s="444" t="str">
        <f t="shared" si="80"/>
        <v/>
      </c>
      <c r="Y279" s="444">
        <f t="shared" si="81"/>
        <v>9.9895833333333323E-2</v>
      </c>
      <c r="Z279" s="2"/>
      <c r="AA279" s="2"/>
      <c r="AB279" s="2"/>
      <c r="AC279" s="2"/>
      <c r="AD279" s="537">
        <f t="shared" si="89"/>
        <v>1.3211533742331287</v>
      </c>
      <c r="AE279" s="537" t="str">
        <f t="shared" si="82"/>
        <v/>
      </c>
      <c r="AF279" s="536">
        <f t="shared" si="83"/>
        <v>0.62846532038173131</v>
      </c>
      <c r="AG279" s="537" t="str">
        <f t="shared" si="77"/>
        <v/>
      </c>
      <c r="AH279" s="537" t="str">
        <f t="shared" si="78"/>
        <v/>
      </c>
      <c r="AI279" s="525" t="str">
        <f t="shared" si="79"/>
        <v/>
      </c>
      <c r="AJ279" s="522"/>
      <c r="AK279" s="522" t="s">
        <v>315</v>
      </c>
      <c r="AL279" s="526" t="str">
        <f t="shared" si="84"/>
        <v/>
      </c>
      <c r="AM279" s="526" t="str">
        <f t="shared" si="85"/>
        <v/>
      </c>
      <c r="AN279" s="526" t="str">
        <f t="shared" si="86"/>
        <v/>
      </c>
      <c r="AO279" s="526" t="str">
        <f t="shared" si="87"/>
        <v/>
      </c>
    </row>
    <row r="280" spans="1:41" x14ac:dyDescent="0.25">
      <c r="A280" s="2">
        <v>5176376</v>
      </c>
      <c r="B280" s="522" t="s">
        <v>312</v>
      </c>
      <c r="C280" s="522">
        <v>2018</v>
      </c>
      <c r="D280" s="522" t="s">
        <v>297</v>
      </c>
      <c r="E280" s="522" t="s">
        <v>333</v>
      </c>
      <c r="F280" s="522" t="s">
        <v>299</v>
      </c>
      <c r="G280" s="522"/>
      <c r="H280" s="522" t="s">
        <v>356</v>
      </c>
      <c r="I280" s="522"/>
      <c r="J280" s="2" t="s">
        <v>301</v>
      </c>
      <c r="K280" s="522" t="str">
        <f t="shared" si="88"/>
        <v>12-hr TWA</v>
      </c>
      <c r="L280" s="522" t="s">
        <v>302</v>
      </c>
      <c r="M280" s="535">
        <v>39848</v>
      </c>
      <c r="N280" s="2">
        <v>695</v>
      </c>
      <c r="O280" s="2">
        <v>1</v>
      </c>
      <c r="P280" s="2"/>
      <c r="Q280" s="2"/>
      <c r="R280" s="2"/>
      <c r="S280" s="2"/>
      <c r="T280" s="2"/>
      <c r="U280" s="2"/>
      <c r="V280" s="2"/>
      <c r="W280" s="2">
        <v>0.2</v>
      </c>
      <c r="X280" s="444" t="str">
        <f t="shared" si="80"/>
        <v/>
      </c>
      <c r="Y280" s="444">
        <f t="shared" si="81"/>
        <v>9.6527777777777782E-2</v>
      </c>
      <c r="Z280" s="2"/>
      <c r="AA280" s="2"/>
      <c r="AB280" s="2"/>
      <c r="AC280" s="2"/>
      <c r="AD280" s="537">
        <f t="shared" si="89"/>
        <v>1.2582413087934561</v>
      </c>
      <c r="AE280" s="537" t="str">
        <f t="shared" si="82"/>
        <v/>
      </c>
      <c r="AF280" s="536">
        <f t="shared" si="83"/>
        <v>0.60727618723017496</v>
      </c>
      <c r="AG280" s="537" t="str">
        <f t="shared" si="77"/>
        <v/>
      </c>
      <c r="AH280" s="537" t="str">
        <f t="shared" si="78"/>
        <v/>
      </c>
      <c r="AI280" s="525" t="str">
        <f t="shared" si="79"/>
        <v/>
      </c>
      <c r="AJ280" s="522"/>
      <c r="AK280" s="522" t="s">
        <v>315</v>
      </c>
      <c r="AL280" s="526" t="str">
        <f t="shared" si="84"/>
        <v/>
      </c>
      <c r="AM280" s="526" t="str">
        <f t="shared" si="85"/>
        <v/>
      </c>
      <c r="AN280" s="526" t="str">
        <f t="shared" si="86"/>
        <v/>
      </c>
      <c r="AO280" s="526" t="str">
        <f t="shared" si="87"/>
        <v/>
      </c>
    </row>
    <row r="281" spans="1:41" x14ac:dyDescent="0.25">
      <c r="A281" s="2">
        <v>5176376</v>
      </c>
      <c r="B281" s="522" t="s">
        <v>312</v>
      </c>
      <c r="C281" s="522">
        <v>2018</v>
      </c>
      <c r="D281" s="522" t="s">
        <v>297</v>
      </c>
      <c r="E281" s="522" t="s">
        <v>333</v>
      </c>
      <c r="F281" s="522" t="s">
        <v>299</v>
      </c>
      <c r="G281" s="522"/>
      <c r="H281" s="522" t="s">
        <v>357</v>
      </c>
      <c r="I281" s="522"/>
      <c r="J281" s="2" t="s">
        <v>301</v>
      </c>
      <c r="K281" s="522" t="str">
        <f t="shared" si="88"/>
        <v>8-hr TWA</v>
      </c>
      <c r="L281" s="522" t="s">
        <v>302</v>
      </c>
      <c r="M281" s="535">
        <v>39848</v>
      </c>
      <c r="N281" s="2">
        <v>470</v>
      </c>
      <c r="O281" s="2">
        <v>1</v>
      </c>
      <c r="P281" s="2"/>
      <c r="Q281" s="2"/>
      <c r="R281" s="2"/>
      <c r="S281" s="2"/>
      <c r="T281" s="2"/>
      <c r="U281" s="2"/>
      <c r="V281" s="2"/>
      <c r="W281" s="444">
        <v>0.3</v>
      </c>
      <c r="X281" s="444">
        <f t="shared" si="80"/>
        <v>0.20771261697354829</v>
      </c>
      <c r="Y281" s="444" t="str">
        <f t="shared" si="81"/>
        <v/>
      </c>
      <c r="Z281" s="2"/>
      <c r="AA281" s="2"/>
      <c r="AB281" s="2"/>
      <c r="AC281" s="2"/>
      <c r="AD281" s="537">
        <f t="shared" si="89"/>
        <v>1.8873619631901839</v>
      </c>
      <c r="AE281" s="537">
        <f t="shared" si="82"/>
        <v>1.3067629751685561</v>
      </c>
      <c r="AF281" s="536" t="str">
        <f t="shared" si="83"/>
        <v/>
      </c>
      <c r="AG281" s="537" t="str">
        <f t="shared" si="77"/>
        <v/>
      </c>
      <c r="AH281" s="537" t="str">
        <f t="shared" si="78"/>
        <v/>
      </c>
      <c r="AI281" s="525" t="str">
        <f t="shared" si="79"/>
        <v/>
      </c>
      <c r="AJ281" s="522"/>
      <c r="AK281" s="522" t="s">
        <v>315</v>
      </c>
      <c r="AL281" s="526" t="str">
        <f t="shared" si="84"/>
        <v/>
      </c>
      <c r="AM281" s="526" t="str">
        <f t="shared" si="85"/>
        <v/>
      </c>
      <c r="AN281" s="526" t="str">
        <f t="shared" si="86"/>
        <v/>
      </c>
      <c r="AO281" s="526" t="str">
        <f t="shared" si="87"/>
        <v/>
      </c>
    </row>
    <row r="282" spans="1:41" x14ac:dyDescent="0.25">
      <c r="A282" s="2">
        <v>5176376</v>
      </c>
      <c r="B282" s="522" t="s">
        <v>312</v>
      </c>
      <c r="C282" s="522">
        <v>2018</v>
      </c>
      <c r="D282" s="522" t="s">
        <v>297</v>
      </c>
      <c r="E282" s="522" t="s">
        <v>333</v>
      </c>
      <c r="F282" s="522" t="s">
        <v>299</v>
      </c>
      <c r="G282" s="522"/>
      <c r="H282" s="522" t="s">
        <v>356</v>
      </c>
      <c r="I282" s="522"/>
      <c r="J282" s="2" t="s">
        <v>301</v>
      </c>
      <c r="K282" s="522" t="str">
        <f t="shared" si="88"/>
        <v>8-hr TWA</v>
      </c>
      <c r="L282" s="522" t="s">
        <v>302</v>
      </c>
      <c r="M282" s="535">
        <v>39849</v>
      </c>
      <c r="N282" s="2">
        <v>480</v>
      </c>
      <c r="O282" s="2">
        <v>1</v>
      </c>
      <c r="P282" s="2"/>
      <c r="Q282" s="2"/>
      <c r="R282" s="2"/>
      <c r="S282" s="2"/>
      <c r="T282" s="2"/>
      <c r="U282" s="2"/>
      <c r="V282" s="2"/>
      <c r="W282" s="444">
        <v>0.3</v>
      </c>
      <c r="X282" s="444">
        <f t="shared" si="80"/>
        <v>0.21213203435596423</v>
      </c>
      <c r="Y282" s="444" t="str">
        <f t="shared" si="81"/>
        <v/>
      </c>
      <c r="Z282" s="2"/>
      <c r="AA282" s="2"/>
      <c r="AB282" s="2"/>
      <c r="AC282" s="2"/>
      <c r="AD282" s="537">
        <f t="shared" si="89"/>
        <v>1.8873619631901839</v>
      </c>
      <c r="AE282" s="537">
        <f t="shared" si="82"/>
        <v>1.3345664427253341</v>
      </c>
      <c r="AF282" s="536" t="str">
        <f t="shared" si="83"/>
        <v/>
      </c>
      <c r="AG282" s="537" t="str">
        <f t="shared" si="77"/>
        <v/>
      </c>
      <c r="AH282" s="537" t="str">
        <f t="shared" si="78"/>
        <v/>
      </c>
      <c r="AI282" s="525" t="str">
        <f t="shared" si="79"/>
        <v/>
      </c>
      <c r="AJ282" s="522"/>
      <c r="AK282" s="522" t="s">
        <v>315</v>
      </c>
      <c r="AL282" s="526" t="str">
        <f t="shared" si="84"/>
        <v/>
      </c>
      <c r="AM282" s="526" t="str">
        <f t="shared" si="85"/>
        <v/>
      </c>
      <c r="AN282" s="526" t="str">
        <f t="shared" si="86"/>
        <v/>
      </c>
      <c r="AO282" s="526" t="str">
        <f t="shared" si="87"/>
        <v/>
      </c>
    </row>
    <row r="283" spans="1:41" x14ac:dyDescent="0.25">
      <c r="A283" s="2">
        <v>5176376</v>
      </c>
      <c r="B283" s="522" t="s">
        <v>312</v>
      </c>
      <c r="C283" s="522">
        <v>2018</v>
      </c>
      <c r="D283" s="522" t="s">
        <v>297</v>
      </c>
      <c r="E283" s="522" t="s">
        <v>333</v>
      </c>
      <c r="F283" s="522" t="s">
        <v>299</v>
      </c>
      <c r="G283" s="522"/>
      <c r="H283" s="522" t="s">
        <v>355</v>
      </c>
      <c r="I283" s="522"/>
      <c r="J283" s="2" t="s">
        <v>301</v>
      </c>
      <c r="K283" s="522" t="str">
        <f t="shared" si="88"/>
        <v>12-hr TWA</v>
      </c>
      <c r="L283" s="522" t="s">
        <v>302</v>
      </c>
      <c r="M283" s="535">
        <v>39849</v>
      </c>
      <c r="N283" s="2">
        <v>690</v>
      </c>
      <c r="O283" s="2">
        <v>1</v>
      </c>
      <c r="P283" s="2"/>
      <c r="Q283" s="2"/>
      <c r="R283" s="2"/>
      <c r="S283" s="2"/>
      <c r="T283" s="2"/>
      <c r="U283" s="2"/>
      <c r="V283" s="2"/>
      <c r="W283" s="2">
        <v>0.21</v>
      </c>
      <c r="X283" s="2" t="str">
        <f t="shared" si="80"/>
        <v/>
      </c>
      <c r="Y283" s="444">
        <f t="shared" si="81"/>
        <v>0.10062500000000001</v>
      </c>
      <c r="Z283" s="2"/>
      <c r="AA283" s="2"/>
      <c r="AB283" s="2"/>
      <c r="AC283" s="2"/>
      <c r="AD283" s="537">
        <f t="shared" si="89"/>
        <v>1.3211533742331287</v>
      </c>
      <c r="AE283" s="537" t="str">
        <f t="shared" si="82"/>
        <v/>
      </c>
      <c r="AF283" s="536">
        <f t="shared" si="83"/>
        <v>0.63305265848670766</v>
      </c>
      <c r="AG283" s="537" t="str">
        <f t="shared" si="77"/>
        <v/>
      </c>
      <c r="AH283" s="537" t="str">
        <f t="shared" si="78"/>
        <v/>
      </c>
      <c r="AI283" s="525" t="str">
        <f t="shared" si="79"/>
        <v/>
      </c>
      <c r="AJ283" s="522"/>
      <c r="AK283" s="522" t="s">
        <v>315</v>
      </c>
      <c r="AL283" s="526" t="str">
        <f t="shared" si="84"/>
        <v/>
      </c>
      <c r="AM283" s="526" t="str">
        <f t="shared" si="85"/>
        <v/>
      </c>
      <c r="AN283" s="526" t="str">
        <f t="shared" si="86"/>
        <v/>
      </c>
      <c r="AO283" s="526" t="str">
        <f t="shared" si="87"/>
        <v/>
      </c>
    </row>
    <row r="284" spans="1:41" x14ac:dyDescent="0.25">
      <c r="A284" s="2">
        <v>5176376</v>
      </c>
      <c r="B284" s="522" t="s">
        <v>312</v>
      </c>
      <c r="C284" s="522">
        <v>2018</v>
      </c>
      <c r="D284" s="522" t="s">
        <v>297</v>
      </c>
      <c r="E284" s="522" t="s">
        <v>333</v>
      </c>
      <c r="F284" s="522" t="s">
        <v>299</v>
      </c>
      <c r="G284" s="522"/>
      <c r="H284" s="522" t="s">
        <v>357</v>
      </c>
      <c r="I284" s="522"/>
      <c r="J284" s="2" t="s">
        <v>301</v>
      </c>
      <c r="K284" s="522" t="str">
        <f t="shared" si="88"/>
        <v>8-hr TWA</v>
      </c>
      <c r="L284" s="522" t="s">
        <v>302</v>
      </c>
      <c r="M284" s="535">
        <v>39849</v>
      </c>
      <c r="N284" s="2">
        <v>485</v>
      </c>
      <c r="O284" s="2">
        <v>1</v>
      </c>
      <c r="P284" s="2"/>
      <c r="Q284" s="2"/>
      <c r="R284" s="2"/>
      <c r="S284" s="2"/>
      <c r="T284" s="2"/>
      <c r="U284" s="2"/>
      <c r="V284" s="2"/>
      <c r="W284" s="2">
        <v>0.28999999999999998</v>
      </c>
      <c r="X284" s="444">
        <f t="shared" si="80"/>
        <v>0.20506096654409875</v>
      </c>
      <c r="Y284" s="2" t="str">
        <f t="shared" si="81"/>
        <v/>
      </c>
      <c r="Z284" s="2"/>
      <c r="AA284" s="2"/>
      <c r="AB284" s="2"/>
      <c r="AC284" s="2"/>
      <c r="AD284" s="537">
        <f t="shared" si="89"/>
        <v>1.8244498977505113</v>
      </c>
      <c r="AE284" s="537">
        <f t="shared" si="82"/>
        <v>1.2900808946344895</v>
      </c>
      <c r="AF284" s="537" t="str">
        <f t="shared" si="83"/>
        <v/>
      </c>
      <c r="AG284" s="537" t="str">
        <f t="shared" si="77"/>
        <v/>
      </c>
      <c r="AH284" s="537" t="str">
        <f t="shared" si="78"/>
        <v/>
      </c>
      <c r="AI284" s="525" t="str">
        <f t="shared" si="79"/>
        <v/>
      </c>
      <c r="AJ284" s="522"/>
      <c r="AK284" s="522" t="s">
        <v>315</v>
      </c>
      <c r="AL284" s="526" t="str">
        <f t="shared" si="84"/>
        <v/>
      </c>
      <c r="AM284" s="526" t="str">
        <f t="shared" si="85"/>
        <v/>
      </c>
      <c r="AN284" s="526" t="str">
        <f t="shared" si="86"/>
        <v/>
      </c>
      <c r="AO284" s="526" t="str">
        <f t="shared" si="87"/>
        <v/>
      </c>
    </row>
    <row r="285" spans="1:41" x14ac:dyDescent="0.25">
      <c r="A285" s="2">
        <v>5176376</v>
      </c>
      <c r="B285" s="522" t="s">
        <v>312</v>
      </c>
      <c r="C285" s="522">
        <v>2018</v>
      </c>
      <c r="D285" s="522" t="s">
        <v>297</v>
      </c>
      <c r="E285" s="522" t="s">
        <v>333</v>
      </c>
      <c r="F285" s="522" t="s">
        <v>299</v>
      </c>
      <c r="G285" s="522"/>
      <c r="H285" s="522" t="s">
        <v>354</v>
      </c>
      <c r="I285" s="522"/>
      <c r="J285" s="2" t="s">
        <v>301</v>
      </c>
      <c r="K285" s="522" t="str">
        <f t="shared" si="88"/>
        <v>12-hr TWA</v>
      </c>
      <c r="L285" s="522" t="s">
        <v>302</v>
      </c>
      <c r="M285" s="535">
        <v>39938</v>
      </c>
      <c r="N285" s="2">
        <v>600</v>
      </c>
      <c r="O285" s="2">
        <v>1</v>
      </c>
      <c r="P285" s="2"/>
      <c r="Q285" s="2"/>
      <c r="R285" s="2"/>
      <c r="S285" s="2"/>
      <c r="T285" s="2"/>
      <c r="U285" s="2"/>
      <c r="V285" s="2"/>
      <c r="W285" s="2">
        <v>0.52</v>
      </c>
      <c r="X285" s="2" t="str">
        <f t="shared" si="80"/>
        <v/>
      </c>
      <c r="Y285" s="444">
        <f t="shared" si="81"/>
        <v>0.43333333333333335</v>
      </c>
      <c r="Z285" s="2"/>
      <c r="AA285" s="2"/>
      <c r="AB285" s="2"/>
      <c r="AC285" s="2"/>
      <c r="AD285" s="537">
        <f t="shared" si="89"/>
        <v>3.2714274028629857</v>
      </c>
      <c r="AE285" s="537" t="str">
        <f t="shared" si="82"/>
        <v/>
      </c>
      <c r="AF285" s="537">
        <f t="shared" si="83"/>
        <v>2.7261895023858216</v>
      </c>
      <c r="AG285" s="537" t="str">
        <f t="shared" si="77"/>
        <v/>
      </c>
      <c r="AH285" s="537" t="str">
        <f t="shared" si="78"/>
        <v/>
      </c>
      <c r="AI285" s="525" t="str">
        <f t="shared" si="79"/>
        <v/>
      </c>
      <c r="AJ285" s="522"/>
      <c r="AK285" s="522"/>
      <c r="AL285" s="526" t="str">
        <f t="shared" si="84"/>
        <v/>
      </c>
      <c r="AM285" s="526" t="str">
        <f t="shared" si="85"/>
        <v/>
      </c>
      <c r="AN285" s="526">
        <f t="shared" si="86"/>
        <v>0.43333333333333335</v>
      </c>
      <c r="AO285" s="526">
        <f t="shared" si="87"/>
        <v>-0.83624802420061861</v>
      </c>
    </row>
    <row r="286" spans="1:41" x14ac:dyDescent="0.25">
      <c r="A286" s="2">
        <v>5176376</v>
      </c>
      <c r="B286" s="522" t="s">
        <v>312</v>
      </c>
      <c r="C286" s="522">
        <v>2018</v>
      </c>
      <c r="D286" s="522" t="s">
        <v>297</v>
      </c>
      <c r="E286" s="522" t="s">
        <v>333</v>
      </c>
      <c r="F286" s="522" t="s">
        <v>299</v>
      </c>
      <c r="G286" s="522"/>
      <c r="H286" s="522" t="s">
        <v>354</v>
      </c>
      <c r="I286" s="522"/>
      <c r="J286" s="2" t="s">
        <v>301</v>
      </c>
      <c r="K286" s="522" t="str">
        <f t="shared" si="88"/>
        <v>12-hr TWA</v>
      </c>
      <c r="L286" s="522" t="s">
        <v>302</v>
      </c>
      <c r="M286" s="535">
        <v>39939</v>
      </c>
      <c r="N286" s="2">
        <v>600</v>
      </c>
      <c r="O286" s="2">
        <v>1</v>
      </c>
      <c r="P286" s="2"/>
      <c r="Q286" s="2"/>
      <c r="R286" s="2"/>
      <c r="S286" s="2"/>
      <c r="T286" s="2"/>
      <c r="U286" s="2"/>
      <c r="V286" s="2"/>
      <c r="W286" s="2">
        <v>0.24</v>
      </c>
      <c r="X286" s="2" t="str">
        <f t="shared" si="80"/>
        <v/>
      </c>
      <c r="Y286" s="444">
        <f t="shared" si="81"/>
        <v>0.1</v>
      </c>
      <c r="Z286" s="2"/>
      <c r="AA286" s="2"/>
      <c r="AB286" s="2"/>
      <c r="AC286" s="2"/>
      <c r="AD286" s="537">
        <f t="shared" si="89"/>
        <v>1.5098895705521471</v>
      </c>
      <c r="AE286" s="537" t="str">
        <f t="shared" si="82"/>
        <v/>
      </c>
      <c r="AF286" s="536">
        <f t="shared" si="83"/>
        <v>0.62912065439672804</v>
      </c>
      <c r="AG286" s="537" t="str">
        <f t="shared" si="77"/>
        <v/>
      </c>
      <c r="AH286" s="537" t="str">
        <f t="shared" si="78"/>
        <v/>
      </c>
      <c r="AI286" s="525" t="str">
        <f t="shared" si="79"/>
        <v/>
      </c>
      <c r="AJ286" s="522"/>
      <c r="AK286" s="522" t="s">
        <v>315</v>
      </c>
      <c r="AL286" s="526" t="str">
        <f t="shared" si="84"/>
        <v/>
      </c>
      <c r="AM286" s="526" t="str">
        <f t="shared" si="85"/>
        <v/>
      </c>
      <c r="AN286" s="526" t="str">
        <f t="shared" si="86"/>
        <v/>
      </c>
      <c r="AO286" s="526" t="str">
        <f t="shared" si="87"/>
        <v/>
      </c>
    </row>
    <row r="287" spans="1:41" x14ac:dyDescent="0.25">
      <c r="A287" s="2">
        <v>5176376</v>
      </c>
      <c r="B287" s="522" t="s">
        <v>312</v>
      </c>
      <c r="C287" s="522">
        <v>2018</v>
      </c>
      <c r="D287" s="522" t="s">
        <v>297</v>
      </c>
      <c r="E287" s="522" t="s">
        <v>333</v>
      </c>
      <c r="F287" s="522" t="s">
        <v>299</v>
      </c>
      <c r="G287" s="522"/>
      <c r="H287" s="522" t="s">
        <v>354</v>
      </c>
      <c r="I287" s="522"/>
      <c r="J287" s="2" t="s">
        <v>301</v>
      </c>
      <c r="K287" s="522" t="str">
        <f t="shared" si="88"/>
        <v>12-hr TWA</v>
      </c>
      <c r="L287" s="522" t="s">
        <v>302</v>
      </c>
      <c r="M287" s="535">
        <v>39945</v>
      </c>
      <c r="N287" s="2">
        <v>690</v>
      </c>
      <c r="O287" s="2">
        <v>1</v>
      </c>
      <c r="P287" s="2"/>
      <c r="Q287" s="2"/>
      <c r="R287" s="2"/>
      <c r="S287" s="2"/>
      <c r="T287" s="2"/>
      <c r="U287" s="2"/>
      <c r="V287" s="2"/>
      <c r="W287" s="2">
        <v>0.24</v>
      </c>
      <c r="X287" s="2" t="str">
        <f t="shared" si="80"/>
        <v/>
      </c>
      <c r="Y287" s="2">
        <f t="shared" si="81"/>
        <v>0.22999999999999998</v>
      </c>
      <c r="Z287" s="2"/>
      <c r="AA287" s="2"/>
      <c r="AB287" s="2"/>
      <c r="AC287" s="2"/>
      <c r="AD287" s="537">
        <f t="shared" si="89"/>
        <v>1.5098895705521471</v>
      </c>
      <c r="AE287" s="537" t="str">
        <f t="shared" si="82"/>
        <v/>
      </c>
      <c r="AF287" s="537">
        <f t="shared" si="83"/>
        <v>1.4469775051124745</v>
      </c>
      <c r="AG287" s="537" t="str">
        <f t="shared" si="77"/>
        <v/>
      </c>
      <c r="AH287" s="537" t="str">
        <f t="shared" si="78"/>
        <v/>
      </c>
      <c r="AI287" s="525" t="str">
        <f t="shared" si="79"/>
        <v/>
      </c>
      <c r="AJ287" s="522"/>
      <c r="AK287" s="522"/>
      <c r="AL287" s="526" t="str">
        <f t="shared" si="84"/>
        <v/>
      </c>
      <c r="AM287" s="526" t="str">
        <f t="shared" si="85"/>
        <v/>
      </c>
      <c r="AN287" s="526">
        <f t="shared" si="86"/>
        <v>0.22999999999999998</v>
      </c>
      <c r="AO287" s="526">
        <f t="shared" si="87"/>
        <v>-1.4696759700589417</v>
      </c>
    </row>
    <row r="288" spans="1:41" x14ac:dyDescent="0.25">
      <c r="A288" s="2">
        <v>5176376</v>
      </c>
      <c r="B288" s="522" t="s">
        <v>312</v>
      </c>
      <c r="C288" s="522">
        <v>2018</v>
      </c>
      <c r="D288" s="522" t="s">
        <v>297</v>
      </c>
      <c r="E288" s="522" t="s">
        <v>333</v>
      </c>
      <c r="F288" s="522" t="s">
        <v>299</v>
      </c>
      <c r="G288" s="522"/>
      <c r="H288" s="522" t="s">
        <v>358</v>
      </c>
      <c r="I288" s="522"/>
      <c r="J288" s="2" t="s">
        <v>301</v>
      </c>
      <c r="K288" s="522" t="str">
        <f t="shared" si="88"/>
        <v>12-hr TWA</v>
      </c>
      <c r="L288" s="522" t="s">
        <v>302</v>
      </c>
      <c r="M288" s="535">
        <v>40059</v>
      </c>
      <c r="N288" s="2">
        <v>615</v>
      </c>
      <c r="O288" s="2">
        <v>1</v>
      </c>
      <c r="P288" s="2"/>
      <c r="Q288" s="2"/>
      <c r="R288" s="2"/>
      <c r="S288" s="2"/>
      <c r="T288" s="2"/>
      <c r="U288" s="2"/>
      <c r="V288" s="2"/>
      <c r="W288" s="2">
        <v>5.0999999999999997E-2</v>
      </c>
      <c r="X288" s="2" t="str">
        <f t="shared" si="80"/>
        <v/>
      </c>
      <c r="Y288" s="524">
        <f t="shared" si="81"/>
        <v>2.1781249999999999E-2</v>
      </c>
      <c r="Z288" s="2"/>
      <c r="AA288" s="2"/>
      <c r="AB288" s="2"/>
      <c r="AC288" s="2"/>
      <c r="AD288" s="536">
        <f t="shared" si="89"/>
        <v>0.32085153374233127</v>
      </c>
      <c r="AE288" s="537" t="str">
        <f t="shared" si="82"/>
        <v/>
      </c>
      <c r="AF288" s="536">
        <f t="shared" si="83"/>
        <v>0.1370303425357873</v>
      </c>
      <c r="AG288" s="537" t="str">
        <f t="shared" si="77"/>
        <v/>
      </c>
      <c r="AH288" s="537" t="str">
        <f t="shared" si="78"/>
        <v/>
      </c>
      <c r="AI288" s="525" t="str">
        <f t="shared" si="79"/>
        <v/>
      </c>
      <c r="AJ288" s="522"/>
      <c r="AK288" s="522" t="s">
        <v>315</v>
      </c>
      <c r="AL288" s="526" t="str">
        <f t="shared" si="84"/>
        <v/>
      </c>
      <c r="AM288" s="526" t="str">
        <f t="shared" si="85"/>
        <v/>
      </c>
      <c r="AN288" s="526" t="str">
        <f t="shared" si="86"/>
        <v/>
      </c>
      <c r="AO288" s="526" t="str">
        <f t="shared" si="87"/>
        <v/>
      </c>
    </row>
    <row r="289" spans="1:41" x14ac:dyDescent="0.25">
      <c r="A289" s="2">
        <v>5176376</v>
      </c>
      <c r="B289" s="522" t="s">
        <v>312</v>
      </c>
      <c r="C289" s="522">
        <v>2018</v>
      </c>
      <c r="D289" s="522" t="s">
        <v>297</v>
      </c>
      <c r="E289" s="522" t="s">
        <v>333</v>
      </c>
      <c r="F289" s="522" t="s">
        <v>299</v>
      </c>
      <c r="G289" s="522"/>
      <c r="H289" s="522" t="s">
        <v>358</v>
      </c>
      <c r="I289" s="522"/>
      <c r="J289" s="2" t="s">
        <v>301</v>
      </c>
      <c r="K289" s="522" t="str">
        <f t="shared" si="88"/>
        <v>12-hr TWA</v>
      </c>
      <c r="L289" s="522" t="s">
        <v>302</v>
      </c>
      <c r="M289" s="535">
        <v>40059</v>
      </c>
      <c r="N289" s="2">
        <v>605</v>
      </c>
      <c r="O289" s="2">
        <v>1</v>
      </c>
      <c r="P289" s="2"/>
      <c r="Q289" s="2"/>
      <c r="R289" s="2"/>
      <c r="S289" s="2"/>
      <c r="T289" s="2"/>
      <c r="U289" s="2"/>
      <c r="V289" s="2"/>
      <c r="W289" s="2">
        <v>5.1999999999999998E-2</v>
      </c>
      <c r="X289" s="2" t="str">
        <f t="shared" si="80"/>
        <v/>
      </c>
      <c r="Y289" s="524">
        <f t="shared" si="81"/>
        <v>2.1847222222222219E-2</v>
      </c>
      <c r="Z289" s="2"/>
      <c r="AA289" s="2"/>
      <c r="AB289" s="2"/>
      <c r="AC289" s="2"/>
      <c r="AD289" s="536">
        <f t="shared" si="89"/>
        <v>0.32714274028629853</v>
      </c>
      <c r="AE289" s="537" t="str">
        <f t="shared" si="82"/>
        <v/>
      </c>
      <c r="AF289" s="536">
        <f t="shared" si="83"/>
        <v>0.13744538741195181</v>
      </c>
      <c r="AG289" s="537" t="str">
        <f t="shared" si="77"/>
        <v/>
      </c>
      <c r="AH289" s="537" t="str">
        <f t="shared" si="78"/>
        <v/>
      </c>
      <c r="AI289" s="525" t="str">
        <f t="shared" si="79"/>
        <v/>
      </c>
      <c r="AJ289" s="522"/>
      <c r="AK289" s="522" t="s">
        <v>315</v>
      </c>
      <c r="AL289" s="526" t="str">
        <f t="shared" si="84"/>
        <v/>
      </c>
      <c r="AM289" s="526" t="str">
        <f t="shared" si="85"/>
        <v/>
      </c>
      <c r="AN289" s="526" t="str">
        <f t="shared" si="86"/>
        <v/>
      </c>
      <c r="AO289" s="526" t="str">
        <f t="shared" si="87"/>
        <v/>
      </c>
    </row>
    <row r="290" spans="1:41" x14ac:dyDescent="0.25">
      <c r="A290" s="2">
        <v>5176376</v>
      </c>
      <c r="B290" s="522" t="s">
        <v>312</v>
      </c>
      <c r="C290" s="522">
        <v>2018</v>
      </c>
      <c r="D290" s="522" t="s">
        <v>297</v>
      </c>
      <c r="E290" s="522" t="s">
        <v>333</v>
      </c>
      <c r="F290" s="522" t="s">
        <v>299</v>
      </c>
      <c r="G290" s="522"/>
      <c r="H290" s="522" t="s">
        <v>358</v>
      </c>
      <c r="I290" s="522"/>
      <c r="J290" s="2" t="s">
        <v>301</v>
      </c>
      <c r="K290" s="522" t="str">
        <f t="shared" si="88"/>
        <v>12-hr TWA</v>
      </c>
      <c r="L290" s="522" t="s">
        <v>302</v>
      </c>
      <c r="M290" s="535">
        <v>40059</v>
      </c>
      <c r="N290" s="2">
        <v>615</v>
      </c>
      <c r="O290" s="2">
        <v>1</v>
      </c>
      <c r="P290" s="2"/>
      <c r="Q290" s="2"/>
      <c r="R290" s="2"/>
      <c r="S290" s="2"/>
      <c r="T290" s="2"/>
      <c r="U290" s="2"/>
      <c r="V290" s="2"/>
      <c r="W290" s="2">
        <v>5.0999999999999997E-2</v>
      </c>
      <c r="X290" s="2" t="str">
        <f t="shared" si="80"/>
        <v/>
      </c>
      <c r="Y290" s="524">
        <f t="shared" si="81"/>
        <v>2.1781249999999999E-2</v>
      </c>
      <c r="Z290" s="2"/>
      <c r="AA290" s="2"/>
      <c r="AB290" s="2"/>
      <c r="AC290" s="2"/>
      <c r="AD290" s="536">
        <f t="shared" si="89"/>
        <v>0.32085153374233127</v>
      </c>
      <c r="AE290" s="537" t="str">
        <f t="shared" si="82"/>
        <v/>
      </c>
      <c r="AF290" s="536">
        <f t="shared" si="83"/>
        <v>0.1370303425357873</v>
      </c>
      <c r="AG290" s="537" t="str">
        <f t="shared" si="77"/>
        <v/>
      </c>
      <c r="AH290" s="537" t="str">
        <f t="shared" si="78"/>
        <v/>
      </c>
      <c r="AI290" s="525" t="str">
        <f t="shared" si="79"/>
        <v/>
      </c>
      <c r="AJ290" s="522"/>
      <c r="AK290" s="522" t="s">
        <v>315</v>
      </c>
      <c r="AL290" s="526" t="str">
        <f t="shared" si="84"/>
        <v/>
      </c>
      <c r="AM290" s="526" t="str">
        <f t="shared" si="85"/>
        <v/>
      </c>
      <c r="AN290" s="526" t="str">
        <f t="shared" si="86"/>
        <v/>
      </c>
      <c r="AO290" s="526" t="str">
        <f t="shared" si="87"/>
        <v/>
      </c>
    </row>
    <row r="291" spans="1:41" x14ac:dyDescent="0.25">
      <c r="A291" s="2">
        <v>5176376</v>
      </c>
      <c r="B291" s="522" t="s">
        <v>312</v>
      </c>
      <c r="C291" s="522">
        <v>2018</v>
      </c>
      <c r="D291" s="522" t="s">
        <v>297</v>
      </c>
      <c r="E291" s="522" t="s">
        <v>333</v>
      </c>
      <c r="F291" s="522" t="s">
        <v>299</v>
      </c>
      <c r="G291" s="522"/>
      <c r="H291" s="522" t="s">
        <v>358</v>
      </c>
      <c r="I291" s="522"/>
      <c r="J291" s="2" t="s">
        <v>301</v>
      </c>
      <c r="K291" s="522" t="str">
        <f t="shared" si="88"/>
        <v>12-hr TWA</v>
      </c>
      <c r="L291" s="522" t="s">
        <v>302</v>
      </c>
      <c r="M291" s="535">
        <v>40059</v>
      </c>
      <c r="N291" s="2">
        <v>615</v>
      </c>
      <c r="O291" s="2">
        <v>1</v>
      </c>
      <c r="P291" s="2"/>
      <c r="Q291" s="2"/>
      <c r="R291" s="2"/>
      <c r="S291" s="2"/>
      <c r="T291" s="2"/>
      <c r="U291" s="2"/>
      <c r="V291" s="2"/>
      <c r="W291" s="2">
        <v>0.32</v>
      </c>
      <c r="X291" s="2" t="str">
        <f t="shared" si="80"/>
        <v/>
      </c>
      <c r="Y291" s="444">
        <f t="shared" si="81"/>
        <v>0.13666666666666669</v>
      </c>
      <c r="Z291" s="2"/>
      <c r="AA291" s="2"/>
      <c r="AB291" s="2"/>
      <c r="AC291" s="2"/>
      <c r="AD291" s="537">
        <f t="shared" si="89"/>
        <v>2.0131860940695296</v>
      </c>
      <c r="AE291" s="537" t="str">
        <f t="shared" si="82"/>
        <v/>
      </c>
      <c r="AF291" s="536">
        <f t="shared" si="83"/>
        <v>0.85979822767552838</v>
      </c>
      <c r="AG291" s="537" t="str">
        <f t="shared" si="77"/>
        <v/>
      </c>
      <c r="AH291" s="537" t="str">
        <f t="shared" si="78"/>
        <v/>
      </c>
      <c r="AI291" s="525" t="str">
        <f t="shared" si="79"/>
        <v/>
      </c>
      <c r="AJ291" s="522"/>
      <c r="AK291" s="522" t="s">
        <v>315</v>
      </c>
      <c r="AL291" s="526" t="str">
        <f t="shared" si="84"/>
        <v/>
      </c>
      <c r="AM291" s="526" t="str">
        <f t="shared" si="85"/>
        <v/>
      </c>
      <c r="AN291" s="526" t="str">
        <f t="shared" si="86"/>
        <v/>
      </c>
      <c r="AO291" s="526" t="str">
        <f t="shared" si="87"/>
        <v/>
      </c>
    </row>
    <row r="292" spans="1:41" x14ac:dyDescent="0.25">
      <c r="A292" s="2">
        <v>5176376</v>
      </c>
      <c r="B292" s="522" t="s">
        <v>312</v>
      </c>
      <c r="C292" s="522">
        <v>2018</v>
      </c>
      <c r="D292" s="522" t="s">
        <v>297</v>
      </c>
      <c r="E292" s="522" t="s">
        <v>333</v>
      </c>
      <c r="F292" s="522" t="s">
        <v>299</v>
      </c>
      <c r="G292" s="522"/>
      <c r="H292" s="522" t="s">
        <v>358</v>
      </c>
      <c r="I292" s="522"/>
      <c r="J292" s="2" t="s">
        <v>301</v>
      </c>
      <c r="K292" s="522" t="str">
        <f t="shared" si="88"/>
        <v>12-hr TWA</v>
      </c>
      <c r="L292" s="522" t="s">
        <v>302</v>
      </c>
      <c r="M292" s="535">
        <v>40059</v>
      </c>
      <c r="N292" s="2">
        <v>610</v>
      </c>
      <c r="O292" s="2">
        <v>1</v>
      </c>
      <c r="P292" s="2"/>
      <c r="Q292" s="2"/>
      <c r="R292" s="2"/>
      <c r="S292" s="2"/>
      <c r="T292" s="2"/>
      <c r="U292" s="2"/>
      <c r="V292" s="2"/>
      <c r="W292" s="2">
        <v>5.1999999999999998E-2</v>
      </c>
      <c r="X292" s="2" t="str">
        <f t="shared" si="80"/>
        <v/>
      </c>
      <c r="Y292" s="524">
        <f t="shared" si="81"/>
        <v>2.2027777777777778E-2</v>
      </c>
      <c r="Z292" s="2"/>
      <c r="AA292" s="2"/>
      <c r="AB292" s="2"/>
      <c r="AC292" s="2"/>
      <c r="AD292" s="536">
        <f t="shared" si="89"/>
        <v>0.32714274028629853</v>
      </c>
      <c r="AE292" s="537" t="str">
        <f t="shared" si="82"/>
        <v/>
      </c>
      <c r="AF292" s="536">
        <f t="shared" si="83"/>
        <v>0.13858129970461258</v>
      </c>
      <c r="AG292" s="537" t="str">
        <f t="shared" si="77"/>
        <v/>
      </c>
      <c r="AH292" s="537" t="str">
        <f t="shared" si="78"/>
        <v/>
      </c>
      <c r="AI292" s="525" t="str">
        <f t="shared" si="79"/>
        <v/>
      </c>
      <c r="AJ292" s="522"/>
      <c r="AK292" s="522" t="s">
        <v>315</v>
      </c>
      <c r="AL292" s="526" t="str">
        <f t="shared" si="84"/>
        <v/>
      </c>
      <c r="AM292" s="526" t="str">
        <f t="shared" si="85"/>
        <v/>
      </c>
      <c r="AN292" s="526" t="str">
        <f t="shared" si="86"/>
        <v/>
      </c>
      <c r="AO292" s="526" t="str">
        <f t="shared" si="87"/>
        <v/>
      </c>
    </row>
    <row r="293" spans="1:41" x14ac:dyDescent="0.25">
      <c r="A293" s="2">
        <v>5176376</v>
      </c>
      <c r="B293" s="522" t="s">
        <v>312</v>
      </c>
      <c r="C293" s="522">
        <v>2018</v>
      </c>
      <c r="D293" s="522" t="s">
        <v>297</v>
      </c>
      <c r="E293" s="522" t="s">
        <v>333</v>
      </c>
      <c r="F293" s="522" t="s">
        <v>299</v>
      </c>
      <c r="G293" s="522"/>
      <c r="H293" s="522" t="s">
        <v>358</v>
      </c>
      <c r="I293" s="522"/>
      <c r="J293" s="2" t="s">
        <v>301</v>
      </c>
      <c r="K293" s="522" t="str">
        <f t="shared" si="88"/>
        <v>12-hr TWA</v>
      </c>
      <c r="L293" s="522" t="s">
        <v>302</v>
      </c>
      <c r="M293" s="535">
        <v>40059</v>
      </c>
      <c r="N293" s="2">
        <v>605</v>
      </c>
      <c r="O293" s="2">
        <v>1</v>
      </c>
      <c r="P293" s="2"/>
      <c r="Q293" s="2"/>
      <c r="R293" s="2"/>
      <c r="S293" s="2"/>
      <c r="T293" s="2"/>
      <c r="U293" s="2"/>
      <c r="V293" s="2"/>
      <c r="W293" s="2">
        <v>5.1999999999999998E-2</v>
      </c>
      <c r="X293" s="2" t="str">
        <f t="shared" si="80"/>
        <v/>
      </c>
      <c r="Y293" s="524">
        <f t="shared" si="81"/>
        <v>2.1847222222222219E-2</v>
      </c>
      <c r="Z293" s="2"/>
      <c r="AA293" s="2"/>
      <c r="AB293" s="2"/>
      <c r="AC293" s="2"/>
      <c r="AD293" s="536">
        <f t="shared" si="89"/>
        <v>0.32714274028629853</v>
      </c>
      <c r="AE293" s="537" t="str">
        <f t="shared" si="82"/>
        <v/>
      </c>
      <c r="AF293" s="536">
        <f t="shared" si="83"/>
        <v>0.13744538741195181</v>
      </c>
      <c r="AG293" s="537" t="str">
        <f t="shared" si="77"/>
        <v/>
      </c>
      <c r="AH293" s="537" t="str">
        <f t="shared" si="78"/>
        <v/>
      </c>
      <c r="AI293" s="525" t="str">
        <f t="shared" si="79"/>
        <v/>
      </c>
      <c r="AJ293" s="522"/>
      <c r="AK293" s="522" t="s">
        <v>315</v>
      </c>
      <c r="AL293" s="526" t="str">
        <f t="shared" si="84"/>
        <v/>
      </c>
      <c r="AM293" s="526" t="str">
        <f t="shared" si="85"/>
        <v/>
      </c>
      <c r="AN293" s="526" t="str">
        <f t="shared" si="86"/>
        <v/>
      </c>
      <c r="AO293" s="526" t="str">
        <f t="shared" si="87"/>
        <v/>
      </c>
    </row>
    <row r="294" spans="1:41" x14ac:dyDescent="0.25">
      <c r="A294" s="2">
        <v>5176376</v>
      </c>
      <c r="B294" s="522" t="s">
        <v>312</v>
      </c>
      <c r="C294" s="522">
        <v>2018</v>
      </c>
      <c r="D294" s="522" t="s">
        <v>297</v>
      </c>
      <c r="E294" s="522" t="s">
        <v>333</v>
      </c>
      <c r="F294" s="522" t="s">
        <v>299</v>
      </c>
      <c r="G294" s="522"/>
      <c r="H294" s="522" t="s">
        <v>353</v>
      </c>
      <c r="I294" s="522"/>
      <c r="J294" s="2" t="s">
        <v>301</v>
      </c>
      <c r="K294" s="522" t="str">
        <f t="shared" si="88"/>
        <v>8-hr TWA</v>
      </c>
      <c r="L294" s="522" t="s">
        <v>302</v>
      </c>
      <c r="M294" s="535">
        <v>40120</v>
      </c>
      <c r="N294" s="2">
        <v>480</v>
      </c>
      <c r="O294" s="2">
        <v>1</v>
      </c>
      <c r="P294" s="2"/>
      <c r="Q294" s="2"/>
      <c r="R294" s="2"/>
      <c r="S294" s="2"/>
      <c r="T294" s="2"/>
      <c r="U294" s="2"/>
      <c r="V294" s="2"/>
      <c r="W294" s="2">
        <v>6.6000000000000003E-2</v>
      </c>
      <c r="X294" s="524">
        <f t="shared" si="80"/>
        <v>4.6669047558312138E-2</v>
      </c>
      <c r="Y294" s="2" t="str">
        <f t="shared" si="81"/>
        <v/>
      </c>
      <c r="Z294" s="2"/>
      <c r="AA294" s="2"/>
      <c r="AB294" s="2"/>
      <c r="AC294" s="2"/>
      <c r="AD294" s="536">
        <f t="shared" si="89"/>
        <v>0.41521963190184052</v>
      </c>
      <c r="AE294" s="536">
        <f t="shared" si="82"/>
        <v>0.29360461739957355</v>
      </c>
      <c r="AF294" s="536" t="str">
        <f t="shared" si="83"/>
        <v/>
      </c>
      <c r="AG294" s="537" t="str">
        <f t="shared" si="77"/>
        <v/>
      </c>
      <c r="AH294" s="537" t="str">
        <f t="shared" si="78"/>
        <v/>
      </c>
      <c r="AI294" s="525" t="str">
        <f t="shared" si="79"/>
        <v/>
      </c>
      <c r="AJ294" s="522"/>
      <c r="AK294" s="522" t="s">
        <v>315</v>
      </c>
      <c r="AL294" s="526" t="str">
        <f t="shared" si="84"/>
        <v/>
      </c>
      <c r="AM294" s="526" t="str">
        <f t="shared" si="85"/>
        <v/>
      </c>
      <c r="AN294" s="526" t="str">
        <f t="shared" si="86"/>
        <v/>
      </c>
      <c r="AO294" s="526" t="str">
        <f t="shared" si="87"/>
        <v/>
      </c>
    </row>
    <row r="295" spans="1:41" x14ac:dyDescent="0.25">
      <c r="A295" s="2">
        <v>5176376</v>
      </c>
      <c r="B295" s="522" t="s">
        <v>312</v>
      </c>
      <c r="C295" s="522">
        <v>2018</v>
      </c>
      <c r="D295" s="522" t="s">
        <v>297</v>
      </c>
      <c r="E295" s="522" t="s">
        <v>333</v>
      </c>
      <c r="F295" s="522" t="s">
        <v>299</v>
      </c>
      <c r="G295" s="522"/>
      <c r="H295" s="522" t="s">
        <v>353</v>
      </c>
      <c r="I295" s="522"/>
      <c r="J295" s="2" t="s">
        <v>301</v>
      </c>
      <c r="K295" s="522" t="str">
        <f t="shared" si="88"/>
        <v>12-hr TWA</v>
      </c>
      <c r="L295" s="522" t="s">
        <v>302</v>
      </c>
      <c r="M295" s="535">
        <v>40120</v>
      </c>
      <c r="N295" s="2">
        <v>690</v>
      </c>
      <c r="O295" s="2">
        <v>1</v>
      </c>
      <c r="P295" s="2"/>
      <c r="Q295" s="2"/>
      <c r="R295" s="2"/>
      <c r="S295" s="2"/>
      <c r="T295" s="2"/>
      <c r="U295" s="2"/>
      <c r="V295" s="2"/>
      <c r="W295" s="2">
        <v>7.0999999999999994E-2</v>
      </c>
      <c r="X295" s="524" t="str">
        <f t="shared" si="80"/>
        <v/>
      </c>
      <c r="Y295" s="524">
        <f t="shared" si="81"/>
        <v>6.8041666666666653E-2</v>
      </c>
      <c r="Z295" s="2"/>
      <c r="AA295" s="2"/>
      <c r="AB295" s="2"/>
      <c r="AC295" s="2"/>
      <c r="AD295" s="536">
        <f t="shared" si="89"/>
        <v>0.44667566462167685</v>
      </c>
      <c r="AE295" s="536" t="str">
        <f t="shared" si="82"/>
        <v/>
      </c>
      <c r="AF295" s="536">
        <f t="shared" si="83"/>
        <v>0.42806417859577356</v>
      </c>
      <c r="AG295" s="537" t="str">
        <f t="shared" si="77"/>
        <v/>
      </c>
      <c r="AH295" s="537" t="str">
        <f t="shared" si="78"/>
        <v/>
      </c>
      <c r="AI295" s="525" t="str">
        <f t="shared" si="79"/>
        <v/>
      </c>
      <c r="AJ295" s="522"/>
      <c r="AK295" s="522"/>
      <c r="AL295" s="526" t="str">
        <f t="shared" si="84"/>
        <v/>
      </c>
      <c r="AM295" s="526" t="str">
        <f t="shared" si="85"/>
        <v/>
      </c>
      <c r="AN295" s="526">
        <f t="shared" si="86"/>
        <v>6.8041666666666653E-2</v>
      </c>
      <c r="AO295" s="526">
        <f t="shared" si="87"/>
        <v>-2.6876350163596179</v>
      </c>
    </row>
    <row r="296" spans="1:41" x14ac:dyDescent="0.25">
      <c r="A296" s="2">
        <v>5176376</v>
      </c>
      <c r="B296" s="522" t="s">
        <v>312</v>
      </c>
      <c r="C296" s="522">
        <v>2018</v>
      </c>
      <c r="D296" s="522" t="s">
        <v>297</v>
      </c>
      <c r="E296" s="522" t="s">
        <v>333</v>
      </c>
      <c r="F296" s="522" t="s">
        <v>299</v>
      </c>
      <c r="G296" s="522"/>
      <c r="H296" s="522" t="s">
        <v>353</v>
      </c>
      <c r="I296" s="522"/>
      <c r="J296" s="2" t="s">
        <v>301</v>
      </c>
      <c r="K296" s="522" t="str">
        <f t="shared" si="88"/>
        <v>8-hr TWA</v>
      </c>
      <c r="L296" s="522" t="s">
        <v>302</v>
      </c>
      <c r="M296" s="535">
        <v>40121</v>
      </c>
      <c r="N296" s="2">
        <v>510</v>
      </c>
      <c r="O296" s="2">
        <v>1</v>
      </c>
      <c r="P296" s="2"/>
      <c r="Q296" s="2"/>
      <c r="R296" s="2"/>
      <c r="S296" s="2"/>
      <c r="T296" s="2"/>
      <c r="U296" s="2"/>
      <c r="V296" s="2"/>
      <c r="W296" s="2">
        <v>6.2E-2</v>
      </c>
      <c r="X296" s="524">
        <f t="shared" si="80"/>
        <v>4.3840620433565944E-2</v>
      </c>
      <c r="Y296" s="524" t="str">
        <f t="shared" si="81"/>
        <v/>
      </c>
      <c r="Z296" s="2"/>
      <c r="AA296" s="2"/>
      <c r="AB296" s="2"/>
      <c r="AC296" s="2"/>
      <c r="AD296" s="536">
        <f t="shared" si="89"/>
        <v>0.3900548057259714</v>
      </c>
      <c r="AE296" s="536">
        <f t="shared" si="82"/>
        <v>0.27581039816323571</v>
      </c>
      <c r="AF296" s="536" t="str">
        <f t="shared" si="83"/>
        <v/>
      </c>
      <c r="AG296" s="537" t="str">
        <f t="shared" si="77"/>
        <v/>
      </c>
      <c r="AH296" s="537" t="str">
        <f t="shared" si="78"/>
        <v/>
      </c>
      <c r="AI296" s="525" t="str">
        <f t="shared" si="79"/>
        <v/>
      </c>
      <c r="AJ296" s="522"/>
      <c r="AK296" s="522" t="s">
        <v>315</v>
      </c>
      <c r="AL296" s="526" t="str">
        <f t="shared" si="84"/>
        <v/>
      </c>
      <c r="AM296" s="526" t="str">
        <f t="shared" si="85"/>
        <v/>
      </c>
      <c r="AN296" s="526" t="str">
        <f t="shared" si="86"/>
        <v/>
      </c>
      <c r="AO296" s="526" t="str">
        <f t="shared" si="87"/>
        <v/>
      </c>
    </row>
    <row r="297" spans="1:41" x14ac:dyDescent="0.25">
      <c r="A297" s="2">
        <v>5176376</v>
      </c>
      <c r="B297" s="522" t="s">
        <v>312</v>
      </c>
      <c r="C297" s="522">
        <v>2018</v>
      </c>
      <c r="D297" s="522" t="s">
        <v>297</v>
      </c>
      <c r="E297" s="522" t="s">
        <v>333</v>
      </c>
      <c r="F297" s="522" t="s">
        <v>299</v>
      </c>
      <c r="G297" s="522"/>
      <c r="H297" s="522" t="s">
        <v>353</v>
      </c>
      <c r="I297" s="522"/>
      <c r="J297" s="2" t="s">
        <v>301</v>
      </c>
      <c r="K297" s="522" t="str">
        <f t="shared" si="88"/>
        <v>12-hr TWA</v>
      </c>
      <c r="L297" s="522" t="s">
        <v>302</v>
      </c>
      <c r="M297" s="535">
        <v>40121</v>
      </c>
      <c r="N297" s="2">
        <v>700</v>
      </c>
      <c r="O297" s="2">
        <v>1</v>
      </c>
      <c r="P297" s="2"/>
      <c r="Q297" s="2"/>
      <c r="R297" s="2"/>
      <c r="S297" s="2"/>
      <c r="T297" s="2"/>
      <c r="U297" s="2"/>
      <c r="V297" s="2"/>
      <c r="W297" s="2">
        <v>4.4999999999999998E-2</v>
      </c>
      <c r="X297" s="524" t="str">
        <f t="shared" si="80"/>
        <v/>
      </c>
      <c r="Y297" s="524">
        <f t="shared" si="81"/>
        <v>2.1874999999999999E-2</v>
      </c>
      <c r="Z297" s="2"/>
      <c r="AA297" s="2"/>
      <c r="AB297" s="2"/>
      <c r="AC297" s="2"/>
      <c r="AD297" s="536">
        <f t="shared" si="89"/>
        <v>0.28310429447852758</v>
      </c>
      <c r="AE297" s="536" t="str">
        <f t="shared" si="82"/>
        <v/>
      </c>
      <c r="AF297" s="536">
        <f t="shared" si="83"/>
        <v>0.13762014314928425</v>
      </c>
      <c r="AG297" s="537" t="str">
        <f t="shared" si="77"/>
        <v/>
      </c>
      <c r="AH297" s="537" t="str">
        <f t="shared" si="78"/>
        <v/>
      </c>
      <c r="AI297" s="525" t="str">
        <f t="shared" si="79"/>
        <v/>
      </c>
      <c r="AJ297" s="522"/>
      <c r="AK297" s="522" t="s">
        <v>315</v>
      </c>
      <c r="AL297" s="526" t="str">
        <f t="shared" si="84"/>
        <v/>
      </c>
      <c r="AM297" s="526" t="str">
        <f t="shared" si="85"/>
        <v/>
      </c>
      <c r="AN297" s="526" t="str">
        <f t="shared" si="86"/>
        <v/>
      </c>
      <c r="AO297" s="526" t="str">
        <f t="shared" si="87"/>
        <v/>
      </c>
    </row>
    <row r="298" spans="1:41" x14ac:dyDescent="0.25">
      <c r="A298" s="2">
        <v>5176376</v>
      </c>
      <c r="B298" s="522" t="s">
        <v>312</v>
      </c>
      <c r="C298" s="522">
        <v>2018</v>
      </c>
      <c r="D298" s="522" t="s">
        <v>297</v>
      </c>
      <c r="E298" s="522" t="s">
        <v>333</v>
      </c>
      <c r="F298" s="522" t="s">
        <v>299</v>
      </c>
      <c r="G298" s="522"/>
      <c r="H298" s="522" t="s">
        <v>353</v>
      </c>
      <c r="I298" s="522"/>
      <c r="J298" s="2" t="s">
        <v>301</v>
      </c>
      <c r="K298" s="522" t="str">
        <f t="shared" si="88"/>
        <v>8-hr TWA</v>
      </c>
      <c r="L298" s="522" t="s">
        <v>302</v>
      </c>
      <c r="M298" s="535">
        <v>40122</v>
      </c>
      <c r="N298" s="2">
        <v>510</v>
      </c>
      <c r="O298" s="2">
        <v>1</v>
      </c>
      <c r="P298" s="2"/>
      <c r="Q298" s="2"/>
      <c r="R298" s="2"/>
      <c r="S298" s="2"/>
      <c r="T298" s="2"/>
      <c r="U298" s="2"/>
      <c r="V298" s="2"/>
      <c r="W298" s="2">
        <v>6.2E-2</v>
      </c>
      <c r="X298" s="524">
        <f t="shared" si="80"/>
        <v>4.3840620433565944E-2</v>
      </c>
      <c r="Y298" s="524" t="str">
        <f t="shared" si="81"/>
        <v/>
      </c>
      <c r="Z298" s="2"/>
      <c r="AA298" s="2"/>
      <c r="AB298" s="2"/>
      <c r="AC298" s="2"/>
      <c r="AD298" s="536">
        <f t="shared" si="89"/>
        <v>0.3900548057259714</v>
      </c>
      <c r="AE298" s="536">
        <f t="shared" si="82"/>
        <v>0.27581039816323571</v>
      </c>
      <c r="AF298" s="536" t="str">
        <f t="shared" si="83"/>
        <v/>
      </c>
      <c r="AG298" s="537" t="str">
        <f t="shared" si="77"/>
        <v/>
      </c>
      <c r="AH298" s="537" t="str">
        <f t="shared" si="78"/>
        <v/>
      </c>
      <c r="AI298" s="525" t="str">
        <f t="shared" si="79"/>
        <v/>
      </c>
      <c r="AJ298" s="522"/>
      <c r="AK298" s="522" t="s">
        <v>315</v>
      </c>
      <c r="AL298" s="526" t="str">
        <f t="shared" si="84"/>
        <v/>
      </c>
      <c r="AM298" s="526" t="str">
        <f t="shared" si="85"/>
        <v/>
      </c>
      <c r="AN298" s="526" t="str">
        <f t="shared" si="86"/>
        <v/>
      </c>
      <c r="AO298" s="526" t="str">
        <f t="shared" si="87"/>
        <v/>
      </c>
    </row>
    <row r="299" spans="1:41" x14ac:dyDescent="0.25">
      <c r="A299" s="2">
        <v>5176376</v>
      </c>
      <c r="B299" s="522" t="s">
        <v>312</v>
      </c>
      <c r="C299" s="522">
        <v>2018</v>
      </c>
      <c r="D299" s="522" t="s">
        <v>297</v>
      </c>
      <c r="E299" s="522" t="s">
        <v>333</v>
      </c>
      <c r="F299" s="522" t="s">
        <v>299</v>
      </c>
      <c r="G299" s="522"/>
      <c r="H299" s="522" t="s">
        <v>353</v>
      </c>
      <c r="I299" s="522"/>
      <c r="J299" s="2" t="s">
        <v>301</v>
      </c>
      <c r="K299" s="522" t="str">
        <f t="shared" si="88"/>
        <v>12-hr TWA</v>
      </c>
      <c r="L299" s="522" t="s">
        <v>302</v>
      </c>
      <c r="M299" s="535">
        <v>40122</v>
      </c>
      <c r="N299" s="2">
        <v>675</v>
      </c>
      <c r="O299" s="2">
        <v>1</v>
      </c>
      <c r="P299" s="2"/>
      <c r="Q299" s="2"/>
      <c r="R299" s="2"/>
      <c r="S299" s="2"/>
      <c r="T299" s="2"/>
      <c r="U299" s="2"/>
      <c r="V299" s="2"/>
      <c r="W299" s="2">
        <v>4.7E-2</v>
      </c>
      <c r="X299" s="524" t="str">
        <f t="shared" si="80"/>
        <v/>
      </c>
      <c r="Y299" s="524">
        <f t="shared" si="81"/>
        <v>2.2031250000000002E-2</v>
      </c>
      <c r="Z299" s="2"/>
      <c r="AA299" s="2"/>
      <c r="AB299" s="2"/>
      <c r="AC299" s="2"/>
      <c r="AD299" s="536">
        <f t="shared" si="89"/>
        <v>0.2956867075664622</v>
      </c>
      <c r="AE299" s="536" t="str">
        <f t="shared" si="82"/>
        <v/>
      </c>
      <c r="AF299" s="536">
        <f t="shared" si="83"/>
        <v>0.13860314417177916</v>
      </c>
      <c r="AG299" s="537" t="str">
        <f t="shared" si="77"/>
        <v/>
      </c>
      <c r="AH299" s="537" t="str">
        <f t="shared" si="78"/>
        <v/>
      </c>
      <c r="AI299" s="525" t="str">
        <f t="shared" si="79"/>
        <v/>
      </c>
      <c r="AJ299" s="522"/>
      <c r="AK299" s="522" t="s">
        <v>315</v>
      </c>
      <c r="AL299" s="526" t="str">
        <f t="shared" si="84"/>
        <v/>
      </c>
      <c r="AM299" s="526" t="str">
        <f t="shared" si="85"/>
        <v/>
      </c>
      <c r="AN299" s="526" t="str">
        <f t="shared" si="86"/>
        <v/>
      </c>
      <c r="AO299" s="526" t="str">
        <f t="shared" si="87"/>
        <v/>
      </c>
    </row>
    <row r="300" spans="1:41" x14ac:dyDescent="0.25">
      <c r="A300" s="2">
        <v>5176376</v>
      </c>
      <c r="B300" s="522" t="s">
        <v>312</v>
      </c>
      <c r="C300" s="522">
        <v>2018</v>
      </c>
      <c r="D300" s="522" t="s">
        <v>297</v>
      </c>
      <c r="E300" s="522" t="s">
        <v>333</v>
      </c>
      <c r="F300" s="522" t="s">
        <v>299</v>
      </c>
      <c r="G300" s="522"/>
      <c r="H300" s="522" t="s">
        <v>353</v>
      </c>
      <c r="I300" s="522"/>
      <c r="J300" s="2" t="s">
        <v>301</v>
      </c>
      <c r="K300" s="522" t="str">
        <f t="shared" si="88"/>
        <v>8-hr TWA</v>
      </c>
      <c r="L300" s="522" t="s">
        <v>302</v>
      </c>
      <c r="M300" s="535">
        <v>40234</v>
      </c>
      <c r="N300" s="2">
        <v>480</v>
      </c>
      <c r="O300" s="2">
        <v>1</v>
      </c>
      <c r="P300" s="2"/>
      <c r="Q300" s="2"/>
      <c r="R300" s="2"/>
      <c r="S300" s="2"/>
      <c r="T300" s="2"/>
      <c r="U300" s="2"/>
      <c r="V300" s="2"/>
      <c r="W300" s="2">
        <v>4.7E-2</v>
      </c>
      <c r="X300" s="524">
        <f t="shared" si="80"/>
        <v>3.3234018715767734E-2</v>
      </c>
      <c r="Y300" s="2" t="str">
        <f t="shared" si="81"/>
        <v/>
      </c>
      <c r="Z300" s="2"/>
      <c r="AA300" s="2"/>
      <c r="AB300" s="2"/>
      <c r="AC300" s="2"/>
      <c r="AD300" s="536">
        <f t="shared" si="89"/>
        <v>0.2956867075664622</v>
      </c>
      <c r="AE300" s="536">
        <f t="shared" si="82"/>
        <v>0.20908207602696904</v>
      </c>
      <c r="AF300" s="536" t="str">
        <f t="shared" si="83"/>
        <v/>
      </c>
      <c r="AG300" s="537" t="str">
        <f t="shared" si="77"/>
        <v/>
      </c>
      <c r="AH300" s="537" t="str">
        <f t="shared" si="78"/>
        <v/>
      </c>
      <c r="AI300" s="525" t="str">
        <f t="shared" si="79"/>
        <v/>
      </c>
      <c r="AJ300" s="522"/>
      <c r="AK300" s="522" t="s">
        <v>315</v>
      </c>
      <c r="AL300" s="526" t="str">
        <f t="shared" si="84"/>
        <v/>
      </c>
      <c r="AM300" s="526" t="str">
        <f t="shared" si="85"/>
        <v/>
      </c>
      <c r="AN300" s="526" t="str">
        <f t="shared" si="86"/>
        <v/>
      </c>
      <c r="AO300" s="526" t="str">
        <f t="shared" si="87"/>
        <v/>
      </c>
    </row>
    <row r="301" spans="1:41" x14ac:dyDescent="0.25">
      <c r="A301" s="2">
        <v>5176376</v>
      </c>
      <c r="B301" s="522" t="s">
        <v>312</v>
      </c>
      <c r="C301" s="522">
        <v>2018</v>
      </c>
      <c r="D301" s="522" t="s">
        <v>297</v>
      </c>
      <c r="E301" s="522" t="s">
        <v>333</v>
      </c>
      <c r="F301" s="522" t="s">
        <v>299</v>
      </c>
      <c r="G301" s="522"/>
      <c r="H301" s="522" t="s">
        <v>353</v>
      </c>
      <c r="I301" s="522"/>
      <c r="J301" s="2" t="s">
        <v>301</v>
      </c>
      <c r="K301" s="522" t="str">
        <f t="shared" si="88"/>
        <v>8-hr TWA</v>
      </c>
      <c r="L301" s="522" t="s">
        <v>302</v>
      </c>
      <c r="M301" s="535">
        <v>40234</v>
      </c>
      <c r="N301" s="2">
        <v>480</v>
      </c>
      <c r="O301" s="2">
        <v>1</v>
      </c>
      <c r="P301" s="2"/>
      <c r="Q301" s="2"/>
      <c r="R301" s="2"/>
      <c r="S301" s="2"/>
      <c r="T301" s="2"/>
      <c r="U301" s="2"/>
      <c r="V301" s="2"/>
      <c r="W301" s="2">
        <v>4.8000000000000001E-2</v>
      </c>
      <c r="X301" s="524">
        <f t="shared" si="80"/>
        <v>3.3941125496954279E-2</v>
      </c>
      <c r="Y301" s="2" t="str">
        <f t="shared" si="81"/>
        <v/>
      </c>
      <c r="Z301" s="2"/>
      <c r="AA301" s="2"/>
      <c r="AB301" s="2"/>
      <c r="AC301" s="2"/>
      <c r="AD301" s="536">
        <f t="shared" si="89"/>
        <v>0.30197791411042946</v>
      </c>
      <c r="AE301" s="536">
        <f t="shared" si="82"/>
        <v>0.21353063083605345</v>
      </c>
      <c r="AF301" s="536" t="str">
        <f t="shared" si="83"/>
        <v/>
      </c>
      <c r="AG301" s="537" t="str">
        <f t="shared" si="77"/>
        <v/>
      </c>
      <c r="AH301" s="537" t="str">
        <f t="shared" si="78"/>
        <v/>
      </c>
      <c r="AI301" s="525" t="str">
        <f t="shared" si="79"/>
        <v/>
      </c>
      <c r="AJ301" s="522"/>
      <c r="AK301" s="522" t="s">
        <v>315</v>
      </c>
      <c r="AL301" s="526" t="str">
        <f t="shared" si="84"/>
        <v/>
      </c>
      <c r="AM301" s="526" t="str">
        <f t="shared" si="85"/>
        <v/>
      </c>
      <c r="AN301" s="526" t="str">
        <f t="shared" si="86"/>
        <v/>
      </c>
      <c r="AO301" s="526" t="str">
        <f t="shared" si="87"/>
        <v/>
      </c>
    </row>
    <row r="302" spans="1:41" x14ac:dyDescent="0.25">
      <c r="A302" s="2">
        <v>5176376</v>
      </c>
      <c r="B302" s="522" t="s">
        <v>312</v>
      </c>
      <c r="C302" s="522">
        <v>2018</v>
      </c>
      <c r="D302" s="522" t="s">
        <v>297</v>
      </c>
      <c r="E302" s="522" t="s">
        <v>333</v>
      </c>
      <c r="F302" s="522" t="s">
        <v>299</v>
      </c>
      <c r="G302" s="522"/>
      <c r="H302" s="522" t="s">
        <v>353</v>
      </c>
      <c r="I302" s="522"/>
      <c r="J302" s="2" t="s">
        <v>301</v>
      </c>
      <c r="K302" s="522" t="str">
        <f t="shared" si="88"/>
        <v>8-hr TWA</v>
      </c>
      <c r="L302" s="522" t="s">
        <v>302</v>
      </c>
      <c r="M302" s="535">
        <v>40235</v>
      </c>
      <c r="N302" s="2">
        <v>510</v>
      </c>
      <c r="O302" s="2">
        <v>1</v>
      </c>
      <c r="P302" s="2"/>
      <c r="Q302" s="2"/>
      <c r="R302" s="2"/>
      <c r="S302" s="2"/>
      <c r="T302" s="2"/>
      <c r="U302" s="2"/>
      <c r="V302" s="2"/>
      <c r="W302" s="2">
        <v>0.13</v>
      </c>
      <c r="X302" s="2">
        <f t="shared" si="80"/>
        <v>0.13</v>
      </c>
      <c r="Y302" s="2" t="str">
        <f t="shared" si="81"/>
        <v/>
      </c>
      <c r="Z302" s="2"/>
      <c r="AA302" s="2"/>
      <c r="AB302" s="2"/>
      <c r="AC302" s="2"/>
      <c r="AD302" s="537">
        <f t="shared" si="89"/>
        <v>0.81785685071574643</v>
      </c>
      <c r="AE302" s="536">
        <f t="shared" si="82"/>
        <v>0.81785685071574643</v>
      </c>
      <c r="AF302" s="536" t="str">
        <f t="shared" si="83"/>
        <v/>
      </c>
      <c r="AG302" s="537" t="str">
        <f t="shared" si="77"/>
        <v/>
      </c>
      <c r="AH302" s="537" t="str">
        <f t="shared" si="78"/>
        <v/>
      </c>
      <c r="AI302" s="525" t="str">
        <f t="shared" si="79"/>
        <v/>
      </c>
      <c r="AJ302" s="522"/>
      <c r="AK302" s="522"/>
      <c r="AL302" s="526">
        <f t="shared" si="84"/>
        <v>0.13</v>
      </c>
      <c r="AM302" s="526">
        <f t="shared" si="85"/>
        <v>-2.0402208285265546</v>
      </c>
      <c r="AN302" s="526" t="str">
        <f t="shared" si="86"/>
        <v/>
      </c>
      <c r="AO302" s="526" t="str">
        <f t="shared" si="87"/>
        <v/>
      </c>
    </row>
    <row r="303" spans="1:41" x14ac:dyDescent="0.25">
      <c r="A303" s="2">
        <v>5176376</v>
      </c>
      <c r="B303" s="522" t="s">
        <v>312</v>
      </c>
      <c r="C303" s="522">
        <v>2018</v>
      </c>
      <c r="D303" s="522" t="s">
        <v>297</v>
      </c>
      <c r="E303" s="522" t="s">
        <v>333</v>
      </c>
      <c r="F303" s="522" t="s">
        <v>299</v>
      </c>
      <c r="G303" s="522"/>
      <c r="H303" s="522" t="s">
        <v>353</v>
      </c>
      <c r="I303" s="522"/>
      <c r="J303" s="2" t="s">
        <v>301</v>
      </c>
      <c r="K303" s="522" t="str">
        <f t="shared" si="88"/>
        <v>12-hr TWA</v>
      </c>
      <c r="L303" s="522" t="s">
        <v>302</v>
      </c>
      <c r="M303" s="535">
        <v>40249</v>
      </c>
      <c r="N303" s="2">
        <v>630</v>
      </c>
      <c r="O303" s="2">
        <v>1</v>
      </c>
      <c r="P303" s="2"/>
      <c r="Q303" s="2"/>
      <c r="R303" s="2"/>
      <c r="S303" s="2"/>
      <c r="T303" s="2"/>
      <c r="U303" s="2"/>
      <c r="V303" s="2"/>
      <c r="W303" s="2">
        <v>5.8000000000000003E-2</v>
      </c>
      <c r="X303" s="2" t="str">
        <f t="shared" si="80"/>
        <v/>
      </c>
      <c r="Y303" s="524">
        <f t="shared" si="81"/>
        <v>2.5374999999999998E-2</v>
      </c>
      <c r="Z303" s="2"/>
      <c r="AA303" s="2"/>
      <c r="AB303" s="2"/>
      <c r="AC303" s="2"/>
      <c r="AD303" s="537">
        <f t="shared" si="89"/>
        <v>0.36488997955010222</v>
      </c>
      <c r="AE303" s="536" t="str">
        <f t="shared" si="82"/>
        <v/>
      </c>
      <c r="AF303" s="536">
        <f t="shared" si="83"/>
        <v>0.15963936605316972</v>
      </c>
      <c r="AG303" s="537" t="str">
        <f t="shared" si="77"/>
        <v/>
      </c>
      <c r="AH303" s="537" t="str">
        <f t="shared" si="78"/>
        <v/>
      </c>
      <c r="AI303" s="525" t="str">
        <f t="shared" si="79"/>
        <v/>
      </c>
      <c r="AJ303" s="522"/>
      <c r="AK303" s="522" t="s">
        <v>315</v>
      </c>
      <c r="AL303" s="526" t="str">
        <f t="shared" si="84"/>
        <v/>
      </c>
      <c r="AM303" s="526" t="str">
        <f t="shared" si="85"/>
        <v/>
      </c>
      <c r="AN303" s="526" t="str">
        <f t="shared" si="86"/>
        <v/>
      </c>
      <c r="AO303" s="526" t="str">
        <f t="shared" si="87"/>
        <v/>
      </c>
    </row>
    <row r="304" spans="1:41" x14ac:dyDescent="0.25">
      <c r="A304" s="2">
        <v>5176376</v>
      </c>
      <c r="B304" s="522" t="s">
        <v>312</v>
      </c>
      <c r="C304" s="522">
        <v>2018</v>
      </c>
      <c r="D304" s="522" t="s">
        <v>297</v>
      </c>
      <c r="E304" s="522" t="s">
        <v>333</v>
      </c>
      <c r="F304" s="522" t="s">
        <v>299</v>
      </c>
      <c r="G304" s="522"/>
      <c r="H304" s="522" t="s">
        <v>353</v>
      </c>
      <c r="I304" s="522"/>
      <c r="J304" s="2" t="s">
        <v>301</v>
      </c>
      <c r="K304" s="522" t="str">
        <f t="shared" si="88"/>
        <v>12-hr TWA</v>
      </c>
      <c r="L304" s="522" t="s">
        <v>302</v>
      </c>
      <c r="M304" s="535">
        <v>40252</v>
      </c>
      <c r="N304" s="2">
        <v>630</v>
      </c>
      <c r="O304" s="2">
        <v>1</v>
      </c>
      <c r="P304" s="2"/>
      <c r="Q304" s="2"/>
      <c r="R304" s="2"/>
      <c r="S304" s="2"/>
      <c r="T304" s="2"/>
      <c r="U304" s="2"/>
      <c r="V304" s="2"/>
      <c r="W304" s="2">
        <v>5.8000000000000003E-2</v>
      </c>
      <c r="X304" s="2" t="str">
        <f t="shared" si="80"/>
        <v/>
      </c>
      <c r="Y304" s="524">
        <f t="shared" si="81"/>
        <v>2.5374999999999998E-2</v>
      </c>
      <c r="Z304" s="2"/>
      <c r="AA304" s="2"/>
      <c r="AB304" s="2"/>
      <c r="AC304" s="2"/>
      <c r="AD304" s="537">
        <f t="shared" si="89"/>
        <v>0.36488997955010222</v>
      </c>
      <c r="AE304" s="536" t="str">
        <f t="shared" si="82"/>
        <v/>
      </c>
      <c r="AF304" s="536">
        <f t="shared" si="83"/>
        <v>0.15963936605316972</v>
      </c>
      <c r="AG304" s="537" t="str">
        <f t="shared" si="77"/>
        <v/>
      </c>
      <c r="AH304" s="537" t="str">
        <f t="shared" si="78"/>
        <v/>
      </c>
      <c r="AI304" s="525" t="str">
        <f t="shared" si="79"/>
        <v/>
      </c>
      <c r="AJ304" s="522"/>
      <c r="AK304" s="522" t="s">
        <v>315</v>
      </c>
      <c r="AL304" s="526" t="str">
        <f t="shared" si="84"/>
        <v/>
      </c>
      <c r="AM304" s="526" t="str">
        <f t="shared" si="85"/>
        <v/>
      </c>
      <c r="AN304" s="526" t="str">
        <f t="shared" si="86"/>
        <v/>
      </c>
      <c r="AO304" s="526" t="str">
        <f t="shared" si="87"/>
        <v/>
      </c>
    </row>
    <row r="305" spans="1:41" x14ac:dyDescent="0.25">
      <c r="A305" s="2">
        <v>5176376</v>
      </c>
      <c r="B305" s="522" t="s">
        <v>312</v>
      </c>
      <c r="C305" s="522">
        <v>2018</v>
      </c>
      <c r="D305" s="522" t="s">
        <v>297</v>
      </c>
      <c r="E305" s="522" t="s">
        <v>333</v>
      </c>
      <c r="F305" s="522" t="s">
        <v>299</v>
      </c>
      <c r="G305" s="522"/>
      <c r="H305" s="522" t="s">
        <v>357</v>
      </c>
      <c r="I305" s="522"/>
      <c r="J305" s="2" t="s">
        <v>301</v>
      </c>
      <c r="K305" s="522" t="str">
        <f t="shared" si="88"/>
        <v>8-hr TWA</v>
      </c>
      <c r="L305" s="522" t="s">
        <v>302</v>
      </c>
      <c r="M305" s="535">
        <v>40388</v>
      </c>
      <c r="N305" s="2">
        <v>480</v>
      </c>
      <c r="O305" s="2">
        <v>1</v>
      </c>
      <c r="P305" s="2"/>
      <c r="Q305" s="2"/>
      <c r="R305" s="2"/>
      <c r="S305" s="2"/>
      <c r="T305" s="2"/>
      <c r="U305" s="2"/>
      <c r="V305" s="2"/>
      <c r="W305" s="2">
        <v>0.52</v>
      </c>
      <c r="X305" s="444">
        <f t="shared" ref="X305:X336" si="90">IF($K305="8-hr TWA", IF($N305&lt;480,IF($AK305="ND",IF($AR$9&lt;3,($W305/SQRT(2))*$N305/480, ($W305/2)*$N305/480),$W305*$N305/480),IF($AK305="ND",IF($AR$9&lt;3,($W305/SQRT(2)), ($W305/2)),$W305)),"")</f>
        <v>0.36769552621700469</v>
      </c>
      <c r="Y305" s="2" t="str">
        <f t="shared" ref="Y305:Y336" si="91">IF($K305="12-hr TWA", IF($N305&lt;720,IF($AK305="ND",IF($AS$9&lt;3,($W305/SQRT(2))*$N305/720, ($W305/2)*$N305/720),$W305*$N305/720),IF($AK305="ND",IF($AS$9&lt;3,($W305/SQRT(2)), ($W305/2)),$W305)),"")</f>
        <v/>
      </c>
      <c r="Z305" s="2"/>
      <c r="AA305" s="2"/>
      <c r="AB305" s="2"/>
      <c r="AC305" s="2"/>
      <c r="AD305" s="537">
        <f t="shared" si="89"/>
        <v>3.2714274028629857</v>
      </c>
      <c r="AE305" s="537">
        <f t="shared" ref="AE305:AE336" si="92">+IFERROR(X305*MolW/MolVol,"")</f>
        <v>2.3132485007239123</v>
      </c>
      <c r="AF305" s="537" t="str">
        <f t="shared" ref="AF305:AF336" si="93">+IFERROR(Y305*MolW/MolVol,"")</f>
        <v/>
      </c>
      <c r="AG305" s="537" t="str">
        <f t="shared" si="77"/>
        <v/>
      </c>
      <c r="AH305" s="537" t="str">
        <f t="shared" si="78"/>
        <v/>
      </c>
      <c r="AI305" s="525" t="str">
        <f t="shared" si="79"/>
        <v/>
      </c>
      <c r="AJ305" s="522"/>
      <c r="AK305" s="522" t="s">
        <v>315</v>
      </c>
      <c r="AL305" s="526" t="str">
        <f t="shared" ref="AL305:AL336" si="94">IF($K305="8-hr TWA", IF($AK305&lt;&gt;"ND", IF($N305&lt;480, $W305*$N305/480,$W305),""),"")</f>
        <v/>
      </c>
      <c r="AM305" s="526" t="str">
        <f t="shared" ref="AM305:AM336" si="95">+IFERROR(LN(AL305), "")</f>
        <v/>
      </c>
      <c r="AN305" s="526" t="str">
        <f t="shared" ref="AN305:AN336" si="96">IF($K305="12-hr TWA", IF($AK305&lt;&gt;"ND", IF($N305&lt;720, $W305*$N305/720,$W305),""),"")</f>
        <v/>
      </c>
      <c r="AO305" s="526" t="str">
        <f t="shared" ref="AO305:AO336" si="97">+IFERROR(LN(AN305), "")</f>
        <v/>
      </c>
    </row>
    <row r="306" spans="1:41" x14ac:dyDescent="0.25">
      <c r="A306" s="2">
        <v>5176376</v>
      </c>
      <c r="B306" s="522" t="s">
        <v>312</v>
      </c>
      <c r="C306" s="522">
        <v>2018</v>
      </c>
      <c r="D306" s="522" t="s">
        <v>297</v>
      </c>
      <c r="E306" s="522" t="s">
        <v>333</v>
      </c>
      <c r="F306" s="522" t="s">
        <v>299</v>
      </c>
      <c r="G306" s="522"/>
      <c r="H306" s="522" t="s">
        <v>355</v>
      </c>
      <c r="I306" s="522"/>
      <c r="J306" s="2" t="s">
        <v>301</v>
      </c>
      <c r="K306" s="522" t="str">
        <f t="shared" si="88"/>
        <v>12-hr TWA</v>
      </c>
      <c r="L306" s="522" t="s">
        <v>302</v>
      </c>
      <c r="M306" s="535">
        <v>40388</v>
      </c>
      <c r="N306" s="2">
        <v>705</v>
      </c>
      <c r="O306" s="2">
        <v>1</v>
      </c>
      <c r="P306" s="2"/>
      <c r="Q306" s="2"/>
      <c r="R306" s="2"/>
      <c r="S306" s="2"/>
      <c r="T306" s="2"/>
      <c r="U306" s="2"/>
      <c r="V306" s="2"/>
      <c r="W306" s="2">
        <v>3.5000000000000003E-2</v>
      </c>
      <c r="X306" s="2" t="str">
        <f t="shared" si="90"/>
        <v/>
      </c>
      <c r="Y306" s="524">
        <f t="shared" si="91"/>
        <v>1.7135416666666667E-2</v>
      </c>
      <c r="Z306" s="2"/>
      <c r="AA306" s="2"/>
      <c r="AB306" s="2"/>
      <c r="AC306" s="2"/>
      <c r="AD306" s="537">
        <f t="shared" si="89"/>
        <v>0.22019222903885483</v>
      </c>
      <c r="AE306" s="537" t="str">
        <f t="shared" si="92"/>
        <v/>
      </c>
      <c r="AF306" s="536">
        <f t="shared" si="93"/>
        <v>0.10780244546693933</v>
      </c>
      <c r="AG306" s="537" t="str">
        <f t="shared" si="77"/>
        <v/>
      </c>
      <c r="AH306" s="537" t="str">
        <f t="shared" si="78"/>
        <v/>
      </c>
      <c r="AI306" s="525" t="str">
        <f t="shared" si="79"/>
        <v/>
      </c>
      <c r="AJ306" s="522"/>
      <c r="AK306" s="522" t="s">
        <v>315</v>
      </c>
      <c r="AL306" s="526" t="str">
        <f t="shared" si="94"/>
        <v/>
      </c>
      <c r="AM306" s="526" t="str">
        <f t="shared" si="95"/>
        <v/>
      </c>
      <c r="AN306" s="526" t="str">
        <f t="shared" si="96"/>
        <v/>
      </c>
      <c r="AO306" s="526" t="str">
        <f t="shared" si="97"/>
        <v/>
      </c>
    </row>
    <row r="307" spans="1:41" x14ac:dyDescent="0.25">
      <c r="A307" s="2">
        <v>5176376</v>
      </c>
      <c r="B307" s="522" t="s">
        <v>312</v>
      </c>
      <c r="C307" s="522">
        <v>2018</v>
      </c>
      <c r="D307" s="522" t="s">
        <v>297</v>
      </c>
      <c r="E307" s="522" t="s">
        <v>333</v>
      </c>
      <c r="F307" s="522" t="s">
        <v>299</v>
      </c>
      <c r="G307" s="522"/>
      <c r="H307" s="522" t="s">
        <v>356</v>
      </c>
      <c r="I307" s="522"/>
      <c r="J307" s="2" t="s">
        <v>301</v>
      </c>
      <c r="K307" s="522" t="str">
        <f t="shared" si="88"/>
        <v>12-hr TWA</v>
      </c>
      <c r="L307" s="522" t="s">
        <v>302</v>
      </c>
      <c r="M307" s="535">
        <v>40388</v>
      </c>
      <c r="N307" s="2">
        <v>705</v>
      </c>
      <c r="O307" s="2">
        <v>1</v>
      </c>
      <c r="P307" s="2"/>
      <c r="Q307" s="2"/>
      <c r="R307" s="2"/>
      <c r="S307" s="2"/>
      <c r="T307" s="2"/>
      <c r="U307" s="2"/>
      <c r="V307" s="2"/>
      <c r="W307" s="2">
        <v>3.5999999999999997E-2</v>
      </c>
      <c r="X307" s="2" t="str">
        <f t="shared" si="90"/>
        <v/>
      </c>
      <c r="Y307" s="524">
        <f t="shared" si="91"/>
        <v>1.7624999999999998E-2</v>
      </c>
      <c r="Z307" s="2"/>
      <c r="AA307" s="2"/>
      <c r="AB307" s="2"/>
      <c r="AC307" s="2"/>
      <c r="AD307" s="537">
        <f t="shared" si="89"/>
        <v>0.22648343558282208</v>
      </c>
      <c r="AE307" s="537" t="str">
        <f t="shared" si="92"/>
        <v/>
      </c>
      <c r="AF307" s="536">
        <f t="shared" si="93"/>
        <v>0.1108825153374233</v>
      </c>
      <c r="AG307" s="537" t="str">
        <f t="shared" si="77"/>
        <v/>
      </c>
      <c r="AH307" s="537" t="str">
        <f t="shared" si="78"/>
        <v/>
      </c>
      <c r="AI307" s="525" t="str">
        <f t="shared" si="79"/>
        <v/>
      </c>
      <c r="AJ307" s="522"/>
      <c r="AK307" s="522" t="s">
        <v>315</v>
      </c>
      <c r="AL307" s="526" t="str">
        <f t="shared" si="94"/>
        <v/>
      </c>
      <c r="AM307" s="526" t="str">
        <f t="shared" si="95"/>
        <v/>
      </c>
      <c r="AN307" s="526" t="str">
        <f t="shared" si="96"/>
        <v/>
      </c>
      <c r="AO307" s="526" t="str">
        <f t="shared" si="97"/>
        <v/>
      </c>
    </row>
    <row r="308" spans="1:41" x14ac:dyDescent="0.25">
      <c r="A308" s="2">
        <v>5176376</v>
      </c>
      <c r="B308" s="522" t="s">
        <v>312</v>
      </c>
      <c r="C308" s="522">
        <v>2018</v>
      </c>
      <c r="D308" s="522" t="s">
        <v>297</v>
      </c>
      <c r="E308" s="522" t="s">
        <v>333</v>
      </c>
      <c r="F308" s="522" t="s">
        <v>299</v>
      </c>
      <c r="G308" s="522"/>
      <c r="H308" s="522" t="s">
        <v>355</v>
      </c>
      <c r="I308" s="522"/>
      <c r="J308" s="2" t="s">
        <v>301</v>
      </c>
      <c r="K308" s="522" t="str">
        <f t="shared" si="88"/>
        <v>12-hr TWA</v>
      </c>
      <c r="L308" s="522" t="s">
        <v>302</v>
      </c>
      <c r="M308" s="535">
        <v>40409</v>
      </c>
      <c r="N308" s="2">
        <v>680</v>
      </c>
      <c r="O308" s="2">
        <v>1</v>
      </c>
      <c r="P308" s="2"/>
      <c r="Q308" s="2"/>
      <c r="R308" s="2"/>
      <c r="S308" s="2"/>
      <c r="T308" s="2"/>
      <c r="U308" s="2"/>
      <c r="V308" s="2"/>
      <c r="W308" s="2">
        <v>6.0999999999999999E-2</v>
      </c>
      <c r="X308" s="2" t="str">
        <f t="shared" si="90"/>
        <v/>
      </c>
      <c r="Y308" s="524">
        <f t="shared" si="91"/>
        <v>5.7611111111111106E-2</v>
      </c>
      <c r="Z308" s="2"/>
      <c r="AA308" s="2"/>
      <c r="AB308" s="2"/>
      <c r="AC308" s="2"/>
      <c r="AD308" s="537">
        <f t="shared" si="89"/>
        <v>0.38376359918200409</v>
      </c>
      <c r="AE308" s="537" t="str">
        <f t="shared" si="92"/>
        <v/>
      </c>
      <c r="AF308" s="536">
        <f t="shared" si="93"/>
        <v>0.36244339922744828</v>
      </c>
      <c r="AG308" s="537" t="str">
        <f t="shared" si="77"/>
        <v/>
      </c>
      <c r="AH308" s="537" t="str">
        <f t="shared" si="78"/>
        <v/>
      </c>
      <c r="AI308" s="525" t="str">
        <f t="shared" si="79"/>
        <v/>
      </c>
      <c r="AJ308" s="522"/>
      <c r="AK308" s="522"/>
      <c r="AL308" s="526" t="str">
        <f t="shared" si="94"/>
        <v/>
      </c>
      <c r="AM308" s="526" t="str">
        <f t="shared" si="95"/>
        <v/>
      </c>
      <c r="AN308" s="526">
        <f t="shared" si="96"/>
        <v>5.7611111111111106E-2</v>
      </c>
      <c r="AO308" s="526">
        <f t="shared" si="97"/>
        <v>-2.8540398286487747</v>
      </c>
    </row>
    <row r="309" spans="1:41" x14ac:dyDescent="0.25">
      <c r="A309" s="2">
        <v>5176376</v>
      </c>
      <c r="B309" s="522" t="s">
        <v>312</v>
      </c>
      <c r="C309" s="522">
        <v>2018</v>
      </c>
      <c r="D309" s="522" t="s">
        <v>297</v>
      </c>
      <c r="E309" s="522" t="s">
        <v>333</v>
      </c>
      <c r="F309" s="522" t="s">
        <v>299</v>
      </c>
      <c r="G309" s="522"/>
      <c r="H309" s="522" t="s">
        <v>357</v>
      </c>
      <c r="I309" s="522"/>
      <c r="J309" s="2" t="s">
        <v>301</v>
      </c>
      <c r="K309" s="522" t="str">
        <f t="shared" si="88"/>
        <v>8-hr TWA</v>
      </c>
      <c r="L309" s="522" t="s">
        <v>302</v>
      </c>
      <c r="M309" s="535">
        <v>40415</v>
      </c>
      <c r="N309" s="2">
        <v>490</v>
      </c>
      <c r="O309" s="2">
        <v>1</v>
      </c>
      <c r="P309" s="2"/>
      <c r="Q309" s="2"/>
      <c r="R309" s="2"/>
      <c r="S309" s="2"/>
      <c r="T309" s="2"/>
      <c r="U309" s="2"/>
      <c r="V309" s="2"/>
      <c r="W309" s="2">
        <v>1.7</v>
      </c>
      <c r="X309" s="2">
        <f t="shared" si="90"/>
        <v>1.7</v>
      </c>
      <c r="Y309" s="2" t="str">
        <f t="shared" si="91"/>
        <v/>
      </c>
      <c r="Z309" s="2"/>
      <c r="AA309" s="2"/>
      <c r="AB309" s="2"/>
      <c r="AC309" s="2"/>
      <c r="AD309" s="540">
        <f t="shared" si="89"/>
        <v>10.695051124744376</v>
      </c>
      <c r="AE309" s="540">
        <f t="shared" si="92"/>
        <v>10.695051124744376</v>
      </c>
      <c r="AF309" s="537" t="str">
        <f t="shared" si="93"/>
        <v/>
      </c>
      <c r="AG309" s="537" t="str">
        <f t="shared" si="77"/>
        <v/>
      </c>
      <c r="AH309" s="537" t="str">
        <f t="shared" si="78"/>
        <v/>
      </c>
      <c r="AI309" s="525" t="str">
        <f t="shared" si="79"/>
        <v/>
      </c>
      <c r="AJ309" s="522"/>
      <c r="AK309" s="522"/>
      <c r="AL309" s="526">
        <f t="shared" si="94"/>
        <v>1.7</v>
      </c>
      <c r="AM309" s="526">
        <f t="shared" si="95"/>
        <v>0.53062825106217038</v>
      </c>
      <c r="AN309" s="526" t="str">
        <f t="shared" si="96"/>
        <v/>
      </c>
      <c r="AO309" s="526" t="str">
        <f t="shared" si="97"/>
        <v/>
      </c>
    </row>
    <row r="310" spans="1:41" x14ac:dyDescent="0.25">
      <c r="A310" s="2">
        <v>5176376</v>
      </c>
      <c r="B310" s="522" t="s">
        <v>312</v>
      </c>
      <c r="C310" s="522">
        <v>2018</v>
      </c>
      <c r="D310" s="522" t="s">
        <v>297</v>
      </c>
      <c r="E310" s="522" t="s">
        <v>333</v>
      </c>
      <c r="F310" s="522" t="s">
        <v>299</v>
      </c>
      <c r="G310" s="522"/>
      <c r="H310" s="522" t="s">
        <v>356</v>
      </c>
      <c r="I310" s="522"/>
      <c r="J310" s="2" t="s">
        <v>301</v>
      </c>
      <c r="K310" s="522" t="str">
        <f t="shared" si="88"/>
        <v>12-hr TWA</v>
      </c>
      <c r="L310" s="522" t="s">
        <v>302</v>
      </c>
      <c r="M310" s="535">
        <v>40420</v>
      </c>
      <c r="N310" s="2">
        <v>690</v>
      </c>
      <c r="O310" s="2">
        <v>1</v>
      </c>
      <c r="P310" s="2"/>
      <c r="Q310" s="2"/>
      <c r="R310" s="2"/>
      <c r="S310" s="2"/>
      <c r="T310" s="2"/>
      <c r="U310" s="2"/>
      <c r="V310" s="2"/>
      <c r="W310" s="2">
        <v>4.5999999999999999E-2</v>
      </c>
      <c r="X310" s="2" t="str">
        <f t="shared" si="90"/>
        <v/>
      </c>
      <c r="Y310" s="524">
        <f t="shared" si="91"/>
        <v>2.2041666666666664E-2</v>
      </c>
      <c r="Z310" s="2"/>
      <c r="AA310" s="2"/>
      <c r="AB310" s="2"/>
      <c r="AC310" s="2"/>
      <c r="AD310" s="536">
        <f t="shared" si="89"/>
        <v>0.28939550102249489</v>
      </c>
      <c r="AE310" s="536" t="str">
        <f t="shared" si="92"/>
        <v/>
      </c>
      <c r="AF310" s="536">
        <f t="shared" si="93"/>
        <v>0.13866867757327878</v>
      </c>
      <c r="AG310" s="537" t="str">
        <f t="shared" si="77"/>
        <v/>
      </c>
      <c r="AH310" s="537" t="str">
        <f t="shared" si="78"/>
        <v/>
      </c>
      <c r="AI310" s="525" t="str">
        <f t="shared" si="79"/>
        <v/>
      </c>
      <c r="AJ310" s="522"/>
      <c r="AK310" s="522" t="s">
        <v>315</v>
      </c>
      <c r="AL310" s="526" t="str">
        <f t="shared" si="94"/>
        <v/>
      </c>
      <c r="AM310" s="526" t="str">
        <f t="shared" si="95"/>
        <v/>
      </c>
      <c r="AN310" s="526" t="str">
        <f t="shared" si="96"/>
        <v/>
      </c>
      <c r="AO310" s="526" t="str">
        <f t="shared" si="97"/>
        <v/>
      </c>
    </row>
    <row r="311" spans="1:41" x14ac:dyDescent="0.25">
      <c r="A311" s="2">
        <v>5176376</v>
      </c>
      <c r="B311" s="522" t="s">
        <v>312</v>
      </c>
      <c r="C311" s="522">
        <v>2018</v>
      </c>
      <c r="D311" s="522" t="s">
        <v>297</v>
      </c>
      <c r="E311" s="522" t="s">
        <v>333</v>
      </c>
      <c r="F311" s="522" t="s">
        <v>299</v>
      </c>
      <c r="G311" s="522"/>
      <c r="H311" s="522" t="s">
        <v>356</v>
      </c>
      <c r="I311" s="522"/>
      <c r="J311" s="2" t="s">
        <v>301</v>
      </c>
      <c r="K311" s="522" t="str">
        <f t="shared" si="88"/>
        <v>12-hr TWA</v>
      </c>
      <c r="L311" s="522" t="s">
        <v>302</v>
      </c>
      <c r="M311" s="535">
        <v>40420</v>
      </c>
      <c r="N311" s="2">
        <v>690</v>
      </c>
      <c r="O311" s="2">
        <v>1</v>
      </c>
      <c r="P311" s="2"/>
      <c r="Q311" s="2"/>
      <c r="R311" s="2"/>
      <c r="S311" s="2"/>
      <c r="T311" s="2"/>
      <c r="U311" s="2"/>
      <c r="V311" s="2"/>
      <c r="W311" s="2">
        <v>8.4000000000000005E-2</v>
      </c>
      <c r="X311" s="2" t="str">
        <f t="shared" si="90"/>
        <v/>
      </c>
      <c r="Y311" s="524">
        <f t="shared" si="91"/>
        <v>8.0500000000000002E-2</v>
      </c>
      <c r="Z311" s="2"/>
      <c r="AA311" s="2"/>
      <c r="AB311" s="2"/>
      <c r="AC311" s="2"/>
      <c r="AD311" s="536">
        <f t="shared" si="89"/>
        <v>0.52846134969325154</v>
      </c>
      <c r="AE311" s="536" t="str">
        <f t="shared" si="92"/>
        <v/>
      </c>
      <c r="AF311" s="536">
        <f t="shared" si="93"/>
        <v>0.50644212678936606</v>
      </c>
      <c r="AG311" s="537" t="str">
        <f t="shared" si="77"/>
        <v/>
      </c>
      <c r="AH311" s="537" t="str">
        <f t="shared" si="78"/>
        <v/>
      </c>
      <c r="AI311" s="525" t="str">
        <f t="shared" si="79"/>
        <v/>
      </c>
      <c r="AJ311" s="522"/>
      <c r="AK311" s="522"/>
      <c r="AL311" s="526" t="str">
        <f t="shared" si="94"/>
        <v/>
      </c>
      <c r="AM311" s="526" t="str">
        <f t="shared" si="95"/>
        <v/>
      </c>
      <c r="AN311" s="526">
        <f t="shared" si="96"/>
        <v>8.0500000000000002E-2</v>
      </c>
      <c r="AO311" s="526">
        <f t="shared" si="97"/>
        <v>-2.5194980945576195</v>
      </c>
    </row>
    <row r="312" spans="1:41" x14ac:dyDescent="0.25">
      <c r="A312" s="2">
        <v>5176376</v>
      </c>
      <c r="B312" s="522" t="s">
        <v>312</v>
      </c>
      <c r="C312" s="522">
        <v>2018</v>
      </c>
      <c r="D312" s="522" t="s">
        <v>297</v>
      </c>
      <c r="E312" s="522" t="s">
        <v>333</v>
      </c>
      <c r="F312" s="522" t="s">
        <v>299</v>
      </c>
      <c r="G312" s="522"/>
      <c r="H312" s="522" t="s">
        <v>357</v>
      </c>
      <c r="I312" s="522"/>
      <c r="J312" s="2" t="s">
        <v>301</v>
      </c>
      <c r="K312" s="522" t="str">
        <f t="shared" si="88"/>
        <v>8-hr TWA</v>
      </c>
      <c r="L312" s="522" t="s">
        <v>302</v>
      </c>
      <c r="M312" s="535">
        <v>40458</v>
      </c>
      <c r="N312" s="2">
        <v>465</v>
      </c>
      <c r="O312" s="2">
        <v>1</v>
      </c>
      <c r="P312" s="2"/>
      <c r="Q312" s="2"/>
      <c r="R312" s="2"/>
      <c r="S312" s="2"/>
      <c r="T312" s="2"/>
      <c r="U312" s="2"/>
      <c r="V312" s="2"/>
      <c r="W312" s="2">
        <v>8.4000000000000005E-2</v>
      </c>
      <c r="X312" s="524">
        <f t="shared" si="90"/>
        <v>8.1375000000000003E-2</v>
      </c>
      <c r="Y312" s="2" t="str">
        <f t="shared" si="91"/>
        <v/>
      </c>
      <c r="Z312" s="2"/>
      <c r="AA312" s="2"/>
      <c r="AB312" s="2"/>
      <c r="AC312" s="2"/>
      <c r="AD312" s="536">
        <f t="shared" si="89"/>
        <v>0.52846134969325154</v>
      </c>
      <c r="AE312" s="536">
        <f t="shared" si="92"/>
        <v>0.51194693251533741</v>
      </c>
      <c r="AF312" s="536" t="str">
        <f t="shared" si="93"/>
        <v/>
      </c>
      <c r="AG312" s="537" t="str">
        <f t="shared" si="77"/>
        <v/>
      </c>
      <c r="AH312" s="537" t="str">
        <f t="shared" si="78"/>
        <v/>
      </c>
      <c r="AI312" s="525" t="str">
        <f t="shared" si="79"/>
        <v/>
      </c>
      <c r="AJ312" s="522"/>
      <c r="AK312" s="522"/>
      <c r="AL312" s="526">
        <f t="shared" si="94"/>
        <v>8.1375000000000003E-2</v>
      </c>
      <c r="AM312" s="526">
        <f t="shared" si="95"/>
        <v>-2.5086871784534037</v>
      </c>
      <c r="AN312" s="526" t="str">
        <f t="shared" si="96"/>
        <v/>
      </c>
      <c r="AO312" s="526" t="str">
        <f t="shared" si="97"/>
        <v/>
      </c>
    </row>
    <row r="313" spans="1:41" x14ac:dyDescent="0.25">
      <c r="A313" s="2">
        <v>5176376</v>
      </c>
      <c r="B313" s="522" t="s">
        <v>312</v>
      </c>
      <c r="C313" s="522">
        <v>2018</v>
      </c>
      <c r="D313" s="522" t="s">
        <v>297</v>
      </c>
      <c r="E313" s="522" t="s">
        <v>333</v>
      </c>
      <c r="F313" s="522" t="s">
        <v>299</v>
      </c>
      <c r="G313" s="522"/>
      <c r="H313" s="522" t="s">
        <v>353</v>
      </c>
      <c r="I313" s="522"/>
      <c r="J313" s="2" t="s">
        <v>301</v>
      </c>
      <c r="K313" s="522" t="str">
        <f t="shared" si="88"/>
        <v>8-hr TWA</v>
      </c>
      <c r="L313" s="522" t="s">
        <v>302</v>
      </c>
      <c r="M313" s="535">
        <v>40463</v>
      </c>
      <c r="N313" s="2">
        <v>465</v>
      </c>
      <c r="O313" s="2">
        <v>1</v>
      </c>
      <c r="P313" s="2"/>
      <c r="Q313" s="2"/>
      <c r="R313" s="2"/>
      <c r="S313" s="2"/>
      <c r="T313" s="2"/>
      <c r="U313" s="2"/>
      <c r="V313" s="2"/>
      <c r="W313" s="2">
        <v>6.8000000000000005E-2</v>
      </c>
      <c r="X313" s="524">
        <f t="shared" si="90"/>
        <v>4.6580659210663816E-2</v>
      </c>
      <c r="Y313" s="2" t="str">
        <f t="shared" si="91"/>
        <v/>
      </c>
      <c r="Z313" s="2"/>
      <c r="AA313" s="2"/>
      <c r="AB313" s="2"/>
      <c r="AC313" s="2"/>
      <c r="AD313" s="536">
        <f t="shared" si="89"/>
        <v>0.42780204498977509</v>
      </c>
      <c r="AE313" s="536">
        <f t="shared" si="92"/>
        <v>0.29304854804843794</v>
      </c>
      <c r="AF313" s="536" t="str">
        <f t="shared" si="93"/>
        <v/>
      </c>
      <c r="AG313" s="537" t="str">
        <f t="shared" si="77"/>
        <v/>
      </c>
      <c r="AH313" s="537" t="str">
        <f t="shared" si="78"/>
        <v/>
      </c>
      <c r="AI313" s="525" t="str">
        <f t="shared" si="79"/>
        <v/>
      </c>
      <c r="AJ313" s="522"/>
      <c r="AK313" s="522" t="s">
        <v>315</v>
      </c>
      <c r="AL313" s="526" t="str">
        <f t="shared" si="94"/>
        <v/>
      </c>
      <c r="AM313" s="526" t="str">
        <f t="shared" si="95"/>
        <v/>
      </c>
      <c r="AN313" s="526" t="str">
        <f t="shared" si="96"/>
        <v/>
      </c>
      <c r="AO313" s="526" t="str">
        <f t="shared" si="97"/>
        <v/>
      </c>
    </row>
    <row r="314" spans="1:41" x14ac:dyDescent="0.25">
      <c r="A314" s="2">
        <v>5176376</v>
      </c>
      <c r="B314" s="522" t="s">
        <v>312</v>
      </c>
      <c r="C314" s="522">
        <v>2018</v>
      </c>
      <c r="D314" s="522" t="s">
        <v>297</v>
      </c>
      <c r="E314" s="522" t="s">
        <v>333</v>
      </c>
      <c r="F314" s="522" t="s">
        <v>299</v>
      </c>
      <c r="G314" s="522"/>
      <c r="H314" s="522" t="s">
        <v>353</v>
      </c>
      <c r="I314" s="522"/>
      <c r="J314" s="2" t="s">
        <v>301</v>
      </c>
      <c r="K314" s="522" t="str">
        <f t="shared" si="88"/>
        <v>8-hr TWA</v>
      </c>
      <c r="L314" s="522" t="s">
        <v>302</v>
      </c>
      <c r="M314" s="535">
        <v>40463</v>
      </c>
      <c r="N314" s="2">
        <v>465</v>
      </c>
      <c r="O314" s="2">
        <v>1</v>
      </c>
      <c r="P314" s="2"/>
      <c r="Q314" s="2"/>
      <c r="R314" s="2"/>
      <c r="S314" s="2"/>
      <c r="T314" s="2"/>
      <c r="U314" s="2"/>
      <c r="V314" s="2"/>
      <c r="W314" s="2">
        <v>6.8000000000000005E-2</v>
      </c>
      <c r="X314" s="524">
        <f t="shared" si="90"/>
        <v>4.6580659210663816E-2</v>
      </c>
      <c r="Y314" s="2" t="str">
        <f t="shared" si="91"/>
        <v/>
      </c>
      <c r="Z314" s="2"/>
      <c r="AA314" s="2"/>
      <c r="AB314" s="2"/>
      <c r="AC314" s="2"/>
      <c r="AD314" s="536">
        <f t="shared" si="89"/>
        <v>0.42780204498977509</v>
      </c>
      <c r="AE314" s="536">
        <f t="shared" si="92"/>
        <v>0.29304854804843794</v>
      </c>
      <c r="AF314" s="536" t="str">
        <f t="shared" si="93"/>
        <v/>
      </c>
      <c r="AG314" s="537" t="str">
        <f t="shared" si="77"/>
        <v/>
      </c>
      <c r="AH314" s="537" t="str">
        <f t="shared" si="78"/>
        <v/>
      </c>
      <c r="AI314" s="525" t="str">
        <f t="shared" si="79"/>
        <v/>
      </c>
      <c r="AJ314" s="522"/>
      <c r="AK314" s="522" t="s">
        <v>315</v>
      </c>
      <c r="AL314" s="526" t="str">
        <f t="shared" si="94"/>
        <v/>
      </c>
      <c r="AM314" s="526" t="str">
        <f t="shared" si="95"/>
        <v/>
      </c>
      <c r="AN314" s="526" t="str">
        <f t="shared" si="96"/>
        <v/>
      </c>
      <c r="AO314" s="526" t="str">
        <f t="shared" si="97"/>
        <v/>
      </c>
    </row>
    <row r="315" spans="1:41" x14ac:dyDescent="0.25">
      <c r="A315" s="2">
        <v>5176376</v>
      </c>
      <c r="B315" s="522" t="s">
        <v>312</v>
      </c>
      <c r="C315" s="522">
        <v>2018</v>
      </c>
      <c r="D315" s="522" t="s">
        <v>297</v>
      </c>
      <c r="E315" s="522" t="s">
        <v>333</v>
      </c>
      <c r="F315" s="522" t="s">
        <v>299</v>
      </c>
      <c r="G315" s="522"/>
      <c r="H315" s="522" t="s">
        <v>354</v>
      </c>
      <c r="I315" s="522"/>
      <c r="J315" s="2" t="s">
        <v>301</v>
      </c>
      <c r="K315" s="522" t="str">
        <f t="shared" si="88"/>
        <v>12-hr TWA</v>
      </c>
      <c r="L315" s="522" t="s">
        <v>302</v>
      </c>
      <c r="M315" s="535">
        <v>40463</v>
      </c>
      <c r="N315" s="2">
        <v>700</v>
      </c>
      <c r="O315" s="2">
        <v>1</v>
      </c>
      <c r="P315" s="2"/>
      <c r="Q315" s="2"/>
      <c r="R315" s="2"/>
      <c r="S315" s="2"/>
      <c r="T315" s="2"/>
      <c r="U315" s="2"/>
      <c r="V315" s="2"/>
      <c r="W315" s="2">
        <v>0.27</v>
      </c>
      <c r="X315" s="2" t="str">
        <f t="shared" si="90"/>
        <v/>
      </c>
      <c r="Y315" s="444">
        <f t="shared" si="91"/>
        <v>0.26250000000000001</v>
      </c>
      <c r="Z315" s="2"/>
      <c r="AA315" s="2"/>
      <c r="AB315" s="2"/>
      <c r="AC315" s="2"/>
      <c r="AD315" s="537">
        <f t="shared" si="89"/>
        <v>1.6986257668711655</v>
      </c>
      <c r="AE315" s="537" t="str">
        <f t="shared" si="92"/>
        <v/>
      </c>
      <c r="AF315" s="537">
        <f t="shared" si="93"/>
        <v>1.6514417177914111</v>
      </c>
      <c r="AG315" s="537" t="str">
        <f t="shared" si="77"/>
        <v/>
      </c>
      <c r="AH315" s="537" t="str">
        <f t="shared" si="78"/>
        <v/>
      </c>
      <c r="AI315" s="525" t="str">
        <f t="shared" si="79"/>
        <v/>
      </c>
      <c r="AJ315" s="522"/>
      <c r="AK315" s="522"/>
      <c r="AL315" s="526" t="str">
        <f t="shared" si="94"/>
        <v/>
      </c>
      <c r="AM315" s="526" t="str">
        <f t="shared" si="95"/>
        <v/>
      </c>
      <c r="AN315" s="526">
        <f t="shared" si="96"/>
        <v>0.26250000000000001</v>
      </c>
      <c r="AO315" s="526">
        <f t="shared" si="97"/>
        <v>-1.3375041969504586</v>
      </c>
    </row>
    <row r="316" spans="1:41" x14ac:dyDescent="0.25">
      <c r="A316" s="2">
        <v>5176376</v>
      </c>
      <c r="B316" s="522" t="s">
        <v>312</v>
      </c>
      <c r="C316" s="522">
        <v>2018</v>
      </c>
      <c r="D316" s="522" t="s">
        <v>297</v>
      </c>
      <c r="E316" s="522" t="s">
        <v>333</v>
      </c>
      <c r="F316" s="522" t="s">
        <v>299</v>
      </c>
      <c r="G316" s="522"/>
      <c r="H316" s="522" t="s">
        <v>354</v>
      </c>
      <c r="I316" s="522"/>
      <c r="J316" s="2" t="s">
        <v>301</v>
      </c>
      <c r="K316" s="522" t="str">
        <f t="shared" si="88"/>
        <v>12-hr TWA</v>
      </c>
      <c r="L316" s="522" t="s">
        <v>302</v>
      </c>
      <c r="M316" s="535">
        <v>40464</v>
      </c>
      <c r="N316" s="2">
        <v>720</v>
      </c>
      <c r="O316" s="2">
        <v>1</v>
      </c>
      <c r="P316" s="2"/>
      <c r="Q316" s="2"/>
      <c r="R316" s="2"/>
      <c r="S316" s="2"/>
      <c r="T316" s="2"/>
      <c r="U316" s="2"/>
      <c r="V316" s="2"/>
      <c r="W316" s="2">
        <v>0.28999999999999998</v>
      </c>
      <c r="X316" s="2" t="str">
        <f t="shared" si="90"/>
        <v/>
      </c>
      <c r="Y316" s="2">
        <f t="shared" si="91"/>
        <v>0.28999999999999998</v>
      </c>
      <c r="Z316" s="2"/>
      <c r="AA316" s="2"/>
      <c r="AB316" s="2"/>
      <c r="AC316" s="2"/>
      <c r="AD316" s="537">
        <f t="shared" si="89"/>
        <v>1.8244498977505113</v>
      </c>
      <c r="AE316" s="537" t="str">
        <f t="shared" si="92"/>
        <v/>
      </c>
      <c r="AF316" s="537">
        <f t="shared" si="93"/>
        <v>1.8244498977505113</v>
      </c>
      <c r="AG316" s="537" t="str">
        <f t="shared" si="77"/>
        <v/>
      </c>
      <c r="AH316" s="537" t="str">
        <f t="shared" si="78"/>
        <v/>
      </c>
      <c r="AI316" s="525" t="str">
        <f t="shared" si="79"/>
        <v/>
      </c>
      <c r="AJ316" s="522"/>
      <c r="AK316" s="522"/>
      <c r="AL316" s="526" t="str">
        <f t="shared" si="94"/>
        <v/>
      </c>
      <c r="AM316" s="526" t="str">
        <f t="shared" si="95"/>
        <v/>
      </c>
      <c r="AN316" s="526">
        <f t="shared" si="96"/>
        <v>0.28999999999999998</v>
      </c>
      <c r="AO316" s="526">
        <f t="shared" si="97"/>
        <v>-1.2378743560016174</v>
      </c>
    </row>
    <row r="317" spans="1:41" x14ac:dyDescent="0.25">
      <c r="A317" s="2">
        <v>5176376</v>
      </c>
      <c r="B317" s="522" t="s">
        <v>312</v>
      </c>
      <c r="C317" s="522">
        <v>2018</v>
      </c>
      <c r="D317" s="522" t="s">
        <v>297</v>
      </c>
      <c r="E317" s="522" t="s">
        <v>333</v>
      </c>
      <c r="F317" s="522" t="s">
        <v>299</v>
      </c>
      <c r="G317" s="522"/>
      <c r="H317" s="522" t="s">
        <v>353</v>
      </c>
      <c r="I317" s="522"/>
      <c r="J317" s="2" t="s">
        <v>301</v>
      </c>
      <c r="K317" s="522" t="str">
        <f t="shared" si="88"/>
        <v>8-hr TWA</v>
      </c>
      <c r="L317" s="522" t="s">
        <v>302</v>
      </c>
      <c r="M317" s="535">
        <v>40465</v>
      </c>
      <c r="N317" s="2">
        <v>480</v>
      </c>
      <c r="O317" s="2">
        <v>1</v>
      </c>
      <c r="P317" s="2"/>
      <c r="Q317" s="2"/>
      <c r="R317" s="2"/>
      <c r="S317" s="2"/>
      <c r="T317" s="2"/>
      <c r="U317" s="2"/>
      <c r="V317" s="2"/>
      <c r="W317" s="2">
        <v>6.6000000000000003E-2</v>
      </c>
      <c r="X317" s="524">
        <f t="shared" si="90"/>
        <v>4.6669047558312138E-2</v>
      </c>
      <c r="Y317" s="2" t="str">
        <f t="shared" si="91"/>
        <v/>
      </c>
      <c r="Z317" s="2"/>
      <c r="AA317" s="2"/>
      <c r="AB317" s="2"/>
      <c r="AC317" s="2"/>
      <c r="AD317" s="536">
        <f t="shared" si="89"/>
        <v>0.41521963190184052</v>
      </c>
      <c r="AE317" s="536">
        <f t="shared" si="92"/>
        <v>0.29360461739957355</v>
      </c>
      <c r="AF317" s="537" t="str">
        <f t="shared" si="93"/>
        <v/>
      </c>
      <c r="AG317" s="537" t="str">
        <f t="shared" si="77"/>
        <v/>
      </c>
      <c r="AH317" s="537" t="str">
        <f t="shared" si="78"/>
        <v/>
      </c>
      <c r="AI317" s="525" t="str">
        <f t="shared" si="79"/>
        <v/>
      </c>
      <c r="AJ317" s="522"/>
      <c r="AK317" s="522" t="s">
        <v>315</v>
      </c>
      <c r="AL317" s="526" t="str">
        <f t="shared" si="94"/>
        <v/>
      </c>
      <c r="AM317" s="526" t="str">
        <f t="shared" si="95"/>
        <v/>
      </c>
      <c r="AN317" s="526" t="str">
        <f t="shared" si="96"/>
        <v/>
      </c>
      <c r="AO317" s="526" t="str">
        <f t="shared" si="97"/>
        <v/>
      </c>
    </row>
    <row r="318" spans="1:41" x14ac:dyDescent="0.25">
      <c r="A318" s="2">
        <v>5176376</v>
      </c>
      <c r="B318" s="522" t="s">
        <v>312</v>
      </c>
      <c r="C318" s="522">
        <v>2018</v>
      </c>
      <c r="D318" s="522" t="s">
        <v>297</v>
      </c>
      <c r="E318" s="522" t="s">
        <v>333</v>
      </c>
      <c r="F318" s="522" t="s">
        <v>299</v>
      </c>
      <c r="G318" s="522"/>
      <c r="H318" s="522" t="s">
        <v>353</v>
      </c>
      <c r="I318" s="522"/>
      <c r="J318" s="2" t="s">
        <v>301</v>
      </c>
      <c r="K318" s="522" t="str">
        <f t="shared" si="88"/>
        <v>8-hr TWA</v>
      </c>
      <c r="L318" s="522" t="s">
        <v>302</v>
      </c>
      <c r="M318" s="535">
        <v>40471</v>
      </c>
      <c r="N318" s="2">
        <v>500</v>
      </c>
      <c r="O318" s="2">
        <v>1</v>
      </c>
      <c r="P318" s="2"/>
      <c r="Q318" s="2"/>
      <c r="R318" s="2"/>
      <c r="S318" s="2"/>
      <c r="T318" s="2"/>
      <c r="U318" s="2"/>
      <c r="V318" s="2"/>
      <c r="W318" s="2">
        <v>1.2</v>
      </c>
      <c r="X318" s="2">
        <f t="shared" si="90"/>
        <v>1.2</v>
      </c>
      <c r="Y318" s="2" t="str">
        <f t="shared" si="91"/>
        <v/>
      </c>
      <c r="Z318" s="2"/>
      <c r="AA318" s="2"/>
      <c r="AB318" s="2"/>
      <c r="AC318" s="2"/>
      <c r="AD318" s="537">
        <f t="shared" si="89"/>
        <v>7.5494478527607356</v>
      </c>
      <c r="AE318" s="537">
        <f t="shared" si="92"/>
        <v>7.5494478527607356</v>
      </c>
      <c r="AF318" s="537" t="str">
        <f t="shared" si="93"/>
        <v/>
      </c>
      <c r="AG318" s="537" t="str">
        <f t="shared" si="77"/>
        <v/>
      </c>
      <c r="AH318" s="537" t="str">
        <f t="shared" si="78"/>
        <v/>
      </c>
      <c r="AI318" s="525" t="str">
        <f t="shared" si="79"/>
        <v/>
      </c>
      <c r="AJ318" s="522"/>
      <c r="AK318" s="522"/>
      <c r="AL318" s="526">
        <f t="shared" si="94"/>
        <v>1.2</v>
      </c>
      <c r="AM318" s="526">
        <f t="shared" si="95"/>
        <v>0.18232155679395459</v>
      </c>
      <c r="AN318" s="526" t="str">
        <f t="shared" si="96"/>
        <v/>
      </c>
      <c r="AO318" s="526" t="str">
        <f t="shared" si="97"/>
        <v/>
      </c>
    </row>
    <row r="319" spans="1:41" x14ac:dyDescent="0.25">
      <c r="A319" s="2">
        <v>5176376</v>
      </c>
      <c r="B319" s="522" t="s">
        <v>312</v>
      </c>
      <c r="C319" s="522">
        <v>2018</v>
      </c>
      <c r="D319" s="522" t="s">
        <v>297</v>
      </c>
      <c r="E319" s="522" t="s">
        <v>333</v>
      </c>
      <c r="F319" s="522" t="s">
        <v>299</v>
      </c>
      <c r="G319" s="522"/>
      <c r="H319" s="522" t="s">
        <v>353</v>
      </c>
      <c r="I319" s="522"/>
      <c r="J319" s="2" t="s">
        <v>301</v>
      </c>
      <c r="K319" s="522" t="str">
        <f t="shared" si="88"/>
        <v>8-hr TWA</v>
      </c>
      <c r="L319" s="522" t="s">
        <v>302</v>
      </c>
      <c r="M319" s="535">
        <v>40513</v>
      </c>
      <c r="N319" s="2">
        <v>495</v>
      </c>
      <c r="O319" s="2">
        <v>1</v>
      </c>
      <c r="P319" s="2"/>
      <c r="Q319" s="2"/>
      <c r="R319" s="2"/>
      <c r="S319" s="2"/>
      <c r="T319" s="2"/>
      <c r="U319" s="2"/>
      <c r="V319" s="2"/>
      <c r="W319" s="2">
        <v>6.4000000000000001E-2</v>
      </c>
      <c r="X319" s="524">
        <f t="shared" si="90"/>
        <v>4.5254833995939041E-2</v>
      </c>
      <c r="Y319" s="2" t="str">
        <f t="shared" si="91"/>
        <v/>
      </c>
      <c r="Z319" s="2"/>
      <c r="AA319" s="2"/>
      <c r="AB319" s="2"/>
      <c r="AC319" s="2"/>
      <c r="AD319" s="536">
        <f t="shared" si="89"/>
        <v>0.40263721881390591</v>
      </c>
      <c r="AE319" s="536">
        <f t="shared" si="92"/>
        <v>0.28470750778140463</v>
      </c>
      <c r="AF319" s="537" t="str">
        <f t="shared" si="93"/>
        <v/>
      </c>
      <c r="AG319" s="537" t="str">
        <f t="shared" si="77"/>
        <v/>
      </c>
      <c r="AH319" s="537" t="str">
        <f t="shared" si="78"/>
        <v/>
      </c>
      <c r="AI319" s="525" t="str">
        <f t="shared" si="79"/>
        <v/>
      </c>
      <c r="AJ319" s="522"/>
      <c r="AK319" s="522" t="s">
        <v>315</v>
      </c>
      <c r="AL319" s="526" t="str">
        <f t="shared" si="94"/>
        <v/>
      </c>
      <c r="AM319" s="526" t="str">
        <f t="shared" si="95"/>
        <v/>
      </c>
      <c r="AN319" s="526" t="str">
        <f t="shared" si="96"/>
        <v/>
      </c>
      <c r="AO319" s="526" t="str">
        <f t="shared" si="97"/>
        <v/>
      </c>
    </row>
    <row r="320" spans="1:41" x14ac:dyDescent="0.25">
      <c r="A320" s="2">
        <v>5176376</v>
      </c>
      <c r="B320" s="522" t="s">
        <v>312</v>
      </c>
      <c r="C320" s="522">
        <v>2018</v>
      </c>
      <c r="D320" s="522" t="s">
        <v>297</v>
      </c>
      <c r="E320" s="522" t="s">
        <v>333</v>
      </c>
      <c r="F320" s="522" t="s">
        <v>299</v>
      </c>
      <c r="G320" s="522"/>
      <c r="H320" s="522" t="s">
        <v>353</v>
      </c>
      <c r="I320" s="522"/>
      <c r="J320" s="2" t="s">
        <v>301</v>
      </c>
      <c r="K320" s="522" t="str">
        <f t="shared" si="88"/>
        <v>8-hr TWA</v>
      </c>
      <c r="L320" s="522" t="s">
        <v>302</v>
      </c>
      <c r="M320" s="535">
        <v>40533</v>
      </c>
      <c r="N320" s="2">
        <v>420</v>
      </c>
      <c r="O320" s="2">
        <v>1</v>
      </c>
      <c r="P320" s="2"/>
      <c r="Q320" s="2"/>
      <c r="R320" s="2"/>
      <c r="S320" s="2"/>
      <c r="T320" s="2"/>
      <c r="U320" s="2"/>
      <c r="V320" s="2"/>
      <c r="W320" s="2">
        <v>1.9</v>
      </c>
      <c r="X320" s="539">
        <f t="shared" si="90"/>
        <v>1.6625000000000001</v>
      </c>
      <c r="Y320" s="2" t="str">
        <f t="shared" si="91"/>
        <v/>
      </c>
      <c r="Z320" s="2"/>
      <c r="AA320" s="2"/>
      <c r="AB320" s="2"/>
      <c r="AC320" s="2"/>
      <c r="AD320" s="540">
        <f t="shared" si="89"/>
        <v>11.953292433537833</v>
      </c>
      <c r="AE320" s="540">
        <f t="shared" si="92"/>
        <v>10.459130879345604</v>
      </c>
      <c r="AF320" s="537" t="str">
        <f t="shared" si="93"/>
        <v/>
      </c>
      <c r="AG320" s="537" t="str">
        <f t="shared" si="77"/>
        <v/>
      </c>
      <c r="AH320" s="537" t="str">
        <f t="shared" si="78"/>
        <v/>
      </c>
      <c r="AI320" s="525" t="str">
        <f t="shared" si="79"/>
        <v/>
      </c>
      <c r="AJ320" s="522"/>
      <c r="AK320" s="522"/>
      <c r="AL320" s="526">
        <f t="shared" si="94"/>
        <v>1.6625000000000001</v>
      </c>
      <c r="AM320" s="526">
        <f t="shared" si="95"/>
        <v>0.50832249354787218</v>
      </c>
      <c r="AN320" s="526" t="str">
        <f t="shared" si="96"/>
        <v/>
      </c>
      <c r="AO320" s="526" t="str">
        <f t="shared" si="97"/>
        <v/>
      </c>
    </row>
    <row r="321" spans="1:41" x14ac:dyDescent="0.25">
      <c r="A321" s="2">
        <v>5176376</v>
      </c>
      <c r="B321" s="522" t="s">
        <v>312</v>
      </c>
      <c r="C321" s="522">
        <v>2018</v>
      </c>
      <c r="D321" s="522" t="s">
        <v>297</v>
      </c>
      <c r="E321" s="522" t="s">
        <v>333</v>
      </c>
      <c r="F321" s="522" t="s">
        <v>299</v>
      </c>
      <c r="G321" s="522"/>
      <c r="H321" s="522" t="s">
        <v>354</v>
      </c>
      <c r="I321" s="522"/>
      <c r="J321" s="2" t="s">
        <v>301</v>
      </c>
      <c r="K321" s="522" t="str">
        <f t="shared" si="88"/>
        <v>12-hr TWA</v>
      </c>
      <c r="L321" s="522" t="s">
        <v>302</v>
      </c>
      <c r="M321" s="535">
        <v>40562</v>
      </c>
      <c r="N321" s="2">
        <v>635</v>
      </c>
      <c r="O321" s="2">
        <v>1</v>
      </c>
      <c r="P321" s="2"/>
      <c r="Q321" s="2"/>
      <c r="R321" s="2"/>
      <c r="S321" s="2"/>
      <c r="T321" s="2"/>
      <c r="U321" s="2"/>
      <c r="V321" s="2"/>
      <c r="W321" s="2">
        <v>0.17</v>
      </c>
      <c r="X321" s="2" t="str">
        <f t="shared" si="90"/>
        <v/>
      </c>
      <c r="Y321" s="444">
        <f t="shared" si="91"/>
        <v>0.14993055555555557</v>
      </c>
      <c r="Z321" s="2"/>
      <c r="AA321" s="2"/>
      <c r="AB321" s="2"/>
      <c r="AC321" s="2"/>
      <c r="AD321" s="537">
        <f t="shared" si="89"/>
        <v>1.0695051124744377</v>
      </c>
      <c r="AE321" s="536" t="str">
        <f t="shared" si="92"/>
        <v/>
      </c>
      <c r="AF321" s="536">
        <f t="shared" si="93"/>
        <v>0.94324409225176109</v>
      </c>
      <c r="AG321" s="537" t="str">
        <f t="shared" si="77"/>
        <v/>
      </c>
      <c r="AH321" s="537" t="str">
        <f t="shared" si="78"/>
        <v/>
      </c>
      <c r="AI321" s="525" t="str">
        <f t="shared" si="79"/>
        <v/>
      </c>
      <c r="AJ321" s="522"/>
      <c r="AK321" s="522"/>
      <c r="AL321" s="526" t="str">
        <f t="shared" si="94"/>
        <v/>
      </c>
      <c r="AM321" s="526" t="str">
        <f t="shared" si="95"/>
        <v/>
      </c>
      <c r="AN321" s="526">
        <f t="shared" si="96"/>
        <v>0.14993055555555557</v>
      </c>
      <c r="AO321" s="526">
        <f t="shared" si="97"/>
        <v>-1.8975830550492845</v>
      </c>
    </row>
    <row r="322" spans="1:41" x14ac:dyDescent="0.25">
      <c r="A322" s="2">
        <v>5176376</v>
      </c>
      <c r="B322" s="522" t="s">
        <v>312</v>
      </c>
      <c r="C322" s="522">
        <v>2018</v>
      </c>
      <c r="D322" s="522" t="s">
        <v>297</v>
      </c>
      <c r="E322" s="522" t="s">
        <v>333</v>
      </c>
      <c r="F322" s="522" t="s">
        <v>299</v>
      </c>
      <c r="G322" s="522"/>
      <c r="H322" s="522" t="s">
        <v>354</v>
      </c>
      <c r="I322" s="522"/>
      <c r="J322" s="2" t="s">
        <v>301</v>
      </c>
      <c r="K322" s="522" t="str">
        <f t="shared" si="88"/>
        <v>12-hr TWA</v>
      </c>
      <c r="L322" s="522" t="s">
        <v>302</v>
      </c>
      <c r="M322" s="535">
        <v>40563</v>
      </c>
      <c r="N322" s="2">
        <v>635</v>
      </c>
      <c r="O322" s="2">
        <v>1</v>
      </c>
      <c r="P322" s="2"/>
      <c r="Q322" s="2"/>
      <c r="R322" s="2"/>
      <c r="S322" s="2"/>
      <c r="T322" s="2"/>
      <c r="U322" s="2"/>
      <c r="V322" s="2"/>
      <c r="W322" s="2">
        <v>0.15</v>
      </c>
      <c r="X322" s="2" t="str">
        <f t="shared" si="90"/>
        <v/>
      </c>
      <c r="Y322" s="444">
        <f t="shared" si="91"/>
        <v>0.13229166666666667</v>
      </c>
      <c r="Z322" s="2"/>
      <c r="AA322" s="2"/>
      <c r="AB322" s="2"/>
      <c r="AC322" s="2"/>
      <c r="AD322" s="536">
        <f t="shared" si="89"/>
        <v>0.94368098159509195</v>
      </c>
      <c r="AE322" s="536" t="str">
        <f t="shared" si="92"/>
        <v/>
      </c>
      <c r="AF322" s="536">
        <f t="shared" si="93"/>
        <v>0.83227419904567146</v>
      </c>
      <c r="AG322" s="537" t="str">
        <f t="shared" si="77"/>
        <v/>
      </c>
      <c r="AH322" s="537" t="str">
        <f t="shared" si="78"/>
        <v/>
      </c>
      <c r="AI322" s="525" t="str">
        <f t="shared" si="79"/>
        <v/>
      </c>
      <c r="AJ322" s="522"/>
      <c r="AK322" s="522"/>
      <c r="AL322" s="526" t="str">
        <f t="shared" si="94"/>
        <v/>
      </c>
      <c r="AM322" s="526" t="str">
        <f t="shared" si="95"/>
        <v/>
      </c>
      <c r="AN322" s="526">
        <f t="shared" si="96"/>
        <v>0.13229166666666667</v>
      </c>
      <c r="AO322" s="526">
        <f t="shared" si="97"/>
        <v>-2.0227461980032908</v>
      </c>
    </row>
    <row r="323" spans="1:41" x14ac:dyDescent="0.25">
      <c r="A323" s="2">
        <v>5176376</v>
      </c>
      <c r="B323" s="522" t="s">
        <v>312</v>
      </c>
      <c r="C323" s="522">
        <v>2018</v>
      </c>
      <c r="D323" s="522" t="s">
        <v>297</v>
      </c>
      <c r="E323" s="522" t="s">
        <v>333</v>
      </c>
      <c r="F323" s="522" t="s">
        <v>299</v>
      </c>
      <c r="G323" s="522"/>
      <c r="H323" s="522" t="s">
        <v>353</v>
      </c>
      <c r="I323" s="522"/>
      <c r="J323" s="2" t="s">
        <v>301</v>
      </c>
      <c r="K323" s="522" t="str">
        <f t="shared" si="88"/>
        <v>8-hr TWA</v>
      </c>
      <c r="L323" s="522" t="s">
        <v>302</v>
      </c>
      <c r="M323" s="535">
        <v>40666</v>
      </c>
      <c r="N323" s="2">
        <v>485</v>
      </c>
      <c r="O323" s="2">
        <v>1</v>
      </c>
      <c r="P323" s="2"/>
      <c r="Q323" s="2"/>
      <c r="R323" s="2"/>
      <c r="S323" s="2"/>
      <c r="T323" s="2"/>
      <c r="U323" s="2"/>
      <c r="V323" s="2"/>
      <c r="W323" s="2">
        <v>6.5000000000000002E-2</v>
      </c>
      <c r="X323" s="524">
        <f t="shared" si="90"/>
        <v>4.5961940777125586E-2</v>
      </c>
      <c r="Y323" s="2" t="str">
        <f t="shared" si="91"/>
        <v/>
      </c>
      <c r="Z323" s="2"/>
      <c r="AA323" s="2"/>
      <c r="AB323" s="2"/>
      <c r="AC323" s="2"/>
      <c r="AD323" s="536">
        <f t="shared" si="89"/>
        <v>0.40892842535787322</v>
      </c>
      <c r="AE323" s="536">
        <f t="shared" si="92"/>
        <v>0.28915606259048904</v>
      </c>
      <c r="AF323" s="536" t="str">
        <f t="shared" si="93"/>
        <v/>
      </c>
      <c r="AG323" s="537" t="str">
        <f t="shared" si="77"/>
        <v/>
      </c>
      <c r="AH323" s="537" t="str">
        <f t="shared" si="78"/>
        <v/>
      </c>
      <c r="AI323" s="525" t="str">
        <f t="shared" si="79"/>
        <v/>
      </c>
      <c r="AJ323" s="522"/>
      <c r="AK323" s="522" t="s">
        <v>315</v>
      </c>
      <c r="AL323" s="526" t="str">
        <f t="shared" si="94"/>
        <v/>
      </c>
      <c r="AM323" s="526" t="str">
        <f t="shared" si="95"/>
        <v/>
      </c>
      <c r="AN323" s="526" t="str">
        <f t="shared" si="96"/>
        <v/>
      </c>
      <c r="AO323" s="526" t="str">
        <f t="shared" si="97"/>
        <v/>
      </c>
    </row>
    <row r="324" spans="1:41" x14ac:dyDescent="0.25">
      <c r="A324" s="2">
        <v>5176376</v>
      </c>
      <c r="B324" s="522" t="s">
        <v>312</v>
      </c>
      <c r="C324" s="522">
        <v>2018</v>
      </c>
      <c r="D324" s="522" t="s">
        <v>297</v>
      </c>
      <c r="E324" s="522" t="s">
        <v>333</v>
      </c>
      <c r="F324" s="522" t="s">
        <v>299</v>
      </c>
      <c r="G324" s="522"/>
      <c r="H324" s="522" t="s">
        <v>353</v>
      </c>
      <c r="I324" s="522"/>
      <c r="J324" s="2" t="s">
        <v>301</v>
      </c>
      <c r="K324" s="522" t="str">
        <f t="shared" si="88"/>
        <v>12-hr TWA</v>
      </c>
      <c r="L324" s="522" t="s">
        <v>302</v>
      </c>
      <c r="M324" s="535">
        <v>40666</v>
      </c>
      <c r="N324" s="2">
        <v>675</v>
      </c>
      <c r="O324" s="2">
        <v>1</v>
      </c>
      <c r="P324" s="2"/>
      <c r="Q324" s="2"/>
      <c r="R324" s="2"/>
      <c r="S324" s="2"/>
      <c r="T324" s="2"/>
      <c r="U324" s="2"/>
      <c r="V324" s="2"/>
      <c r="W324" s="2">
        <v>4.7E-2</v>
      </c>
      <c r="X324" s="2" t="str">
        <f t="shared" si="90"/>
        <v/>
      </c>
      <c r="Y324" s="524">
        <f t="shared" si="91"/>
        <v>2.2031250000000002E-2</v>
      </c>
      <c r="Z324" s="2"/>
      <c r="AA324" s="2"/>
      <c r="AB324" s="2"/>
      <c r="AC324" s="2"/>
      <c r="AD324" s="536">
        <f t="shared" si="89"/>
        <v>0.2956867075664622</v>
      </c>
      <c r="AE324" s="536" t="str">
        <f t="shared" si="92"/>
        <v/>
      </c>
      <c r="AF324" s="536">
        <f t="shared" si="93"/>
        <v>0.13860314417177916</v>
      </c>
      <c r="AG324" s="537" t="str">
        <f t="shared" si="77"/>
        <v/>
      </c>
      <c r="AH324" s="537" t="str">
        <f t="shared" si="78"/>
        <v/>
      </c>
      <c r="AI324" s="525" t="str">
        <f t="shared" si="79"/>
        <v/>
      </c>
      <c r="AJ324" s="522"/>
      <c r="AK324" s="522" t="s">
        <v>315</v>
      </c>
      <c r="AL324" s="526" t="str">
        <f t="shared" si="94"/>
        <v/>
      </c>
      <c r="AM324" s="526" t="str">
        <f t="shared" si="95"/>
        <v/>
      </c>
      <c r="AN324" s="526" t="str">
        <f t="shared" si="96"/>
        <v/>
      </c>
      <c r="AO324" s="526" t="str">
        <f t="shared" si="97"/>
        <v/>
      </c>
    </row>
    <row r="325" spans="1:41" x14ac:dyDescent="0.25">
      <c r="A325" s="2">
        <v>5176376</v>
      </c>
      <c r="B325" s="522" t="s">
        <v>312</v>
      </c>
      <c r="C325" s="522">
        <v>2018</v>
      </c>
      <c r="D325" s="522" t="s">
        <v>297</v>
      </c>
      <c r="E325" s="522" t="s">
        <v>333</v>
      </c>
      <c r="F325" s="522" t="s">
        <v>299</v>
      </c>
      <c r="G325" s="522"/>
      <c r="H325" s="522" t="s">
        <v>353</v>
      </c>
      <c r="I325" s="522"/>
      <c r="J325" s="2" t="s">
        <v>301</v>
      </c>
      <c r="K325" s="522" t="str">
        <f t="shared" si="88"/>
        <v>12-hr TWA</v>
      </c>
      <c r="L325" s="522" t="s">
        <v>302</v>
      </c>
      <c r="M325" s="535">
        <v>40668</v>
      </c>
      <c r="N325" s="2">
        <v>705</v>
      </c>
      <c r="O325" s="2">
        <v>1</v>
      </c>
      <c r="P325" s="2"/>
      <c r="Q325" s="2"/>
      <c r="R325" s="2"/>
      <c r="S325" s="2"/>
      <c r="T325" s="2"/>
      <c r="U325" s="2"/>
      <c r="V325" s="2"/>
      <c r="W325" s="2">
        <v>4.4999999999999998E-2</v>
      </c>
      <c r="X325" s="2" t="str">
        <f t="shared" si="90"/>
        <v/>
      </c>
      <c r="Y325" s="524">
        <f t="shared" si="91"/>
        <v>2.2031249999999999E-2</v>
      </c>
      <c r="Z325" s="2"/>
      <c r="AA325" s="2"/>
      <c r="AB325" s="2"/>
      <c r="AC325" s="2"/>
      <c r="AD325" s="536">
        <f t="shared" si="89"/>
        <v>0.28310429447852758</v>
      </c>
      <c r="AE325" s="536" t="str">
        <f t="shared" si="92"/>
        <v/>
      </c>
      <c r="AF325" s="536">
        <f t="shared" si="93"/>
        <v>0.13860314417177913</v>
      </c>
      <c r="AG325" s="537" t="str">
        <f t="shared" si="77"/>
        <v/>
      </c>
      <c r="AH325" s="537" t="str">
        <f t="shared" si="78"/>
        <v/>
      </c>
      <c r="AI325" s="525" t="str">
        <f t="shared" si="79"/>
        <v/>
      </c>
      <c r="AJ325" s="522"/>
      <c r="AK325" s="522" t="s">
        <v>315</v>
      </c>
      <c r="AL325" s="526" t="str">
        <f t="shared" si="94"/>
        <v/>
      </c>
      <c r="AM325" s="526" t="str">
        <f t="shared" si="95"/>
        <v/>
      </c>
      <c r="AN325" s="526" t="str">
        <f t="shared" si="96"/>
        <v/>
      </c>
      <c r="AO325" s="526" t="str">
        <f t="shared" si="97"/>
        <v/>
      </c>
    </row>
    <row r="326" spans="1:41" x14ac:dyDescent="0.25">
      <c r="A326" s="2">
        <v>5176376</v>
      </c>
      <c r="B326" s="522" t="s">
        <v>312</v>
      </c>
      <c r="C326" s="522">
        <v>2018</v>
      </c>
      <c r="D326" s="522" t="s">
        <v>297</v>
      </c>
      <c r="E326" s="522" t="s">
        <v>333</v>
      </c>
      <c r="F326" s="522" t="s">
        <v>299</v>
      </c>
      <c r="G326" s="522"/>
      <c r="H326" s="522" t="s">
        <v>353</v>
      </c>
      <c r="I326" s="522"/>
      <c r="J326" s="2" t="s">
        <v>301</v>
      </c>
      <c r="K326" s="522" t="str">
        <f t="shared" si="88"/>
        <v>8-hr TWA</v>
      </c>
      <c r="L326" s="522" t="s">
        <v>302</v>
      </c>
      <c r="M326" s="535">
        <v>40673</v>
      </c>
      <c r="N326" s="2">
        <v>450</v>
      </c>
      <c r="O326" s="2">
        <v>1</v>
      </c>
      <c r="P326" s="2"/>
      <c r="Q326" s="2"/>
      <c r="R326" s="2"/>
      <c r="S326" s="2"/>
      <c r="T326" s="2"/>
      <c r="U326" s="2"/>
      <c r="V326" s="2"/>
      <c r="W326" s="444">
        <v>0.2</v>
      </c>
      <c r="X326" s="444">
        <f t="shared" si="90"/>
        <v>0.1875</v>
      </c>
      <c r="Y326" s="2" t="str">
        <f t="shared" si="91"/>
        <v/>
      </c>
      <c r="Z326" s="2"/>
      <c r="AA326" s="2"/>
      <c r="AB326" s="2"/>
      <c r="AC326" s="2"/>
      <c r="AD326" s="537">
        <f t="shared" si="89"/>
        <v>1.2582413087934561</v>
      </c>
      <c r="AE326" s="537">
        <f t="shared" si="92"/>
        <v>1.1796012269938649</v>
      </c>
      <c r="AF326" s="537" t="str">
        <f t="shared" si="93"/>
        <v/>
      </c>
      <c r="AG326" s="537" t="str">
        <f t="shared" si="77"/>
        <v/>
      </c>
      <c r="AH326" s="537" t="str">
        <f t="shared" si="78"/>
        <v/>
      </c>
      <c r="AI326" s="525" t="str">
        <f t="shared" si="79"/>
        <v/>
      </c>
      <c r="AJ326" s="522"/>
      <c r="AK326" s="522"/>
      <c r="AL326" s="526">
        <f t="shared" si="94"/>
        <v>0.1875</v>
      </c>
      <c r="AM326" s="526">
        <f t="shared" si="95"/>
        <v>-1.6739764335716716</v>
      </c>
      <c r="AN326" s="526" t="str">
        <f t="shared" si="96"/>
        <v/>
      </c>
      <c r="AO326" s="526" t="str">
        <f t="shared" si="97"/>
        <v/>
      </c>
    </row>
    <row r="327" spans="1:41" x14ac:dyDescent="0.25">
      <c r="A327" s="2">
        <v>5176376</v>
      </c>
      <c r="B327" s="522" t="s">
        <v>312</v>
      </c>
      <c r="C327" s="522">
        <v>2018</v>
      </c>
      <c r="D327" s="522" t="s">
        <v>297</v>
      </c>
      <c r="E327" s="522" t="s">
        <v>333</v>
      </c>
      <c r="F327" s="522" t="s">
        <v>299</v>
      </c>
      <c r="G327" s="522"/>
      <c r="H327" s="522" t="s">
        <v>356</v>
      </c>
      <c r="I327" s="522"/>
      <c r="J327" s="2" t="s">
        <v>301</v>
      </c>
      <c r="K327" s="522" t="str">
        <f t="shared" si="88"/>
        <v>12-hr TWA</v>
      </c>
      <c r="L327" s="522" t="s">
        <v>302</v>
      </c>
      <c r="M327" s="535">
        <v>40738</v>
      </c>
      <c r="N327" s="2">
        <v>700</v>
      </c>
      <c r="O327" s="2">
        <v>1</v>
      </c>
      <c r="P327" s="2"/>
      <c r="Q327" s="2"/>
      <c r="R327" s="2"/>
      <c r="S327" s="2"/>
      <c r="T327" s="2"/>
      <c r="U327" s="2"/>
      <c r="V327" s="2"/>
      <c r="W327" s="2">
        <v>9.5000000000000001E-2</v>
      </c>
      <c r="X327" s="2" t="str">
        <f t="shared" si="90"/>
        <v/>
      </c>
      <c r="Y327" s="524">
        <f t="shared" si="91"/>
        <v>9.2361111111111116E-2</v>
      </c>
      <c r="Z327" s="2"/>
      <c r="AA327" s="2"/>
      <c r="AB327" s="2"/>
      <c r="AC327" s="2"/>
      <c r="AD327" s="536">
        <f t="shared" si="89"/>
        <v>0.59766462167689161</v>
      </c>
      <c r="AE327" s="537" t="str">
        <f t="shared" si="92"/>
        <v/>
      </c>
      <c r="AF327" s="537">
        <f t="shared" si="93"/>
        <v>0.58106282663031139</v>
      </c>
      <c r="AG327" s="537" t="str">
        <f t="shared" si="77"/>
        <v/>
      </c>
      <c r="AH327" s="537" t="str">
        <f t="shared" si="78"/>
        <v/>
      </c>
      <c r="AI327" s="525" t="str">
        <f t="shared" si="79"/>
        <v/>
      </c>
      <c r="AJ327" s="522"/>
      <c r="AK327" s="522"/>
      <c r="AL327" s="526" t="str">
        <f t="shared" si="94"/>
        <v/>
      </c>
      <c r="AM327" s="526" t="str">
        <f t="shared" si="95"/>
        <v/>
      </c>
      <c r="AN327" s="526">
        <f t="shared" si="96"/>
        <v>9.2361111111111116E-2</v>
      </c>
      <c r="AO327" s="526">
        <f t="shared" si="97"/>
        <v>-2.3820492643482924</v>
      </c>
    </row>
    <row r="328" spans="1:41" x14ac:dyDescent="0.25">
      <c r="A328" s="2">
        <v>5176376</v>
      </c>
      <c r="B328" s="522" t="s">
        <v>312</v>
      </c>
      <c r="C328" s="522">
        <v>2018</v>
      </c>
      <c r="D328" s="522" t="s">
        <v>297</v>
      </c>
      <c r="E328" s="522" t="s">
        <v>333</v>
      </c>
      <c r="F328" s="522" t="s">
        <v>299</v>
      </c>
      <c r="G328" s="522"/>
      <c r="H328" s="522" t="s">
        <v>355</v>
      </c>
      <c r="I328" s="522"/>
      <c r="J328" s="2" t="s">
        <v>301</v>
      </c>
      <c r="K328" s="522" t="str">
        <f t="shared" si="88"/>
        <v>12-hr TWA</v>
      </c>
      <c r="L328" s="522" t="s">
        <v>302</v>
      </c>
      <c r="M328" s="535">
        <v>40738</v>
      </c>
      <c r="N328" s="2">
        <v>690</v>
      </c>
      <c r="O328" s="2">
        <v>1</v>
      </c>
      <c r="P328" s="2"/>
      <c r="Q328" s="2"/>
      <c r="R328" s="2"/>
      <c r="S328" s="2"/>
      <c r="T328" s="2"/>
      <c r="U328" s="2"/>
      <c r="V328" s="2"/>
      <c r="W328" s="2">
        <v>0.71</v>
      </c>
      <c r="X328" s="2" t="str">
        <f t="shared" si="90"/>
        <v/>
      </c>
      <c r="Y328" s="444">
        <f t="shared" si="91"/>
        <v>0.68041666666666667</v>
      </c>
      <c r="Z328" s="2"/>
      <c r="AA328" s="2"/>
      <c r="AB328" s="2"/>
      <c r="AC328" s="2"/>
      <c r="AD328" s="537">
        <f t="shared" si="89"/>
        <v>4.4667566462167692</v>
      </c>
      <c r="AE328" s="537" t="str">
        <f t="shared" si="92"/>
        <v/>
      </c>
      <c r="AF328" s="537">
        <f t="shared" si="93"/>
        <v>4.2806417859577364</v>
      </c>
      <c r="AG328" s="537" t="str">
        <f t="shared" si="77"/>
        <v/>
      </c>
      <c r="AH328" s="537" t="str">
        <f t="shared" si="78"/>
        <v/>
      </c>
      <c r="AI328" s="525" t="str">
        <f t="shared" si="79"/>
        <v/>
      </c>
      <c r="AJ328" s="522"/>
      <c r="AK328" s="522"/>
      <c r="AL328" s="526" t="str">
        <f t="shared" si="94"/>
        <v/>
      </c>
      <c r="AM328" s="526" t="str">
        <f t="shared" si="95"/>
        <v/>
      </c>
      <c r="AN328" s="526">
        <f t="shared" si="96"/>
        <v>0.68041666666666667</v>
      </c>
      <c r="AO328" s="526">
        <f t="shared" si="97"/>
        <v>-0.38504992336557187</v>
      </c>
    </row>
    <row r="329" spans="1:41" x14ac:dyDescent="0.25">
      <c r="A329" s="2">
        <v>5176376</v>
      </c>
      <c r="B329" s="522" t="s">
        <v>312</v>
      </c>
      <c r="C329" s="522">
        <v>2018</v>
      </c>
      <c r="D329" s="522" t="s">
        <v>297</v>
      </c>
      <c r="E329" s="522" t="s">
        <v>333</v>
      </c>
      <c r="F329" s="522" t="s">
        <v>299</v>
      </c>
      <c r="G329" s="522"/>
      <c r="H329" s="522" t="s">
        <v>356</v>
      </c>
      <c r="I329" s="522"/>
      <c r="J329" s="2" t="s">
        <v>301</v>
      </c>
      <c r="K329" s="522" t="str">
        <f t="shared" si="88"/>
        <v>12-hr TWA</v>
      </c>
      <c r="L329" s="522" t="s">
        <v>302</v>
      </c>
      <c r="M329" s="535">
        <v>40743</v>
      </c>
      <c r="N329" s="2">
        <v>690</v>
      </c>
      <c r="O329" s="2">
        <v>1</v>
      </c>
      <c r="P329" s="2"/>
      <c r="Q329" s="2"/>
      <c r="R329" s="2"/>
      <c r="S329" s="2"/>
      <c r="T329" s="2"/>
      <c r="U329" s="2"/>
      <c r="V329" s="2"/>
      <c r="W329" s="2">
        <v>5.2999999999999999E-2</v>
      </c>
      <c r="X329" s="2" t="str">
        <f t="shared" si="90"/>
        <v/>
      </c>
      <c r="Y329" s="524">
        <f t="shared" si="91"/>
        <v>2.5395833333333333E-2</v>
      </c>
      <c r="Z329" s="2"/>
      <c r="AA329" s="2"/>
      <c r="AB329" s="2"/>
      <c r="AC329" s="2"/>
      <c r="AD329" s="536">
        <f t="shared" si="89"/>
        <v>0.33343394683026584</v>
      </c>
      <c r="AE329" s="537" t="str">
        <f t="shared" si="92"/>
        <v/>
      </c>
      <c r="AF329" s="536">
        <f t="shared" si="93"/>
        <v>0.15977043285616904</v>
      </c>
      <c r="AG329" s="537" t="str">
        <f t="shared" si="77"/>
        <v/>
      </c>
      <c r="AH329" s="537" t="str">
        <f t="shared" si="78"/>
        <v/>
      </c>
      <c r="AI329" s="525" t="str">
        <f t="shared" si="79"/>
        <v/>
      </c>
      <c r="AJ329" s="522"/>
      <c r="AK329" s="522" t="s">
        <v>315</v>
      </c>
      <c r="AL329" s="526" t="str">
        <f t="shared" si="94"/>
        <v/>
      </c>
      <c r="AM329" s="526" t="str">
        <f t="shared" si="95"/>
        <v/>
      </c>
      <c r="AN329" s="526" t="str">
        <f t="shared" si="96"/>
        <v/>
      </c>
      <c r="AO329" s="526" t="str">
        <f t="shared" si="97"/>
        <v/>
      </c>
    </row>
    <row r="330" spans="1:41" x14ac:dyDescent="0.25">
      <c r="A330" s="2">
        <v>5176376</v>
      </c>
      <c r="B330" s="522" t="s">
        <v>312</v>
      </c>
      <c r="C330" s="522">
        <v>2018</v>
      </c>
      <c r="D330" s="522" t="s">
        <v>297</v>
      </c>
      <c r="E330" s="522" t="s">
        <v>333</v>
      </c>
      <c r="F330" s="522" t="s">
        <v>299</v>
      </c>
      <c r="G330" s="522"/>
      <c r="H330" s="522" t="s">
        <v>355</v>
      </c>
      <c r="I330" s="522"/>
      <c r="J330" s="2" t="s">
        <v>301</v>
      </c>
      <c r="K330" s="522" t="str">
        <f t="shared" si="88"/>
        <v>12-hr TWA</v>
      </c>
      <c r="L330" s="522" t="s">
        <v>302</v>
      </c>
      <c r="M330" s="535">
        <v>40743</v>
      </c>
      <c r="N330" s="2">
        <v>690</v>
      </c>
      <c r="O330" s="2">
        <v>1</v>
      </c>
      <c r="P330" s="2"/>
      <c r="Q330" s="2"/>
      <c r="R330" s="2"/>
      <c r="S330" s="2"/>
      <c r="T330" s="2"/>
      <c r="U330" s="2"/>
      <c r="V330" s="2"/>
      <c r="W330" s="2">
        <v>4.5999999999999999E-2</v>
      </c>
      <c r="X330" s="2" t="str">
        <f t="shared" si="90"/>
        <v/>
      </c>
      <c r="Y330" s="524">
        <f t="shared" si="91"/>
        <v>2.2041666666666664E-2</v>
      </c>
      <c r="Z330" s="2"/>
      <c r="AA330" s="2"/>
      <c r="AB330" s="2"/>
      <c r="AC330" s="2"/>
      <c r="AD330" s="536">
        <f t="shared" si="89"/>
        <v>0.28939550102249489</v>
      </c>
      <c r="AE330" s="537" t="str">
        <f t="shared" si="92"/>
        <v/>
      </c>
      <c r="AF330" s="536">
        <f t="shared" si="93"/>
        <v>0.13866867757327878</v>
      </c>
      <c r="AG330" s="537" t="str">
        <f t="shared" si="77"/>
        <v/>
      </c>
      <c r="AH330" s="537" t="str">
        <f t="shared" si="78"/>
        <v/>
      </c>
      <c r="AI330" s="525" t="str">
        <f t="shared" si="79"/>
        <v/>
      </c>
      <c r="AJ330" s="522"/>
      <c r="AK330" s="522" t="s">
        <v>315</v>
      </c>
      <c r="AL330" s="526" t="str">
        <f t="shared" si="94"/>
        <v/>
      </c>
      <c r="AM330" s="526" t="str">
        <f t="shared" si="95"/>
        <v/>
      </c>
      <c r="AN330" s="526" t="str">
        <f t="shared" si="96"/>
        <v/>
      </c>
      <c r="AO330" s="526" t="str">
        <f t="shared" si="97"/>
        <v/>
      </c>
    </row>
    <row r="331" spans="1:41" x14ac:dyDescent="0.25">
      <c r="A331" s="2">
        <v>5176376</v>
      </c>
      <c r="B331" s="522" t="s">
        <v>312</v>
      </c>
      <c r="C331" s="522">
        <v>2018</v>
      </c>
      <c r="D331" s="522" t="s">
        <v>297</v>
      </c>
      <c r="E331" s="522" t="s">
        <v>333</v>
      </c>
      <c r="F331" s="522" t="s">
        <v>299</v>
      </c>
      <c r="G331" s="522"/>
      <c r="H331" s="522" t="s">
        <v>357</v>
      </c>
      <c r="I331" s="522"/>
      <c r="J331" s="2" t="s">
        <v>301</v>
      </c>
      <c r="K331" s="522" t="str">
        <f t="shared" si="88"/>
        <v>12-hr TWA</v>
      </c>
      <c r="L331" s="522" t="s">
        <v>302</v>
      </c>
      <c r="M331" s="535">
        <v>40743</v>
      </c>
      <c r="N331" s="2">
        <v>600</v>
      </c>
      <c r="O331" s="2">
        <v>1</v>
      </c>
      <c r="P331" s="2"/>
      <c r="Q331" s="2"/>
      <c r="R331" s="2"/>
      <c r="S331" s="2"/>
      <c r="T331" s="2"/>
      <c r="U331" s="2"/>
      <c r="V331" s="2"/>
      <c r="W331" s="2">
        <v>5.2999999999999999E-2</v>
      </c>
      <c r="X331" s="2" t="str">
        <f t="shared" si="90"/>
        <v/>
      </c>
      <c r="Y331" s="524">
        <f t="shared" si="91"/>
        <v>2.2083333333333333E-2</v>
      </c>
      <c r="Z331" s="2"/>
      <c r="AA331" s="2"/>
      <c r="AB331" s="2"/>
      <c r="AC331" s="2"/>
      <c r="AD331" s="536">
        <f t="shared" si="89"/>
        <v>0.33343394683026584</v>
      </c>
      <c r="AE331" s="537" t="str">
        <f t="shared" si="92"/>
        <v/>
      </c>
      <c r="AF331" s="536">
        <f t="shared" si="93"/>
        <v>0.13893081117927744</v>
      </c>
      <c r="AG331" s="537" t="str">
        <f t="shared" si="77"/>
        <v/>
      </c>
      <c r="AH331" s="537" t="str">
        <f t="shared" si="78"/>
        <v/>
      </c>
      <c r="AI331" s="525" t="str">
        <f t="shared" si="79"/>
        <v/>
      </c>
      <c r="AJ331" s="522"/>
      <c r="AK331" s="522" t="s">
        <v>315</v>
      </c>
      <c r="AL331" s="526" t="str">
        <f t="shared" si="94"/>
        <v/>
      </c>
      <c r="AM331" s="526" t="str">
        <f t="shared" si="95"/>
        <v/>
      </c>
      <c r="AN331" s="526" t="str">
        <f t="shared" si="96"/>
        <v/>
      </c>
      <c r="AO331" s="526" t="str">
        <f t="shared" si="97"/>
        <v/>
      </c>
    </row>
    <row r="332" spans="1:41" x14ac:dyDescent="0.25">
      <c r="A332" s="2">
        <v>5176376</v>
      </c>
      <c r="B332" s="522" t="s">
        <v>312</v>
      </c>
      <c r="C332" s="522">
        <v>2018</v>
      </c>
      <c r="D332" s="522" t="s">
        <v>297</v>
      </c>
      <c r="E332" s="522" t="s">
        <v>333</v>
      </c>
      <c r="F332" s="522" t="s">
        <v>299</v>
      </c>
      <c r="G332" s="522"/>
      <c r="H332" s="522" t="s">
        <v>357</v>
      </c>
      <c r="I332" s="522"/>
      <c r="J332" s="2" t="s">
        <v>301</v>
      </c>
      <c r="K332" s="522" t="str">
        <f t="shared" si="88"/>
        <v>12-hr TWA</v>
      </c>
      <c r="L332" s="522" t="s">
        <v>302</v>
      </c>
      <c r="M332" s="535">
        <v>40744</v>
      </c>
      <c r="N332" s="2">
        <v>600</v>
      </c>
      <c r="O332" s="2">
        <v>1</v>
      </c>
      <c r="P332" s="2"/>
      <c r="Q332" s="2"/>
      <c r="R332" s="2"/>
      <c r="S332" s="2"/>
      <c r="T332" s="2"/>
      <c r="U332" s="2"/>
      <c r="V332" s="2"/>
      <c r="W332" s="2">
        <v>0.22</v>
      </c>
      <c r="X332" s="2" t="str">
        <f t="shared" si="90"/>
        <v/>
      </c>
      <c r="Y332" s="444">
        <f t="shared" si="91"/>
        <v>0.18333333333333332</v>
      </c>
      <c r="Z332" s="2"/>
      <c r="AA332" s="2"/>
      <c r="AB332" s="2"/>
      <c r="AC332" s="2"/>
      <c r="AD332" s="537">
        <f t="shared" si="89"/>
        <v>1.3840654396728014</v>
      </c>
      <c r="AE332" s="537" t="str">
        <f t="shared" si="92"/>
        <v/>
      </c>
      <c r="AF332" s="537">
        <f t="shared" si="93"/>
        <v>1.1533878663940011</v>
      </c>
      <c r="AG332" s="537" t="str">
        <f t="shared" ref="AG332:AG384" si="98">IF($K332="8-hr TWA", IF(J332="ONU",W332*MolW/MolVol,""),"")</f>
        <v/>
      </c>
      <c r="AH332" s="537" t="str">
        <f t="shared" ref="AH332:AH384" si="99">IF($K332="12-hr TWA", IF(J332="ONU",W332*MolW/MolVol,""),"")</f>
        <v/>
      </c>
      <c r="AI332" s="525" t="str">
        <f t="shared" ref="AI332:AI384" si="100">IF($K332="8-hr TWA", IF(I332="Y",X332*MolW/MolVol,""),"")</f>
        <v/>
      </c>
      <c r="AJ332" s="522"/>
      <c r="AK332" s="522"/>
      <c r="AL332" s="526" t="str">
        <f t="shared" si="94"/>
        <v/>
      </c>
      <c r="AM332" s="526" t="str">
        <f t="shared" si="95"/>
        <v/>
      </c>
      <c r="AN332" s="526">
        <f t="shared" si="96"/>
        <v>0.18333333333333332</v>
      </c>
      <c r="AO332" s="526">
        <f t="shared" si="97"/>
        <v>-1.6964492894237302</v>
      </c>
    </row>
    <row r="333" spans="1:41" x14ac:dyDescent="0.25">
      <c r="A333" s="2">
        <v>5176376</v>
      </c>
      <c r="B333" s="522" t="s">
        <v>312</v>
      </c>
      <c r="C333" s="522">
        <v>2018</v>
      </c>
      <c r="D333" s="522" t="s">
        <v>297</v>
      </c>
      <c r="E333" s="522" t="s">
        <v>333</v>
      </c>
      <c r="F333" s="522" t="s">
        <v>299</v>
      </c>
      <c r="G333" s="522"/>
      <c r="H333" s="522" t="s">
        <v>357</v>
      </c>
      <c r="I333" s="522"/>
      <c r="J333" s="2" t="s">
        <v>301</v>
      </c>
      <c r="K333" s="522" t="str">
        <f t="shared" si="88"/>
        <v>12-hr TWA</v>
      </c>
      <c r="L333" s="522" t="s">
        <v>302</v>
      </c>
      <c r="M333" s="535">
        <v>40757</v>
      </c>
      <c r="N333" s="2">
        <v>590</v>
      </c>
      <c r="O333" s="2">
        <v>1</v>
      </c>
      <c r="P333" s="2"/>
      <c r="Q333" s="2"/>
      <c r="R333" s="2"/>
      <c r="S333" s="2"/>
      <c r="T333" s="2"/>
      <c r="U333" s="2"/>
      <c r="V333" s="2"/>
      <c r="W333" s="2">
        <v>0.19</v>
      </c>
      <c r="X333" s="2" t="str">
        <f t="shared" si="90"/>
        <v/>
      </c>
      <c r="Y333" s="444">
        <f t="shared" si="91"/>
        <v>0.15569444444444444</v>
      </c>
      <c r="Z333" s="2"/>
      <c r="AA333" s="2"/>
      <c r="AB333" s="2"/>
      <c r="AC333" s="2"/>
      <c r="AD333" s="537">
        <f t="shared" si="89"/>
        <v>1.1953292433537832</v>
      </c>
      <c r="AE333" s="537" t="str">
        <f t="shared" si="92"/>
        <v/>
      </c>
      <c r="AF333" s="537">
        <f t="shared" si="93"/>
        <v>0.97950590774823898</v>
      </c>
      <c r="AG333" s="537" t="str">
        <f t="shared" si="98"/>
        <v/>
      </c>
      <c r="AH333" s="537" t="str">
        <f t="shared" si="99"/>
        <v/>
      </c>
      <c r="AI333" s="525" t="str">
        <f t="shared" si="100"/>
        <v/>
      </c>
      <c r="AJ333" s="522"/>
      <c r="AK333" s="522"/>
      <c r="AL333" s="526" t="str">
        <f t="shared" si="94"/>
        <v/>
      </c>
      <c r="AM333" s="526" t="str">
        <f t="shared" si="95"/>
        <v/>
      </c>
      <c r="AN333" s="526">
        <f t="shared" si="96"/>
        <v>0.15569444444444444</v>
      </c>
      <c r="AO333" s="526">
        <f t="shared" si="97"/>
        <v>-1.8598598819319867</v>
      </c>
    </row>
    <row r="334" spans="1:41" x14ac:dyDescent="0.25">
      <c r="A334" s="2">
        <v>5176376</v>
      </c>
      <c r="B334" s="522" t="s">
        <v>312</v>
      </c>
      <c r="C334" s="522">
        <v>2018</v>
      </c>
      <c r="D334" s="522" t="s">
        <v>297</v>
      </c>
      <c r="E334" s="522" t="s">
        <v>333</v>
      </c>
      <c r="F334" s="522" t="s">
        <v>299</v>
      </c>
      <c r="G334" s="522"/>
      <c r="H334" s="522" t="s">
        <v>353</v>
      </c>
      <c r="I334" s="522"/>
      <c r="J334" s="2" t="s">
        <v>301</v>
      </c>
      <c r="K334" s="522" t="str">
        <f t="shared" si="88"/>
        <v>8-hr TWA</v>
      </c>
      <c r="L334" s="522" t="s">
        <v>302</v>
      </c>
      <c r="M334" s="535">
        <v>40877</v>
      </c>
      <c r="N334" s="2">
        <v>500</v>
      </c>
      <c r="O334" s="2">
        <v>1</v>
      </c>
      <c r="P334" s="2"/>
      <c r="Q334" s="2"/>
      <c r="R334" s="2"/>
      <c r="S334" s="2"/>
      <c r="T334" s="2"/>
      <c r="U334" s="2"/>
      <c r="V334" s="2"/>
      <c r="W334" s="2">
        <v>1.8</v>
      </c>
      <c r="X334" s="2">
        <f t="shared" si="90"/>
        <v>1.8</v>
      </c>
      <c r="Y334" s="2" t="str">
        <f t="shared" si="91"/>
        <v/>
      </c>
      <c r="Z334" s="2"/>
      <c r="AA334" s="2"/>
      <c r="AB334" s="2"/>
      <c r="AC334" s="2"/>
      <c r="AD334" s="540">
        <f t="shared" si="89"/>
        <v>11.324171779141103</v>
      </c>
      <c r="AE334" s="540">
        <f t="shared" si="92"/>
        <v>11.324171779141103</v>
      </c>
      <c r="AF334" s="537" t="str">
        <f t="shared" si="93"/>
        <v/>
      </c>
      <c r="AG334" s="537" t="str">
        <f t="shared" si="98"/>
        <v/>
      </c>
      <c r="AH334" s="537" t="str">
        <f t="shared" si="99"/>
        <v/>
      </c>
      <c r="AI334" s="525" t="str">
        <f t="shared" si="100"/>
        <v/>
      </c>
      <c r="AJ334" s="522"/>
      <c r="AK334" s="522"/>
      <c r="AL334" s="526">
        <f t="shared" si="94"/>
        <v>1.8</v>
      </c>
      <c r="AM334" s="526">
        <f t="shared" si="95"/>
        <v>0.58778666490211906</v>
      </c>
      <c r="AN334" s="526" t="str">
        <f t="shared" si="96"/>
        <v/>
      </c>
      <c r="AO334" s="526" t="str">
        <f t="shared" si="97"/>
        <v/>
      </c>
    </row>
    <row r="335" spans="1:41" x14ac:dyDescent="0.25">
      <c r="A335" s="2">
        <v>5176376</v>
      </c>
      <c r="B335" s="522" t="s">
        <v>312</v>
      </c>
      <c r="C335" s="522">
        <v>2018</v>
      </c>
      <c r="D335" s="522" t="s">
        <v>297</v>
      </c>
      <c r="E335" s="522" t="s">
        <v>333</v>
      </c>
      <c r="F335" s="522" t="s">
        <v>299</v>
      </c>
      <c r="G335" s="522"/>
      <c r="H335" s="522" t="s">
        <v>354</v>
      </c>
      <c r="I335" s="522"/>
      <c r="J335" s="2" t="s">
        <v>301</v>
      </c>
      <c r="K335" s="522" t="str">
        <f t="shared" si="88"/>
        <v>12-hr TWA</v>
      </c>
      <c r="L335" s="522" t="s">
        <v>302</v>
      </c>
      <c r="M335" s="535">
        <v>40996</v>
      </c>
      <c r="N335" s="2">
        <v>678</v>
      </c>
      <c r="O335" s="2">
        <v>1</v>
      </c>
      <c r="P335" s="2"/>
      <c r="Q335" s="2"/>
      <c r="R335" s="2"/>
      <c r="S335" s="2"/>
      <c r="T335" s="2"/>
      <c r="U335" s="2"/>
      <c r="V335" s="2"/>
      <c r="W335" s="2">
        <v>6.8000000000000005E-2</v>
      </c>
      <c r="X335" s="2" t="str">
        <f t="shared" si="90"/>
        <v/>
      </c>
      <c r="Y335" s="524">
        <f t="shared" si="91"/>
        <v>6.4033333333333345E-2</v>
      </c>
      <c r="Z335" s="2"/>
      <c r="AA335" s="2"/>
      <c r="AB335" s="2"/>
      <c r="AC335" s="2"/>
      <c r="AD335" s="536">
        <f t="shared" si="89"/>
        <v>0.42780204498977509</v>
      </c>
      <c r="AE335" s="537" t="str">
        <f t="shared" si="92"/>
        <v/>
      </c>
      <c r="AF335" s="536">
        <f t="shared" si="93"/>
        <v>0.40284692569870489</v>
      </c>
      <c r="AG335" s="537" t="str">
        <f t="shared" si="98"/>
        <v/>
      </c>
      <c r="AH335" s="537" t="str">
        <f t="shared" si="99"/>
        <v/>
      </c>
      <c r="AI335" s="525" t="str">
        <f t="shared" si="100"/>
        <v/>
      </c>
      <c r="AJ335" s="522"/>
      <c r="AK335" s="522"/>
      <c r="AL335" s="526" t="str">
        <f t="shared" si="94"/>
        <v/>
      </c>
      <c r="AM335" s="526" t="str">
        <f t="shared" si="95"/>
        <v/>
      </c>
      <c r="AN335" s="526">
        <f t="shared" si="96"/>
        <v>6.4033333333333345E-2</v>
      </c>
      <c r="AO335" s="526">
        <f t="shared" si="97"/>
        <v>-2.7483514978757357</v>
      </c>
    </row>
    <row r="336" spans="1:41" x14ac:dyDescent="0.25">
      <c r="A336" s="2">
        <v>5176376</v>
      </c>
      <c r="B336" s="522" t="s">
        <v>312</v>
      </c>
      <c r="C336" s="522">
        <v>2018</v>
      </c>
      <c r="D336" s="522" t="s">
        <v>297</v>
      </c>
      <c r="E336" s="522" t="s">
        <v>333</v>
      </c>
      <c r="F336" s="522" t="s">
        <v>299</v>
      </c>
      <c r="G336" s="522"/>
      <c r="H336" s="522" t="s">
        <v>354</v>
      </c>
      <c r="I336" s="522"/>
      <c r="J336" s="2" t="s">
        <v>301</v>
      </c>
      <c r="K336" s="522" t="str">
        <f t="shared" si="88"/>
        <v>12-hr TWA</v>
      </c>
      <c r="L336" s="522" t="s">
        <v>302</v>
      </c>
      <c r="M336" s="535">
        <v>40997</v>
      </c>
      <c r="N336" s="2">
        <v>630</v>
      </c>
      <c r="O336" s="2">
        <v>1</v>
      </c>
      <c r="P336" s="2"/>
      <c r="Q336" s="2"/>
      <c r="R336" s="2"/>
      <c r="S336" s="2"/>
      <c r="T336" s="2"/>
      <c r="U336" s="2"/>
      <c r="V336" s="2"/>
      <c r="W336" s="524">
        <v>0.05</v>
      </c>
      <c r="X336" s="2" t="str">
        <f t="shared" si="90"/>
        <v/>
      </c>
      <c r="Y336" s="524">
        <f t="shared" si="91"/>
        <v>2.1874999999999999E-2</v>
      </c>
      <c r="Z336" s="2"/>
      <c r="AA336" s="2"/>
      <c r="AB336" s="2"/>
      <c r="AC336" s="2"/>
      <c r="AD336" s="536">
        <f t="shared" si="89"/>
        <v>0.31456032719836402</v>
      </c>
      <c r="AE336" s="537" t="str">
        <f t="shared" si="92"/>
        <v/>
      </c>
      <c r="AF336" s="536">
        <f t="shared" si="93"/>
        <v>0.13762014314928425</v>
      </c>
      <c r="AG336" s="537" t="str">
        <f t="shared" si="98"/>
        <v/>
      </c>
      <c r="AH336" s="537" t="str">
        <f t="shared" si="99"/>
        <v/>
      </c>
      <c r="AI336" s="525" t="str">
        <f t="shared" si="100"/>
        <v/>
      </c>
      <c r="AJ336" s="522"/>
      <c r="AK336" s="522" t="s">
        <v>315</v>
      </c>
      <c r="AL336" s="526" t="str">
        <f t="shared" si="94"/>
        <v/>
      </c>
      <c r="AM336" s="526" t="str">
        <f t="shared" si="95"/>
        <v/>
      </c>
      <c r="AN336" s="526" t="str">
        <f t="shared" si="96"/>
        <v/>
      </c>
      <c r="AO336" s="526" t="str">
        <f t="shared" si="97"/>
        <v/>
      </c>
    </row>
    <row r="337" spans="1:41" x14ac:dyDescent="0.25">
      <c r="A337" s="2">
        <v>5176376</v>
      </c>
      <c r="B337" s="522" t="s">
        <v>312</v>
      </c>
      <c r="C337" s="522">
        <v>2018</v>
      </c>
      <c r="D337" s="522" t="s">
        <v>297</v>
      </c>
      <c r="E337" s="522" t="s">
        <v>333</v>
      </c>
      <c r="F337" s="522" t="s">
        <v>299</v>
      </c>
      <c r="G337" s="522"/>
      <c r="H337" s="522" t="s">
        <v>356</v>
      </c>
      <c r="I337" s="522"/>
      <c r="J337" s="2" t="s">
        <v>301</v>
      </c>
      <c r="K337" s="522" t="str">
        <f t="shared" si="88"/>
        <v>12-hr TWA</v>
      </c>
      <c r="L337" s="522" t="s">
        <v>302</v>
      </c>
      <c r="M337" s="535">
        <v>41009</v>
      </c>
      <c r="N337" s="2">
        <v>702</v>
      </c>
      <c r="O337" s="2">
        <v>1</v>
      </c>
      <c r="P337" s="2"/>
      <c r="Q337" s="2"/>
      <c r="R337" s="2"/>
      <c r="S337" s="2"/>
      <c r="T337" s="2"/>
      <c r="U337" s="2"/>
      <c r="V337" s="2"/>
      <c r="W337" s="2">
        <v>5.5E-2</v>
      </c>
      <c r="X337" s="2" t="str">
        <f t="shared" ref="X337:X368" si="101">IF($K337="8-hr TWA", IF($N337&lt;480,IF($AK337="ND",IF($AR$9&lt;3,($W337/SQRT(2))*$N337/480, ($W337/2)*$N337/480),$W337*$N337/480),IF($AK337="ND",IF($AR$9&lt;3,($W337/SQRT(2)), ($W337/2)),$W337)),"")</f>
        <v/>
      </c>
      <c r="Y337" s="524">
        <f t="shared" ref="Y337:Y368" si="102">IF($K337="12-hr TWA", IF($N337&lt;720,IF($AK337="ND",IF($AS$9&lt;3,($W337/SQRT(2))*$N337/720, ($W337/2)*$N337/720),$W337*$N337/720),IF($AK337="ND",IF($AS$9&lt;3,($W337/SQRT(2)), ($W337/2)),$W337)),"")</f>
        <v>5.3624999999999999E-2</v>
      </c>
      <c r="Z337" s="2"/>
      <c r="AA337" s="2"/>
      <c r="AB337" s="2"/>
      <c r="AC337" s="2"/>
      <c r="AD337" s="536">
        <f t="shared" si="89"/>
        <v>0.34601635991820034</v>
      </c>
      <c r="AE337" s="537" t="str">
        <f t="shared" ref="AE337:AE368" si="103">+IFERROR(X337*MolW/MolVol,"")</f>
        <v/>
      </c>
      <c r="AF337" s="536">
        <f t="shared" ref="AF337:AF368" si="104">+IFERROR(Y337*MolW/MolVol,"")</f>
        <v>0.33736595092024535</v>
      </c>
      <c r="AG337" s="537" t="str">
        <f t="shared" si="98"/>
        <v/>
      </c>
      <c r="AH337" s="537" t="str">
        <f t="shared" si="99"/>
        <v/>
      </c>
      <c r="AI337" s="525" t="str">
        <f t="shared" si="100"/>
        <v/>
      </c>
      <c r="AJ337" s="522"/>
      <c r="AK337" s="522"/>
      <c r="AL337" s="526" t="str">
        <f t="shared" ref="AL337:AL368" si="105">IF($K337="8-hr TWA", IF($AK337&lt;&gt;"ND", IF($N337&lt;480, $W337*$N337/480,$W337),""),"")</f>
        <v/>
      </c>
      <c r="AM337" s="526" t="str">
        <f t="shared" ref="AM337:AM368" si="106">+IFERROR(LN(AL337), "")</f>
        <v/>
      </c>
      <c r="AN337" s="526">
        <f t="shared" ref="AN337:AN368" si="107">IF($K337="12-hr TWA", IF($AK337&lt;&gt;"ND", IF($N337&lt;720, $W337*$N337/720,$W337),""),"")</f>
        <v>5.3624999999999999E-2</v>
      </c>
      <c r="AO337" s="526">
        <f t="shared" ref="AO337:AO368" si="108">+IFERROR(LN(AN337), "")</f>
        <v>-2.925739901733956</v>
      </c>
    </row>
    <row r="338" spans="1:41" x14ac:dyDescent="0.25">
      <c r="A338" s="2">
        <v>5176376</v>
      </c>
      <c r="B338" s="522" t="s">
        <v>312</v>
      </c>
      <c r="C338" s="522">
        <v>2018</v>
      </c>
      <c r="D338" s="522" t="s">
        <v>297</v>
      </c>
      <c r="E338" s="522" t="s">
        <v>333</v>
      </c>
      <c r="F338" s="522" t="s">
        <v>299</v>
      </c>
      <c r="G338" s="522"/>
      <c r="H338" s="522" t="s">
        <v>356</v>
      </c>
      <c r="I338" s="522"/>
      <c r="J338" s="2" t="s">
        <v>301</v>
      </c>
      <c r="K338" s="522" t="str">
        <f t="shared" si="88"/>
        <v>12-hr TWA</v>
      </c>
      <c r="L338" s="522" t="s">
        <v>302</v>
      </c>
      <c r="M338" s="535">
        <v>41009</v>
      </c>
      <c r="N338" s="2">
        <v>595</v>
      </c>
      <c r="O338" s="2">
        <v>1</v>
      </c>
      <c r="P338" s="2"/>
      <c r="Q338" s="2"/>
      <c r="R338" s="2"/>
      <c r="S338" s="2"/>
      <c r="T338" s="2"/>
      <c r="U338" s="2"/>
      <c r="V338" s="2"/>
      <c r="W338" s="2">
        <v>5.2999999999999999E-2</v>
      </c>
      <c r="X338" s="2" t="str">
        <f t="shared" si="101"/>
        <v/>
      </c>
      <c r="Y338" s="524">
        <f t="shared" si="102"/>
        <v>4.3798611111111115E-2</v>
      </c>
      <c r="Z338" s="2"/>
      <c r="AA338" s="2"/>
      <c r="AB338" s="2"/>
      <c r="AC338" s="2"/>
      <c r="AD338" s="536">
        <f t="shared" si="89"/>
        <v>0.33343394683026584</v>
      </c>
      <c r="AE338" s="537" t="str">
        <f t="shared" si="103"/>
        <v/>
      </c>
      <c r="AF338" s="536">
        <f t="shared" si="104"/>
        <v>0.27554610883890024</v>
      </c>
      <c r="AG338" s="537" t="str">
        <f t="shared" si="98"/>
        <v/>
      </c>
      <c r="AH338" s="537" t="str">
        <f t="shared" si="99"/>
        <v/>
      </c>
      <c r="AI338" s="525" t="str">
        <f t="shared" si="100"/>
        <v/>
      </c>
      <c r="AJ338" s="522"/>
      <c r="AK338" s="522"/>
      <c r="AL338" s="526" t="str">
        <f t="shared" si="105"/>
        <v/>
      </c>
      <c r="AM338" s="526" t="str">
        <f t="shared" si="106"/>
        <v/>
      </c>
      <c r="AN338" s="526">
        <f t="shared" si="107"/>
        <v>4.3798611111111115E-2</v>
      </c>
      <c r="AO338" s="526">
        <f t="shared" si="108"/>
        <v>-3.1281531718944864</v>
      </c>
    </row>
    <row r="339" spans="1:41" x14ac:dyDescent="0.25">
      <c r="A339" s="2">
        <v>5176376</v>
      </c>
      <c r="B339" s="522" t="s">
        <v>312</v>
      </c>
      <c r="C339" s="522">
        <v>2018</v>
      </c>
      <c r="D339" s="522" t="s">
        <v>297</v>
      </c>
      <c r="E339" s="522" t="s">
        <v>333</v>
      </c>
      <c r="F339" s="522" t="s">
        <v>299</v>
      </c>
      <c r="G339" s="522"/>
      <c r="H339" s="522" t="s">
        <v>355</v>
      </c>
      <c r="I339" s="522"/>
      <c r="J339" s="2" t="s">
        <v>301</v>
      </c>
      <c r="K339" s="522" t="str">
        <f t="shared" si="88"/>
        <v>12-hr TWA</v>
      </c>
      <c r="L339" s="522" t="s">
        <v>302</v>
      </c>
      <c r="M339" s="535">
        <v>41009</v>
      </c>
      <c r="N339" s="2">
        <v>700</v>
      </c>
      <c r="O339" s="2">
        <v>1</v>
      </c>
      <c r="P339" s="2"/>
      <c r="Q339" s="2"/>
      <c r="R339" s="2"/>
      <c r="S339" s="2"/>
      <c r="T339" s="2"/>
      <c r="U339" s="2"/>
      <c r="V339" s="2"/>
      <c r="W339" s="2">
        <v>0.14000000000000001</v>
      </c>
      <c r="X339" s="2" t="str">
        <f t="shared" si="101"/>
        <v/>
      </c>
      <c r="Y339" s="444">
        <f t="shared" si="102"/>
        <v>0.13611111111111113</v>
      </c>
      <c r="Z339" s="2"/>
      <c r="AA339" s="2"/>
      <c r="AB339" s="2"/>
      <c r="AC339" s="2"/>
      <c r="AD339" s="536">
        <f t="shared" si="89"/>
        <v>0.8807689161554193</v>
      </c>
      <c r="AE339" s="537" t="str">
        <f t="shared" si="103"/>
        <v/>
      </c>
      <c r="AF339" s="536">
        <f t="shared" si="104"/>
        <v>0.85630311292887984</v>
      </c>
      <c r="AG339" s="537" t="str">
        <f t="shared" si="98"/>
        <v/>
      </c>
      <c r="AH339" s="537" t="str">
        <f t="shared" si="99"/>
        <v/>
      </c>
      <c r="AI339" s="525" t="str">
        <f t="shared" si="100"/>
        <v/>
      </c>
      <c r="AJ339" s="522"/>
      <c r="AK339" s="522"/>
      <c r="AL339" s="526" t="str">
        <f t="shared" si="105"/>
        <v/>
      </c>
      <c r="AM339" s="526" t="str">
        <f t="shared" si="106"/>
        <v/>
      </c>
      <c r="AN339" s="526">
        <f t="shared" si="107"/>
        <v>0.13611111111111113</v>
      </c>
      <c r="AO339" s="526">
        <f t="shared" si="108"/>
        <v>-1.9942837333395289</v>
      </c>
    </row>
    <row r="340" spans="1:41" x14ac:dyDescent="0.25">
      <c r="A340" s="2">
        <v>5176376</v>
      </c>
      <c r="B340" s="522" t="s">
        <v>312</v>
      </c>
      <c r="C340" s="522">
        <v>2018</v>
      </c>
      <c r="D340" s="522" t="s">
        <v>297</v>
      </c>
      <c r="E340" s="522" t="s">
        <v>333</v>
      </c>
      <c r="F340" s="522" t="s">
        <v>299</v>
      </c>
      <c r="G340" s="522"/>
      <c r="H340" s="522" t="s">
        <v>356</v>
      </c>
      <c r="I340" s="522"/>
      <c r="J340" s="2" t="s">
        <v>301</v>
      </c>
      <c r="K340" s="522" t="str">
        <f t="shared" ref="K340:K384" si="109">+IF(N340&lt;=540, "8-hr TWA", IF(N340&gt;540, "12-hr TWA", "Error"))</f>
        <v>12-hr TWA</v>
      </c>
      <c r="L340" s="522" t="s">
        <v>302</v>
      </c>
      <c r="M340" s="535">
        <v>41010</v>
      </c>
      <c r="N340" s="2">
        <v>580</v>
      </c>
      <c r="O340" s="2">
        <v>1</v>
      </c>
      <c r="P340" s="2"/>
      <c r="Q340" s="2"/>
      <c r="R340" s="2"/>
      <c r="S340" s="2"/>
      <c r="T340" s="2"/>
      <c r="U340" s="2"/>
      <c r="V340" s="2"/>
      <c r="W340" s="2">
        <v>5.3999999999999999E-2</v>
      </c>
      <c r="X340" s="2" t="str">
        <f t="shared" si="101"/>
        <v/>
      </c>
      <c r="Y340" s="524">
        <f t="shared" si="102"/>
        <v>2.1749999999999999E-2</v>
      </c>
      <c r="Z340" s="2"/>
      <c r="AA340" s="2"/>
      <c r="AB340" s="2"/>
      <c r="AC340" s="2"/>
      <c r="AD340" s="536">
        <f t="shared" si="89"/>
        <v>0.33972515337423309</v>
      </c>
      <c r="AE340" s="537" t="str">
        <f t="shared" si="103"/>
        <v/>
      </c>
      <c r="AF340" s="536">
        <f t="shared" si="104"/>
        <v>0.13683374233128834</v>
      </c>
      <c r="AG340" s="537" t="str">
        <f t="shared" si="98"/>
        <v/>
      </c>
      <c r="AH340" s="537" t="str">
        <f t="shared" si="99"/>
        <v/>
      </c>
      <c r="AI340" s="525" t="str">
        <f t="shared" si="100"/>
        <v/>
      </c>
      <c r="AJ340" s="522"/>
      <c r="AK340" s="522" t="s">
        <v>315</v>
      </c>
      <c r="AL340" s="526" t="str">
        <f t="shared" si="105"/>
        <v/>
      </c>
      <c r="AM340" s="526" t="str">
        <f t="shared" si="106"/>
        <v/>
      </c>
      <c r="AN340" s="526" t="str">
        <f t="shared" si="107"/>
        <v/>
      </c>
      <c r="AO340" s="526" t="str">
        <f t="shared" si="108"/>
        <v/>
      </c>
    </row>
    <row r="341" spans="1:41" x14ac:dyDescent="0.25">
      <c r="A341" s="2">
        <v>5176376</v>
      </c>
      <c r="B341" s="522" t="s">
        <v>312</v>
      </c>
      <c r="C341" s="522">
        <v>2018</v>
      </c>
      <c r="D341" s="522" t="s">
        <v>297</v>
      </c>
      <c r="E341" s="522" t="s">
        <v>333</v>
      </c>
      <c r="F341" s="522" t="s">
        <v>299</v>
      </c>
      <c r="G341" s="522"/>
      <c r="H341" s="522" t="s">
        <v>356</v>
      </c>
      <c r="I341" s="522"/>
      <c r="J341" s="2" t="s">
        <v>301</v>
      </c>
      <c r="K341" s="522" t="str">
        <f t="shared" si="109"/>
        <v>12-hr TWA</v>
      </c>
      <c r="L341" s="522" t="s">
        <v>302</v>
      </c>
      <c r="M341" s="535">
        <v>41010</v>
      </c>
      <c r="N341" s="2">
        <v>586</v>
      </c>
      <c r="O341" s="2">
        <v>1</v>
      </c>
      <c r="P341" s="2"/>
      <c r="Q341" s="2"/>
      <c r="R341" s="2"/>
      <c r="S341" s="2"/>
      <c r="T341" s="2"/>
      <c r="U341" s="2"/>
      <c r="V341" s="2"/>
      <c r="W341" s="2">
        <v>5.3999999999999999E-2</v>
      </c>
      <c r="X341" s="2" t="str">
        <f t="shared" si="101"/>
        <v/>
      </c>
      <c r="Y341" s="524">
        <f t="shared" si="102"/>
        <v>2.1974999999999998E-2</v>
      </c>
      <c r="Z341" s="2"/>
      <c r="AA341" s="2"/>
      <c r="AB341" s="2"/>
      <c r="AC341" s="2"/>
      <c r="AD341" s="536">
        <f t="shared" si="89"/>
        <v>0.33972515337423309</v>
      </c>
      <c r="AE341" s="537" t="str">
        <f t="shared" si="103"/>
        <v/>
      </c>
      <c r="AF341" s="536">
        <f t="shared" si="104"/>
        <v>0.13824926380368097</v>
      </c>
      <c r="AG341" s="537" t="str">
        <f t="shared" si="98"/>
        <v/>
      </c>
      <c r="AH341" s="537" t="str">
        <f t="shared" si="99"/>
        <v/>
      </c>
      <c r="AI341" s="525" t="str">
        <f t="shared" si="100"/>
        <v/>
      </c>
      <c r="AJ341" s="522"/>
      <c r="AK341" s="522" t="s">
        <v>315</v>
      </c>
      <c r="AL341" s="526" t="str">
        <f t="shared" si="105"/>
        <v/>
      </c>
      <c r="AM341" s="526" t="str">
        <f t="shared" si="106"/>
        <v/>
      </c>
      <c r="AN341" s="526" t="str">
        <f t="shared" si="107"/>
        <v/>
      </c>
      <c r="AO341" s="526" t="str">
        <f t="shared" si="108"/>
        <v/>
      </c>
    </row>
    <row r="342" spans="1:41" x14ac:dyDescent="0.25">
      <c r="A342" s="2">
        <v>5176376</v>
      </c>
      <c r="B342" s="522" t="s">
        <v>312</v>
      </c>
      <c r="C342" s="522">
        <v>2018</v>
      </c>
      <c r="D342" s="522" t="s">
        <v>297</v>
      </c>
      <c r="E342" s="522" t="s">
        <v>333</v>
      </c>
      <c r="F342" s="522" t="s">
        <v>299</v>
      </c>
      <c r="G342" s="522"/>
      <c r="H342" s="522" t="s">
        <v>355</v>
      </c>
      <c r="I342" s="522"/>
      <c r="J342" s="2" t="s">
        <v>301</v>
      </c>
      <c r="K342" s="522" t="str">
        <f t="shared" si="109"/>
        <v>12-hr TWA</v>
      </c>
      <c r="L342" s="522" t="s">
        <v>302</v>
      </c>
      <c r="M342" s="535">
        <v>41010</v>
      </c>
      <c r="N342" s="2">
        <v>582</v>
      </c>
      <c r="O342" s="2">
        <v>1</v>
      </c>
      <c r="P342" s="2"/>
      <c r="Q342" s="2"/>
      <c r="R342" s="2"/>
      <c r="S342" s="2"/>
      <c r="T342" s="2"/>
      <c r="U342" s="2"/>
      <c r="V342" s="2"/>
      <c r="W342" s="2">
        <v>5.3999999999999999E-2</v>
      </c>
      <c r="X342" s="2" t="str">
        <f t="shared" si="101"/>
        <v/>
      </c>
      <c r="Y342" s="524">
        <f t="shared" si="102"/>
        <v>2.1825000000000001E-2</v>
      </c>
      <c r="Z342" s="2"/>
      <c r="AA342" s="2"/>
      <c r="AB342" s="2"/>
      <c r="AC342" s="2"/>
      <c r="AD342" s="536">
        <f t="shared" ref="AD342:AD384" si="110">+W342*MolW/MolVol</f>
        <v>0.33972515337423309</v>
      </c>
      <c r="AE342" s="537" t="str">
        <f t="shared" si="103"/>
        <v/>
      </c>
      <c r="AF342" s="536">
        <f t="shared" si="104"/>
        <v>0.13730558282208588</v>
      </c>
      <c r="AG342" s="537" t="str">
        <f t="shared" si="98"/>
        <v/>
      </c>
      <c r="AH342" s="537" t="str">
        <f t="shared" si="99"/>
        <v/>
      </c>
      <c r="AI342" s="525" t="str">
        <f t="shared" si="100"/>
        <v/>
      </c>
      <c r="AJ342" s="522"/>
      <c r="AK342" s="522" t="s">
        <v>315</v>
      </c>
      <c r="AL342" s="526" t="str">
        <f t="shared" si="105"/>
        <v/>
      </c>
      <c r="AM342" s="526" t="str">
        <f t="shared" si="106"/>
        <v/>
      </c>
      <c r="AN342" s="526" t="str">
        <f t="shared" si="107"/>
        <v/>
      </c>
      <c r="AO342" s="526" t="str">
        <f t="shared" si="108"/>
        <v/>
      </c>
    </row>
    <row r="343" spans="1:41" x14ac:dyDescent="0.25">
      <c r="A343" s="2">
        <v>5176376</v>
      </c>
      <c r="B343" s="522" t="s">
        <v>312</v>
      </c>
      <c r="C343" s="522">
        <v>2018</v>
      </c>
      <c r="D343" s="522" t="s">
        <v>297</v>
      </c>
      <c r="E343" s="522" t="s">
        <v>333</v>
      </c>
      <c r="F343" s="522" t="s">
        <v>299</v>
      </c>
      <c r="G343" s="522"/>
      <c r="H343" s="522" t="s">
        <v>353</v>
      </c>
      <c r="I343" s="522"/>
      <c r="J343" s="2" t="s">
        <v>301</v>
      </c>
      <c r="K343" s="522" t="str">
        <f t="shared" si="109"/>
        <v>8-hr TWA</v>
      </c>
      <c r="L343" s="522" t="s">
        <v>302</v>
      </c>
      <c r="M343" s="535">
        <v>41001</v>
      </c>
      <c r="N343" s="2">
        <v>435</v>
      </c>
      <c r="O343" s="2">
        <v>1</v>
      </c>
      <c r="P343" s="2"/>
      <c r="Q343" s="2"/>
      <c r="R343" s="2"/>
      <c r="S343" s="2"/>
      <c r="T343" s="2"/>
      <c r="U343" s="2"/>
      <c r="V343" s="2"/>
      <c r="W343" s="2">
        <v>0.22</v>
      </c>
      <c r="X343" s="444">
        <f t="shared" si="101"/>
        <v>0.199375</v>
      </c>
      <c r="Y343" s="2" t="str">
        <f t="shared" si="102"/>
        <v/>
      </c>
      <c r="Z343" s="2"/>
      <c r="AA343" s="2"/>
      <c r="AB343" s="2"/>
      <c r="AC343" s="2"/>
      <c r="AD343" s="537">
        <f t="shared" si="110"/>
        <v>1.3840654396728014</v>
      </c>
      <c r="AE343" s="537">
        <f t="shared" si="103"/>
        <v>1.2543093047034763</v>
      </c>
      <c r="AF343" s="537" t="str">
        <f t="shared" si="104"/>
        <v/>
      </c>
      <c r="AG343" s="537" t="str">
        <f t="shared" si="98"/>
        <v/>
      </c>
      <c r="AH343" s="537" t="str">
        <f t="shared" si="99"/>
        <v/>
      </c>
      <c r="AI343" s="525" t="str">
        <f t="shared" si="100"/>
        <v/>
      </c>
      <c r="AJ343" s="522"/>
      <c r="AK343" s="522"/>
      <c r="AL343" s="526">
        <f t="shared" si="105"/>
        <v>0.199375</v>
      </c>
      <c r="AM343" s="526">
        <f t="shared" si="106"/>
        <v>-1.6125678054430281</v>
      </c>
      <c r="AN343" s="526" t="str">
        <f t="shared" si="107"/>
        <v/>
      </c>
      <c r="AO343" s="526" t="str">
        <f t="shared" si="108"/>
        <v/>
      </c>
    </row>
    <row r="344" spans="1:41" x14ac:dyDescent="0.25">
      <c r="A344" s="2">
        <v>5176376</v>
      </c>
      <c r="B344" s="522" t="s">
        <v>312</v>
      </c>
      <c r="C344" s="522">
        <v>2018</v>
      </c>
      <c r="D344" s="522" t="s">
        <v>297</v>
      </c>
      <c r="E344" s="522" t="s">
        <v>333</v>
      </c>
      <c r="F344" s="522" t="s">
        <v>299</v>
      </c>
      <c r="G344" s="522"/>
      <c r="H344" s="522" t="s">
        <v>353</v>
      </c>
      <c r="I344" s="522"/>
      <c r="J344" s="2" t="s">
        <v>301</v>
      </c>
      <c r="K344" s="522" t="str">
        <f t="shared" si="109"/>
        <v>8-hr TWA</v>
      </c>
      <c r="L344" s="522" t="s">
        <v>302</v>
      </c>
      <c r="M344" s="535">
        <v>41002</v>
      </c>
      <c r="N344" s="2">
        <v>425</v>
      </c>
      <c r="O344" s="2">
        <v>1</v>
      </c>
      <c r="P344" s="2"/>
      <c r="Q344" s="2"/>
      <c r="R344" s="2"/>
      <c r="S344" s="2"/>
      <c r="T344" s="2"/>
      <c r="U344" s="2"/>
      <c r="V344" s="2"/>
      <c r="W344" s="2">
        <v>7.3999999999999996E-2</v>
      </c>
      <c r="X344" s="524">
        <f t="shared" si="101"/>
        <v>4.6330225558993576E-2</v>
      </c>
      <c r="Y344" s="2" t="str">
        <f t="shared" si="102"/>
        <v/>
      </c>
      <c r="Z344" s="2"/>
      <c r="AA344" s="2"/>
      <c r="AB344" s="2"/>
      <c r="AC344" s="2"/>
      <c r="AD344" s="536">
        <f t="shared" si="110"/>
        <v>0.46554928425357872</v>
      </c>
      <c r="AE344" s="536">
        <f t="shared" si="103"/>
        <v>0.29147301822022054</v>
      </c>
      <c r="AF344" s="537" t="str">
        <f t="shared" si="104"/>
        <v/>
      </c>
      <c r="AG344" s="537" t="str">
        <f t="shared" si="98"/>
        <v/>
      </c>
      <c r="AH344" s="537" t="str">
        <f t="shared" si="99"/>
        <v/>
      </c>
      <c r="AI344" s="525" t="str">
        <f t="shared" si="100"/>
        <v/>
      </c>
      <c r="AJ344" s="522"/>
      <c r="AK344" s="522" t="s">
        <v>315</v>
      </c>
      <c r="AL344" s="526" t="str">
        <f t="shared" si="105"/>
        <v/>
      </c>
      <c r="AM344" s="526" t="str">
        <f t="shared" si="106"/>
        <v/>
      </c>
      <c r="AN344" s="526" t="str">
        <f t="shared" si="107"/>
        <v/>
      </c>
      <c r="AO344" s="526" t="str">
        <f t="shared" si="108"/>
        <v/>
      </c>
    </row>
    <row r="345" spans="1:41" x14ac:dyDescent="0.25">
      <c r="A345" s="2">
        <v>5176376</v>
      </c>
      <c r="B345" s="522" t="s">
        <v>312</v>
      </c>
      <c r="C345" s="522">
        <v>2018</v>
      </c>
      <c r="D345" s="522" t="s">
        <v>297</v>
      </c>
      <c r="E345" s="522" t="s">
        <v>333</v>
      </c>
      <c r="F345" s="522" t="s">
        <v>299</v>
      </c>
      <c r="G345" s="522"/>
      <c r="H345" s="522" t="s">
        <v>357</v>
      </c>
      <c r="I345" s="522"/>
      <c r="J345" s="2" t="s">
        <v>301</v>
      </c>
      <c r="K345" s="522" t="str">
        <f t="shared" si="109"/>
        <v>8-hr TWA</v>
      </c>
      <c r="L345" s="522" t="s">
        <v>302</v>
      </c>
      <c r="M345" s="535">
        <v>41009</v>
      </c>
      <c r="N345" s="2">
        <v>472</v>
      </c>
      <c r="O345" s="2">
        <v>1</v>
      </c>
      <c r="P345" s="2"/>
      <c r="Q345" s="2"/>
      <c r="R345" s="2"/>
      <c r="S345" s="2"/>
      <c r="T345" s="2"/>
      <c r="U345" s="2"/>
      <c r="V345" s="2"/>
      <c r="W345" s="2">
        <v>8.5999999999999993E-2</v>
      </c>
      <c r="X345" s="524">
        <f t="shared" si="101"/>
        <v>8.4566666666666665E-2</v>
      </c>
      <c r="Y345" s="2" t="str">
        <f t="shared" si="102"/>
        <v/>
      </c>
      <c r="Z345" s="2"/>
      <c r="AA345" s="2"/>
      <c r="AB345" s="2"/>
      <c r="AC345" s="2"/>
      <c r="AD345" s="536">
        <f t="shared" si="110"/>
        <v>0.54104376278118604</v>
      </c>
      <c r="AE345" s="536">
        <f t="shared" si="103"/>
        <v>0.53202636673483306</v>
      </c>
      <c r="AF345" s="537" t="str">
        <f t="shared" si="104"/>
        <v/>
      </c>
      <c r="AG345" s="537" t="str">
        <f t="shared" si="98"/>
        <v/>
      </c>
      <c r="AH345" s="537" t="str">
        <f t="shared" si="99"/>
        <v/>
      </c>
      <c r="AI345" s="525" t="str">
        <f t="shared" si="100"/>
        <v/>
      </c>
      <c r="AJ345" s="522"/>
      <c r="AK345" s="522"/>
      <c r="AL345" s="526">
        <f t="shared" si="105"/>
        <v>8.4566666666666665E-2</v>
      </c>
      <c r="AM345" s="526">
        <f t="shared" si="106"/>
        <v>-2.4702151010450106</v>
      </c>
      <c r="AN345" s="526" t="str">
        <f t="shared" si="107"/>
        <v/>
      </c>
      <c r="AO345" s="526" t="str">
        <f t="shared" si="108"/>
        <v/>
      </c>
    </row>
    <row r="346" spans="1:41" x14ac:dyDescent="0.25">
      <c r="A346" s="2">
        <v>5176376</v>
      </c>
      <c r="B346" s="522" t="s">
        <v>312</v>
      </c>
      <c r="C346" s="522">
        <v>2018</v>
      </c>
      <c r="D346" s="522" t="s">
        <v>297</v>
      </c>
      <c r="E346" s="522" t="s">
        <v>333</v>
      </c>
      <c r="F346" s="522" t="s">
        <v>299</v>
      </c>
      <c r="G346" s="522"/>
      <c r="H346" s="522" t="s">
        <v>357</v>
      </c>
      <c r="I346" s="522"/>
      <c r="J346" s="2" t="s">
        <v>301</v>
      </c>
      <c r="K346" s="522" t="str">
        <f t="shared" si="109"/>
        <v>8-hr TWA</v>
      </c>
      <c r="L346" s="522" t="s">
        <v>302</v>
      </c>
      <c r="M346" s="535">
        <v>41010</v>
      </c>
      <c r="N346" s="2">
        <v>455</v>
      </c>
      <c r="O346" s="2">
        <v>1</v>
      </c>
      <c r="P346" s="2"/>
      <c r="Q346" s="2"/>
      <c r="R346" s="2"/>
      <c r="S346" s="2"/>
      <c r="T346" s="2"/>
      <c r="U346" s="2"/>
      <c r="V346" s="2"/>
      <c r="W346" s="2">
        <v>0.35</v>
      </c>
      <c r="X346" s="444">
        <f t="shared" si="101"/>
        <v>0.33177083333333335</v>
      </c>
      <c r="Y346" s="2" t="str">
        <f t="shared" si="102"/>
        <v/>
      </c>
      <c r="Z346" s="2"/>
      <c r="AA346" s="2"/>
      <c r="AB346" s="2"/>
      <c r="AC346" s="2"/>
      <c r="AD346" s="537">
        <f t="shared" si="110"/>
        <v>2.201922290388548</v>
      </c>
      <c r="AE346" s="537">
        <f t="shared" si="103"/>
        <v>2.0872388377641444</v>
      </c>
      <c r="AF346" s="537" t="str">
        <f t="shared" si="104"/>
        <v/>
      </c>
      <c r="AG346" s="537" t="str">
        <f t="shared" si="98"/>
        <v/>
      </c>
      <c r="AH346" s="537" t="str">
        <f t="shared" si="99"/>
        <v/>
      </c>
      <c r="AI346" s="525" t="str">
        <f t="shared" si="100"/>
        <v/>
      </c>
      <c r="AJ346" s="522"/>
      <c r="AK346" s="522"/>
      <c r="AL346" s="526">
        <f t="shared" si="105"/>
        <v>0.33177083333333335</v>
      </c>
      <c r="AM346" s="526">
        <f t="shared" si="106"/>
        <v>-1.1033108094496638</v>
      </c>
      <c r="AN346" s="526" t="str">
        <f t="shared" si="107"/>
        <v/>
      </c>
      <c r="AO346" s="526" t="str">
        <f t="shared" si="108"/>
        <v/>
      </c>
    </row>
    <row r="347" spans="1:41" x14ac:dyDescent="0.25">
      <c r="A347" s="2">
        <v>5176376</v>
      </c>
      <c r="B347" s="522" t="s">
        <v>312</v>
      </c>
      <c r="C347" s="522">
        <v>2018</v>
      </c>
      <c r="D347" s="522" t="s">
        <v>297</v>
      </c>
      <c r="E347" s="522" t="s">
        <v>333</v>
      </c>
      <c r="F347" s="522" t="s">
        <v>299</v>
      </c>
      <c r="G347" s="522"/>
      <c r="H347" s="522" t="s">
        <v>353</v>
      </c>
      <c r="I347" s="522"/>
      <c r="J347" s="2" t="s">
        <v>301</v>
      </c>
      <c r="K347" s="522" t="str">
        <f t="shared" si="109"/>
        <v>8-hr TWA</v>
      </c>
      <c r="L347" s="522" t="s">
        <v>302</v>
      </c>
      <c r="M347" s="535">
        <v>41149</v>
      </c>
      <c r="N347" s="2">
        <v>425</v>
      </c>
      <c r="O347" s="2">
        <v>1</v>
      </c>
      <c r="P347" s="2"/>
      <c r="Q347" s="2"/>
      <c r="R347" s="2"/>
      <c r="S347" s="2"/>
      <c r="T347" s="2"/>
      <c r="U347" s="2"/>
      <c r="V347" s="2"/>
      <c r="W347" s="2">
        <v>4.4999999999999998E-2</v>
      </c>
      <c r="X347" s="524">
        <f t="shared" si="101"/>
        <v>2.8173785812901499E-2</v>
      </c>
      <c r="Y347" s="2" t="str">
        <f t="shared" si="102"/>
        <v/>
      </c>
      <c r="Z347" s="2"/>
      <c r="AA347" s="2"/>
      <c r="AB347" s="2"/>
      <c r="AC347" s="2"/>
      <c r="AD347" s="536">
        <f t="shared" si="110"/>
        <v>0.28310429447852758</v>
      </c>
      <c r="AE347" s="536">
        <f t="shared" si="103"/>
        <v>0.17724710567445842</v>
      </c>
      <c r="AF347" s="536" t="str">
        <f t="shared" si="104"/>
        <v/>
      </c>
      <c r="AG347" s="537" t="str">
        <f t="shared" si="98"/>
        <v/>
      </c>
      <c r="AH347" s="537" t="str">
        <f t="shared" si="99"/>
        <v/>
      </c>
      <c r="AI347" s="525" t="str">
        <f t="shared" si="100"/>
        <v/>
      </c>
      <c r="AJ347" s="522"/>
      <c r="AK347" s="522" t="s">
        <v>315</v>
      </c>
      <c r="AL347" s="526" t="str">
        <f t="shared" si="105"/>
        <v/>
      </c>
      <c r="AM347" s="526" t="str">
        <f t="shared" si="106"/>
        <v/>
      </c>
      <c r="AN347" s="526" t="str">
        <f t="shared" si="107"/>
        <v/>
      </c>
      <c r="AO347" s="526" t="str">
        <f t="shared" si="108"/>
        <v/>
      </c>
    </row>
    <row r="348" spans="1:41" x14ac:dyDescent="0.25">
      <c r="A348" s="2">
        <v>5176376</v>
      </c>
      <c r="B348" s="522" t="s">
        <v>312</v>
      </c>
      <c r="C348" s="522">
        <v>2018</v>
      </c>
      <c r="D348" s="522" t="s">
        <v>297</v>
      </c>
      <c r="E348" s="522" t="s">
        <v>333</v>
      </c>
      <c r="F348" s="522" t="s">
        <v>299</v>
      </c>
      <c r="G348" s="522"/>
      <c r="H348" s="522" t="s">
        <v>353</v>
      </c>
      <c r="I348" s="522"/>
      <c r="J348" s="2" t="s">
        <v>301</v>
      </c>
      <c r="K348" s="522" t="str">
        <f t="shared" si="109"/>
        <v>12-hr TWA</v>
      </c>
      <c r="L348" s="522" t="s">
        <v>302</v>
      </c>
      <c r="M348" s="535">
        <v>41150</v>
      </c>
      <c r="N348" s="2">
        <v>705</v>
      </c>
      <c r="O348" s="2">
        <v>1</v>
      </c>
      <c r="P348" s="2"/>
      <c r="Q348" s="2"/>
      <c r="R348" s="2"/>
      <c r="S348" s="2"/>
      <c r="T348" s="2"/>
      <c r="U348" s="2"/>
      <c r="V348" s="2"/>
      <c r="W348" s="2">
        <v>4.4999999999999998E-2</v>
      </c>
      <c r="X348" s="2" t="str">
        <f t="shared" si="101"/>
        <v/>
      </c>
      <c r="Y348" s="524">
        <f t="shared" si="102"/>
        <v>2.2031249999999999E-2</v>
      </c>
      <c r="Z348" s="2"/>
      <c r="AA348" s="2"/>
      <c r="AB348" s="2"/>
      <c r="AC348" s="2"/>
      <c r="AD348" s="536">
        <f t="shared" si="110"/>
        <v>0.28310429447852758</v>
      </c>
      <c r="AE348" s="536" t="str">
        <f t="shared" si="103"/>
        <v/>
      </c>
      <c r="AF348" s="536">
        <f t="shared" si="104"/>
        <v>0.13860314417177913</v>
      </c>
      <c r="AG348" s="537" t="str">
        <f t="shared" si="98"/>
        <v/>
      </c>
      <c r="AH348" s="537" t="str">
        <f t="shared" si="99"/>
        <v/>
      </c>
      <c r="AI348" s="525" t="str">
        <f t="shared" si="100"/>
        <v/>
      </c>
      <c r="AJ348" s="522"/>
      <c r="AK348" s="522" t="s">
        <v>315</v>
      </c>
      <c r="AL348" s="526" t="str">
        <f t="shared" si="105"/>
        <v/>
      </c>
      <c r="AM348" s="526" t="str">
        <f t="shared" si="106"/>
        <v/>
      </c>
      <c r="AN348" s="526" t="str">
        <f t="shared" si="107"/>
        <v/>
      </c>
      <c r="AO348" s="526" t="str">
        <f t="shared" si="108"/>
        <v/>
      </c>
    </row>
    <row r="349" spans="1:41" x14ac:dyDescent="0.25">
      <c r="A349" s="2">
        <v>5176376</v>
      </c>
      <c r="B349" s="522" t="s">
        <v>312</v>
      </c>
      <c r="C349" s="522">
        <v>2018</v>
      </c>
      <c r="D349" s="522" t="s">
        <v>297</v>
      </c>
      <c r="E349" s="522" t="s">
        <v>333</v>
      </c>
      <c r="F349" s="522" t="s">
        <v>299</v>
      </c>
      <c r="G349" s="522"/>
      <c r="H349" s="522" t="s">
        <v>355</v>
      </c>
      <c r="I349" s="522"/>
      <c r="J349" s="2" t="s">
        <v>301</v>
      </c>
      <c r="K349" s="522" t="str">
        <f t="shared" si="109"/>
        <v>12-hr TWA</v>
      </c>
      <c r="L349" s="522" t="s">
        <v>302</v>
      </c>
      <c r="M349" s="535">
        <v>41422</v>
      </c>
      <c r="N349" s="2">
        <v>690</v>
      </c>
      <c r="O349" s="2">
        <v>1</v>
      </c>
      <c r="P349" s="2"/>
      <c r="Q349" s="2"/>
      <c r="R349" s="2"/>
      <c r="S349" s="2"/>
      <c r="T349" s="2"/>
      <c r="U349" s="2"/>
      <c r="V349" s="2"/>
      <c r="W349" s="444">
        <v>0.6</v>
      </c>
      <c r="X349" s="2" t="str">
        <f t="shared" si="101"/>
        <v/>
      </c>
      <c r="Y349" s="444">
        <f t="shared" si="102"/>
        <v>0.57499999999999996</v>
      </c>
      <c r="Z349" s="2"/>
      <c r="AA349" s="2"/>
      <c r="AB349" s="2"/>
      <c r="AC349" s="2"/>
      <c r="AD349" s="537">
        <f t="shared" si="110"/>
        <v>3.7747239263803678</v>
      </c>
      <c r="AE349" s="537" t="str">
        <f t="shared" si="103"/>
        <v/>
      </c>
      <c r="AF349" s="537">
        <f t="shared" si="104"/>
        <v>3.6174437627811855</v>
      </c>
      <c r="AG349" s="537" t="str">
        <f t="shared" si="98"/>
        <v/>
      </c>
      <c r="AH349" s="537" t="str">
        <f t="shared" si="99"/>
        <v/>
      </c>
      <c r="AI349" s="525" t="str">
        <f t="shared" si="100"/>
        <v/>
      </c>
      <c r="AJ349" s="522"/>
      <c r="AK349" s="522"/>
      <c r="AL349" s="526" t="str">
        <f t="shared" si="105"/>
        <v/>
      </c>
      <c r="AM349" s="526" t="str">
        <f t="shared" si="106"/>
        <v/>
      </c>
      <c r="AN349" s="526">
        <f t="shared" si="107"/>
        <v>0.57499999999999996</v>
      </c>
      <c r="AO349" s="526">
        <f t="shared" si="108"/>
        <v>-0.55338523818478669</v>
      </c>
    </row>
    <row r="350" spans="1:41" x14ac:dyDescent="0.25">
      <c r="A350" s="2">
        <v>5176376</v>
      </c>
      <c r="B350" s="522" t="s">
        <v>312</v>
      </c>
      <c r="C350" s="522">
        <v>2018</v>
      </c>
      <c r="D350" s="522" t="s">
        <v>297</v>
      </c>
      <c r="E350" s="522" t="s">
        <v>333</v>
      </c>
      <c r="F350" s="522" t="s">
        <v>299</v>
      </c>
      <c r="G350" s="522"/>
      <c r="H350" s="522" t="s">
        <v>356</v>
      </c>
      <c r="I350" s="522"/>
      <c r="J350" s="2" t="s">
        <v>301</v>
      </c>
      <c r="K350" s="522" t="str">
        <f t="shared" si="109"/>
        <v>12-hr TWA</v>
      </c>
      <c r="L350" s="522" t="s">
        <v>302</v>
      </c>
      <c r="M350" s="535">
        <v>41422</v>
      </c>
      <c r="N350" s="2">
        <v>690</v>
      </c>
      <c r="O350" s="2">
        <v>1</v>
      </c>
      <c r="P350" s="2"/>
      <c r="Q350" s="2"/>
      <c r="R350" s="2"/>
      <c r="S350" s="2"/>
      <c r="T350" s="2"/>
      <c r="U350" s="2"/>
      <c r="V350" s="2"/>
      <c r="W350" s="2">
        <v>8.7999999999999995E-2</v>
      </c>
      <c r="X350" s="2" t="str">
        <f t="shared" si="101"/>
        <v/>
      </c>
      <c r="Y350" s="524">
        <f t="shared" si="102"/>
        <v>8.433333333333333E-2</v>
      </c>
      <c r="Z350" s="2"/>
      <c r="AA350" s="2"/>
      <c r="AB350" s="2"/>
      <c r="AC350" s="2"/>
      <c r="AD350" s="536">
        <f t="shared" si="110"/>
        <v>0.55362617586912066</v>
      </c>
      <c r="AE350" s="536" t="str">
        <f t="shared" si="103"/>
        <v/>
      </c>
      <c r="AF350" s="536">
        <f t="shared" si="104"/>
        <v>0.53055841854124064</v>
      </c>
      <c r="AG350" s="537" t="str">
        <f t="shared" si="98"/>
        <v/>
      </c>
      <c r="AH350" s="537" t="str">
        <f t="shared" si="99"/>
        <v/>
      </c>
      <c r="AI350" s="525" t="str">
        <f t="shared" si="100"/>
        <v/>
      </c>
      <c r="AJ350" s="522"/>
      <c r="AK350" s="522"/>
      <c r="AL350" s="526" t="str">
        <f t="shared" si="105"/>
        <v/>
      </c>
      <c r="AM350" s="526" t="str">
        <f t="shared" si="106"/>
        <v/>
      </c>
      <c r="AN350" s="526">
        <f t="shared" si="107"/>
        <v>8.433333333333333E-2</v>
      </c>
      <c r="AO350" s="526">
        <f t="shared" si="108"/>
        <v>-2.4729780789227265</v>
      </c>
    </row>
    <row r="351" spans="1:41" x14ac:dyDescent="0.25">
      <c r="A351" s="2">
        <v>5176376</v>
      </c>
      <c r="B351" s="522" t="s">
        <v>312</v>
      </c>
      <c r="C351" s="522">
        <v>2018</v>
      </c>
      <c r="D351" s="522" t="s">
        <v>297</v>
      </c>
      <c r="E351" s="522" t="s">
        <v>333</v>
      </c>
      <c r="F351" s="522" t="s">
        <v>299</v>
      </c>
      <c r="G351" s="522"/>
      <c r="H351" s="522" t="s">
        <v>357</v>
      </c>
      <c r="I351" s="522"/>
      <c r="J351" s="2" t="s">
        <v>301</v>
      </c>
      <c r="K351" s="522" t="str">
        <f t="shared" si="109"/>
        <v>8-hr TWA</v>
      </c>
      <c r="L351" s="522" t="s">
        <v>302</v>
      </c>
      <c r="M351" s="535">
        <v>41422</v>
      </c>
      <c r="N351" s="2">
        <v>486</v>
      </c>
      <c r="O351" s="2">
        <v>1</v>
      </c>
      <c r="P351" s="2"/>
      <c r="Q351" s="2"/>
      <c r="R351" s="2"/>
      <c r="S351" s="2"/>
      <c r="T351" s="2"/>
      <c r="U351" s="2"/>
      <c r="V351" s="2"/>
      <c r="W351" s="2">
        <v>0.22</v>
      </c>
      <c r="X351" s="2">
        <f t="shared" si="101"/>
        <v>0.22</v>
      </c>
      <c r="Y351" s="2" t="str">
        <f t="shared" si="102"/>
        <v/>
      </c>
      <c r="Z351" s="2"/>
      <c r="AA351" s="2"/>
      <c r="AB351" s="2"/>
      <c r="AC351" s="2"/>
      <c r="AD351" s="537">
        <f t="shared" si="110"/>
        <v>1.3840654396728014</v>
      </c>
      <c r="AE351" s="537">
        <f t="shared" si="103"/>
        <v>1.3840654396728014</v>
      </c>
      <c r="AF351" s="537" t="str">
        <f t="shared" si="104"/>
        <v/>
      </c>
      <c r="AG351" s="537" t="str">
        <f t="shared" si="98"/>
        <v/>
      </c>
      <c r="AH351" s="537" t="str">
        <f t="shared" si="99"/>
        <v/>
      </c>
      <c r="AI351" s="525" t="str">
        <f t="shared" si="100"/>
        <v/>
      </c>
      <c r="AJ351" s="522"/>
      <c r="AK351" s="522"/>
      <c r="AL351" s="526">
        <f t="shared" si="105"/>
        <v>0.22</v>
      </c>
      <c r="AM351" s="526">
        <f t="shared" si="106"/>
        <v>-1.5141277326297755</v>
      </c>
      <c r="AN351" s="526" t="str">
        <f t="shared" si="107"/>
        <v/>
      </c>
      <c r="AO351" s="526" t="str">
        <f t="shared" si="108"/>
        <v/>
      </c>
    </row>
    <row r="352" spans="1:41" x14ac:dyDescent="0.25">
      <c r="A352" s="2">
        <v>5176376</v>
      </c>
      <c r="B352" s="522" t="s">
        <v>312</v>
      </c>
      <c r="C352" s="522">
        <v>2018</v>
      </c>
      <c r="D352" s="522" t="s">
        <v>297</v>
      </c>
      <c r="E352" s="522" t="s">
        <v>333</v>
      </c>
      <c r="F352" s="522" t="s">
        <v>299</v>
      </c>
      <c r="G352" s="522"/>
      <c r="H352" s="522" t="s">
        <v>355</v>
      </c>
      <c r="I352" s="522"/>
      <c r="J352" s="2" t="s">
        <v>301</v>
      </c>
      <c r="K352" s="522" t="str">
        <f t="shared" si="109"/>
        <v>12-hr TWA</v>
      </c>
      <c r="L352" s="522" t="s">
        <v>302</v>
      </c>
      <c r="M352" s="535">
        <v>41423</v>
      </c>
      <c r="N352" s="2">
        <v>697</v>
      </c>
      <c r="O352" s="2">
        <v>1</v>
      </c>
      <c r="P352" s="2"/>
      <c r="Q352" s="2"/>
      <c r="R352" s="2"/>
      <c r="S352" s="2"/>
      <c r="T352" s="2"/>
      <c r="U352" s="2"/>
      <c r="V352" s="2"/>
      <c r="W352" s="2">
        <v>9.4E-2</v>
      </c>
      <c r="X352" s="2" t="str">
        <f t="shared" si="101"/>
        <v/>
      </c>
      <c r="Y352" s="524">
        <f t="shared" si="102"/>
        <v>9.0997222222222229E-2</v>
      </c>
      <c r="Z352" s="2"/>
      <c r="AA352" s="2"/>
      <c r="AB352" s="2"/>
      <c r="AC352" s="2"/>
      <c r="AD352" s="536">
        <f t="shared" si="110"/>
        <v>0.59137341513292441</v>
      </c>
      <c r="AE352" s="536" t="str">
        <f t="shared" si="103"/>
        <v/>
      </c>
      <c r="AF352" s="536">
        <f t="shared" si="104"/>
        <v>0.57248231992728937</v>
      </c>
      <c r="AG352" s="537" t="str">
        <f t="shared" si="98"/>
        <v/>
      </c>
      <c r="AH352" s="537" t="str">
        <f t="shared" si="99"/>
        <v/>
      </c>
      <c r="AI352" s="525" t="str">
        <f t="shared" si="100"/>
        <v/>
      </c>
      <c r="AJ352" s="522"/>
      <c r="AK352" s="522"/>
      <c r="AL352" s="526" t="str">
        <f t="shared" si="105"/>
        <v/>
      </c>
      <c r="AM352" s="526" t="str">
        <f t="shared" si="106"/>
        <v/>
      </c>
      <c r="AN352" s="526">
        <f t="shared" si="107"/>
        <v>9.0997222222222229E-2</v>
      </c>
      <c r="AO352" s="526">
        <f t="shared" si="108"/>
        <v>-2.3969262979617101</v>
      </c>
    </row>
    <row r="353" spans="1:41" x14ac:dyDescent="0.25">
      <c r="A353" s="2">
        <v>5176376</v>
      </c>
      <c r="B353" s="522" t="s">
        <v>312</v>
      </c>
      <c r="C353" s="522">
        <v>2018</v>
      </c>
      <c r="D353" s="522" t="s">
        <v>297</v>
      </c>
      <c r="E353" s="522" t="s">
        <v>333</v>
      </c>
      <c r="F353" s="522" t="s">
        <v>299</v>
      </c>
      <c r="G353" s="522"/>
      <c r="H353" s="522" t="s">
        <v>356</v>
      </c>
      <c r="I353" s="522"/>
      <c r="J353" s="2" t="s">
        <v>301</v>
      </c>
      <c r="K353" s="522" t="str">
        <f t="shared" si="109"/>
        <v>12-hr TWA</v>
      </c>
      <c r="L353" s="522" t="s">
        <v>302</v>
      </c>
      <c r="M353" s="535">
        <v>41423</v>
      </c>
      <c r="N353" s="2">
        <v>697</v>
      </c>
      <c r="O353" s="2">
        <v>1</v>
      </c>
      <c r="P353" s="2"/>
      <c r="Q353" s="2"/>
      <c r="R353" s="2"/>
      <c r="S353" s="2"/>
      <c r="T353" s="2"/>
      <c r="U353" s="2"/>
      <c r="V353" s="2"/>
      <c r="W353" s="2">
        <v>4.4999999999999998E-2</v>
      </c>
      <c r="X353" s="2" t="str">
        <f t="shared" si="101"/>
        <v/>
      </c>
      <c r="Y353" s="524">
        <f t="shared" si="102"/>
        <v>2.1781249999999999E-2</v>
      </c>
      <c r="Z353" s="2"/>
      <c r="AA353" s="2"/>
      <c r="AB353" s="2"/>
      <c r="AC353" s="2"/>
      <c r="AD353" s="536">
        <f t="shared" si="110"/>
        <v>0.28310429447852758</v>
      </c>
      <c r="AE353" s="536" t="str">
        <f t="shared" si="103"/>
        <v/>
      </c>
      <c r="AF353" s="536">
        <f t="shared" si="104"/>
        <v>0.1370303425357873</v>
      </c>
      <c r="AG353" s="537" t="str">
        <f t="shared" si="98"/>
        <v/>
      </c>
      <c r="AH353" s="537" t="str">
        <f t="shared" si="99"/>
        <v/>
      </c>
      <c r="AI353" s="525" t="str">
        <f t="shared" si="100"/>
        <v/>
      </c>
      <c r="AJ353" s="522"/>
      <c r="AK353" s="522" t="s">
        <v>315</v>
      </c>
      <c r="AL353" s="526" t="str">
        <f t="shared" si="105"/>
        <v/>
      </c>
      <c r="AM353" s="526" t="str">
        <f t="shared" si="106"/>
        <v/>
      </c>
      <c r="AN353" s="526" t="str">
        <f t="shared" si="107"/>
        <v/>
      </c>
      <c r="AO353" s="526" t="str">
        <f t="shared" si="108"/>
        <v/>
      </c>
    </row>
    <row r="354" spans="1:41" x14ac:dyDescent="0.25">
      <c r="A354" s="2">
        <v>5176376</v>
      </c>
      <c r="B354" s="522" t="s">
        <v>312</v>
      </c>
      <c r="C354" s="522">
        <v>2018</v>
      </c>
      <c r="D354" s="522" t="s">
        <v>297</v>
      </c>
      <c r="E354" s="522" t="s">
        <v>333</v>
      </c>
      <c r="F354" s="522" t="s">
        <v>299</v>
      </c>
      <c r="G354" s="522"/>
      <c r="H354" s="522" t="s">
        <v>357</v>
      </c>
      <c r="I354" s="522"/>
      <c r="J354" s="2" t="s">
        <v>301</v>
      </c>
      <c r="K354" s="522" t="str">
        <f t="shared" si="109"/>
        <v>8-hr TWA</v>
      </c>
      <c r="L354" s="522" t="s">
        <v>302</v>
      </c>
      <c r="M354" s="535">
        <v>41423</v>
      </c>
      <c r="N354" s="2">
        <v>480</v>
      </c>
      <c r="O354" s="2">
        <v>1</v>
      </c>
      <c r="P354" s="2"/>
      <c r="Q354" s="2"/>
      <c r="R354" s="2"/>
      <c r="S354" s="2"/>
      <c r="T354" s="2"/>
      <c r="U354" s="2"/>
      <c r="V354" s="2"/>
      <c r="W354" s="2">
        <v>0.65</v>
      </c>
      <c r="X354" s="2">
        <f t="shared" si="101"/>
        <v>0.65</v>
      </c>
      <c r="Y354" s="2" t="str">
        <f t="shared" si="102"/>
        <v/>
      </c>
      <c r="Z354" s="2"/>
      <c r="AA354" s="2"/>
      <c r="AB354" s="2"/>
      <c r="AC354" s="2"/>
      <c r="AD354" s="537">
        <f t="shared" si="110"/>
        <v>4.0892842535787324</v>
      </c>
      <c r="AE354" s="537">
        <f t="shared" si="103"/>
        <v>4.0892842535787324</v>
      </c>
      <c r="AF354" s="537" t="str">
        <f t="shared" si="104"/>
        <v/>
      </c>
      <c r="AG354" s="537" t="str">
        <f t="shared" si="98"/>
        <v/>
      </c>
      <c r="AH354" s="537" t="str">
        <f t="shared" si="99"/>
        <v/>
      </c>
      <c r="AI354" s="525" t="str">
        <f t="shared" si="100"/>
        <v/>
      </c>
      <c r="AJ354" s="522"/>
      <c r="AK354" s="522"/>
      <c r="AL354" s="526">
        <f t="shared" si="105"/>
        <v>0.65</v>
      </c>
      <c r="AM354" s="526">
        <f t="shared" si="106"/>
        <v>-0.43078291609245423</v>
      </c>
      <c r="AN354" s="526" t="str">
        <f t="shared" si="107"/>
        <v/>
      </c>
      <c r="AO354" s="526" t="str">
        <f t="shared" si="108"/>
        <v/>
      </c>
    </row>
    <row r="355" spans="1:41" x14ac:dyDescent="0.25">
      <c r="A355" s="2">
        <v>5176376</v>
      </c>
      <c r="B355" s="522" t="s">
        <v>312</v>
      </c>
      <c r="C355" s="522">
        <v>2018</v>
      </c>
      <c r="D355" s="522" t="s">
        <v>297</v>
      </c>
      <c r="E355" s="522" t="s">
        <v>333</v>
      </c>
      <c r="F355" s="522" t="s">
        <v>299</v>
      </c>
      <c r="G355" s="522"/>
      <c r="H355" s="522" t="s">
        <v>354</v>
      </c>
      <c r="I355" s="522"/>
      <c r="J355" s="2" t="s">
        <v>301</v>
      </c>
      <c r="K355" s="522" t="str">
        <f t="shared" si="109"/>
        <v>12-hr TWA</v>
      </c>
      <c r="L355" s="522" t="s">
        <v>302</v>
      </c>
      <c r="M355" s="535">
        <v>41435</v>
      </c>
      <c r="N355" s="2">
        <v>667</v>
      </c>
      <c r="O355" s="2">
        <v>1</v>
      </c>
      <c r="P355" s="2"/>
      <c r="Q355" s="2"/>
      <c r="R355" s="2"/>
      <c r="S355" s="2"/>
      <c r="T355" s="2"/>
      <c r="U355" s="2"/>
      <c r="V355" s="2"/>
      <c r="W355" s="2">
        <v>0.24</v>
      </c>
      <c r="X355" s="2" t="str">
        <f t="shared" si="101"/>
        <v/>
      </c>
      <c r="Y355" s="444">
        <f t="shared" si="102"/>
        <v>0.2223333333333333</v>
      </c>
      <c r="Z355" s="2"/>
      <c r="AA355" s="2"/>
      <c r="AB355" s="2"/>
      <c r="AC355" s="2"/>
      <c r="AD355" s="537">
        <f t="shared" si="110"/>
        <v>1.5098895705521471</v>
      </c>
      <c r="AE355" s="537" t="str">
        <f t="shared" si="103"/>
        <v/>
      </c>
      <c r="AF355" s="537">
        <f t="shared" si="104"/>
        <v>1.3987449216087251</v>
      </c>
      <c r="AG355" s="537" t="str">
        <f t="shared" si="98"/>
        <v/>
      </c>
      <c r="AH355" s="537" t="str">
        <f t="shared" si="99"/>
        <v/>
      </c>
      <c r="AI355" s="525" t="str">
        <f t="shared" si="100"/>
        <v/>
      </c>
      <c r="AJ355" s="522"/>
      <c r="AK355" s="522"/>
      <c r="AL355" s="526" t="str">
        <f t="shared" si="105"/>
        <v/>
      </c>
      <c r="AM355" s="526" t="str">
        <f t="shared" si="106"/>
        <v/>
      </c>
      <c r="AN355" s="526">
        <f t="shared" si="107"/>
        <v>0.2223333333333333</v>
      </c>
      <c r="AO355" s="526">
        <f t="shared" si="108"/>
        <v>-1.5035775217346232</v>
      </c>
    </row>
    <row r="356" spans="1:41" x14ac:dyDescent="0.25">
      <c r="A356" s="2">
        <v>5176376</v>
      </c>
      <c r="B356" s="522" t="s">
        <v>312</v>
      </c>
      <c r="C356" s="522">
        <v>2018</v>
      </c>
      <c r="D356" s="522" t="s">
        <v>297</v>
      </c>
      <c r="E356" s="522" t="s">
        <v>333</v>
      </c>
      <c r="F356" s="522" t="s">
        <v>299</v>
      </c>
      <c r="G356" s="522"/>
      <c r="H356" s="522" t="s">
        <v>354</v>
      </c>
      <c r="I356" s="522"/>
      <c r="J356" s="2" t="s">
        <v>301</v>
      </c>
      <c r="K356" s="522" t="str">
        <f t="shared" si="109"/>
        <v>12-hr TWA</v>
      </c>
      <c r="L356" s="522" t="s">
        <v>302</v>
      </c>
      <c r="M356" s="535">
        <v>41436</v>
      </c>
      <c r="N356" s="2">
        <v>680</v>
      </c>
      <c r="O356" s="2">
        <v>1</v>
      </c>
      <c r="P356" s="2"/>
      <c r="Q356" s="2"/>
      <c r="R356" s="2"/>
      <c r="S356" s="2"/>
      <c r="T356" s="2"/>
      <c r="U356" s="2"/>
      <c r="V356" s="2"/>
      <c r="W356" s="2">
        <v>0.28000000000000003</v>
      </c>
      <c r="X356" s="2" t="str">
        <f t="shared" si="101"/>
        <v/>
      </c>
      <c r="Y356" s="444">
        <f t="shared" si="102"/>
        <v>0.26444444444444443</v>
      </c>
      <c r="Z356" s="2"/>
      <c r="AA356" s="2"/>
      <c r="AB356" s="2"/>
      <c r="AC356" s="2"/>
      <c r="AD356" s="537">
        <f t="shared" si="110"/>
        <v>1.7615378323108386</v>
      </c>
      <c r="AE356" s="537" t="str">
        <f t="shared" si="103"/>
        <v/>
      </c>
      <c r="AF356" s="537">
        <f t="shared" si="104"/>
        <v>1.6636746194046808</v>
      </c>
      <c r="AG356" s="537" t="str">
        <f t="shared" si="98"/>
        <v/>
      </c>
      <c r="AH356" s="537" t="str">
        <f t="shared" si="99"/>
        <v/>
      </c>
      <c r="AI356" s="525" t="str">
        <f t="shared" si="100"/>
        <v/>
      </c>
      <c r="AJ356" s="522"/>
      <c r="AK356" s="522"/>
      <c r="AL356" s="526" t="str">
        <f t="shared" si="105"/>
        <v/>
      </c>
      <c r="AM356" s="526" t="str">
        <f t="shared" si="106"/>
        <v/>
      </c>
      <c r="AN356" s="526">
        <f t="shared" si="107"/>
        <v>0.26444444444444443</v>
      </c>
      <c r="AO356" s="526">
        <f t="shared" si="108"/>
        <v>-1.3301240896528361</v>
      </c>
    </row>
    <row r="357" spans="1:41" x14ac:dyDescent="0.25">
      <c r="A357" s="2">
        <v>5176376</v>
      </c>
      <c r="B357" s="522" t="s">
        <v>312</v>
      </c>
      <c r="C357" s="522">
        <v>2018</v>
      </c>
      <c r="D357" s="522" t="s">
        <v>297</v>
      </c>
      <c r="E357" s="522" t="s">
        <v>333</v>
      </c>
      <c r="F357" s="522" t="s">
        <v>299</v>
      </c>
      <c r="G357" s="522"/>
      <c r="H357" s="522" t="s">
        <v>353</v>
      </c>
      <c r="I357" s="522"/>
      <c r="J357" s="2" t="s">
        <v>301</v>
      </c>
      <c r="K357" s="522" t="str">
        <f t="shared" si="109"/>
        <v>8-hr TWA</v>
      </c>
      <c r="L357" s="522" t="s">
        <v>302</v>
      </c>
      <c r="M357" s="535">
        <v>41591</v>
      </c>
      <c r="N357" s="2">
        <v>470</v>
      </c>
      <c r="O357" s="2">
        <v>1</v>
      </c>
      <c r="P357" s="2"/>
      <c r="Q357" s="2"/>
      <c r="R357" s="2"/>
      <c r="S357" s="2"/>
      <c r="T357" s="2"/>
      <c r="U357" s="2"/>
      <c r="V357" s="2"/>
      <c r="W357" s="2">
        <v>0.14000000000000001</v>
      </c>
      <c r="X357" s="444">
        <f t="shared" si="101"/>
        <v>0.13708333333333336</v>
      </c>
      <c r="Y357" s="2" t="str">
        <f t="shared" si="102"/>
        <v/>
      </c>
      <c r="Z357" s="2"/>
      <c r="AA357" s="2"/>
      <c r="AB357" s="2"/>
      <c r="AC357" s="2"/>
      <c r="AD357" s="536">
        <f t="shared" si="110"/>
        <v>0.8807689161554193</v>
      </c>
      <c r="AE357" s="536">
        <f t="shared" si="103"/>
        <v>0.86241956373551487</v>
      </c>
      <c r="AF357" s="536" t="str">
        <f t="shared" si="104"/>
        <v/>
      </c>
      <c r="AG357" s="537" t="str">
        <f t="shared" si="98"/>
        <v/>
      </c>
      <c r="AH357" s="537" t="str">
        <f t="shared" si="99"/>
        <v/>
      </c>
      <c r="AI357" s="525" t="str">
        <f t="shared" si="100"/>
        <v/>
      </c>
      <c r="AJ357" s="522"/>
      <c r="AK357" s="522"/>
      <c r="AL357" s="526">
        <f t="shared" si="105"/>
        <v>0.13708333333333336</v>
      </c>
      <c r="AM357" s="526">
        <f t="shared" si="106"/>
        <v>-1.9871662655706648</v>
      </c>
      <c r="AN357" s="526" t="str">
        <f t="shared" si="107"/>
        <v/>
      </c>
      <c r="AO357" s="526" t="str">
        <f t="shared" si="108"/>
        <v/>
      </c>
    </row>
    <row r="358" spans="1:41" x14ac:dyDescent="0.25">
      <c r="A358" s="2">
        <v>5176376</v>
      </c>
      <c r="B358" s="522" t="s">
        <v>312</v>
      </c>
      <c r="C358" s="522">
        <v>2018</v>
      </c>
      <c r="D358" s="522" t="s">
        <v>297</v>
      </c>
      <c r="E358" s="522" t="s">
        <v>333</v>
      </c>
      <c r="F358" s="522" t="s">
        <v>299</v>
      </c>
      <c r="G358" s="522"/>
      <c r="H358" s="522" t="s">
        <v>353</v>
      </c>
      <c r="I358" s="522"/>
      <c r="J358" s="2" t="s">
        <v>301</v>
      </c>
      <c r="K358" s="522" t="str">
        <f t="shared" si="109"/>
        <v>8-hr TWA</v>
      </c>
      <c r="L358" s="522" t="s">
        <v>302</v>
      </c>
      <c r="M358" s="535">
        <v>41592</v>
      </c>
      <c r="N358" s="2">
        <v>480</v>
      </c>
      <c r="O358" s="2">
        <v>1</v>
      </c>
      <c r="P358" s="2"/>
      <c r="Q358" s="2"/>
      <c r="R358" s="2"/>
      <c r="S358" s="2"/>
      <c r="T358" s="2"/>
      <c r="U358" s="2"/>
      <c r="V358" s="2"/>
      <c r="W358" s="2">
        <v>6.6000000000000003E-2</v>
      </c>
      <c r="X358" s="524">
        <f t="shared" si="101"/>
        <v>4.6669047558312138E-2</v>
      </c>
      <c r="Y358" s="2" t="str">
        <f t="shared" si="102"/>
        <v/>
      </c>
      <c r="Z358" s="2"/>
      <c r="AA358" s="2"/>
      <c r="AB358" s="2"/>
      <c r="AC358" s="2"/>
      <c r="AD358" s="536">
        <f t="shared" si="110"/>
        <v>0.41521963190184052</v>
      </c>
      <c r="AE358" s="536">
        <f t="shared" si="103"/>
        <v>0.29360461739957355</v>
      </c>
      <c r="AF358" s="536" t="str">
        <f t="shared" si="104"/>
        <v/>
      </c>
      <c r="AG358" s="537" t="str">
        <f t="shared" si="98"/>
        <v/>
      </c>
      <c r="AH358" s="537" t="str">
        <f t="shared" si="99"/>
        <v/>
      </c>
      <c r="AI358" s="525" t="str">
        <f t="shared" si="100"/>
        <v/>
      </c>
      <c r="AJ358" s="522"/>
      <c r="AK358" s="522" t="s">
        <v>315</v>
      </c>
      <c r="AL358" s="526" t="str">
        <f t="shared" si="105"/>
        <v/>
      </c>
      <c r="AM358" s="526" t="str">
        <f t="shared" si="106"/>
        <v/>
      </c>
      <c r="AN358" s="526" t="str">
        <f t="shared" si="107"/>
        <v/>
      </c>
      <c r="AO358" s="526" t="str">
        <f t="shared" si="108"/>
        <v/>
      </c>
    </row>
    <row r="359" spans="1:41" x14ac:dyDescent="0.25">
      <c r="A359" s="2">
        <v>5176376</v>
      </c>
      <c r="B359" s="522" t="s">
        <v>312</v>
      </c>
      <c r="C359" s="522">
        <v>2018</v>
      </c>
      <c r="D359" s="522" t="s">
        <v>297</v>
      </c>
      <c r="E359" s="522" t="s">
        <v>333</v>
      </c>
      <c r="F359" s="522" t="s">
        <v>299</v>
      </c>
      <c r="G359" s="522"/>
      <c r="H359" s="522" t="s">
        <v>356</v>
      </c>
      <c r="I359" s="522"/>
      <c r="J359" s="2" t="s">
        <v>301</v>
      </c>
      <c r="K359" s="522" t="str">
        <f t="shared" si="109"/>
        <v>12-hr TWA</v>
      </c>
      <c r="L359" s="522" t="s">
        <v>302</v>
      </c>
      <c r="M359" s="535">
        <v>41786</v>
      </c>
      <c r="N359" s="2">
        <v>699</v>
      </c>
      <c r="O359" s="2">
        <v>1</v>
      </c>
      <c r="P359" s="2"/>
      <c r="Q359" s="2"/>
      <c r="R359" s="2"/>
      <c r="S359" s="2"/>
      <c r="T359" s="2"/>
      <c r="U359" s="2"/>
      <c r="V359" s="2"/>
      <c r="W359" s="2">
        <v>4.4999999999999998E-2</v>
      </c>
      <c r="X359" s="2" t="str">
        <f t="shared" si="101"/>
        <v/>
      </c>
      <c r="Y359" s="524">
        <f t="shared" si="102"/>
        <v>2.1843749999999999E-2</v>
      </c>
      <c r="Z359" s="2"/>
      <c r="AA359" s="2"/>
      <c r="AB359" s="2"/>
      <c r="AC359" s="2"/>
      <c r="AD359" s="536">
        <f t="shared" si="110"/>
        <v>0.28310429447852758</v>
      </c>
      <c r="AE359" s="536" t="str">
        <f t="shared" si="103"/>
        <v/>
      </c>
      <c r="AF359" s="536">
        <f t="shared" si="104"/>
        <v>0.13742354294478526</v>
      </c>
      <c r="AG359" s="537" t="str">
        <f t="shared" si="98"/>
        <v/>
      </c>
      <c r="AH359" s="537" t="str">
        <f t="shared" si="99"/>
        <v/>
      </c>
      <c r="AI359" s="525" t="str">
        <f t="shared" si="100"/>
        <v/>
      </c>
      <c r="AJ359" s="522"/>
      <c r="AK359" s="522" t="s">
        <v>315</v>
      </c>
      <c r="AL359" s="526" t="str">
        <f t="shared" si="105"/>
        <v/>
      </c>
      <c r="AM359" s="526" t="str">
        <f t="shared" si="106"/>
        <v/>
      </c>
      <c r="AN359" s="526" t="str">
        <f t="shared" si="107"/>
        <v/>
      </c>
      <c r="AO359" s="526" t="str">
        <f t="shared" si="108"/>
        <v/>
      </c>
    </row>
    <row r="360" spans="1:41" x14ac:dyDescent="0.25">
      <c r="A360" s="2">
        <v>5176376</v>
      </c>
      <c r="B360" s="522" t="s">
        <v>312</v>
      </c>
      <c r="C360" s="522">
        <v>2018</v>
      </c>
      <c r="D360" s="522" t="s">
        <v>297</v>
      </c>
      <c r="E360" s="522" t="s">
        <v>333</v>
      </c>
      <c r="F360" s="522" t="s">
        <v>299</v>
      </c>
      <c r="G360" s="522"/>
      <c r="H360" s="522" t="s">
        <v>355</v>
      </c>
      <c r="I360" s="522"/>
      <c r="J360" s="2" t="s">
        <v>301</v>
      </c>
      <c r="K360" s="522" t="str">
        <f t="shared" si="109"/>
        <v>12-hr TWA</v>
      </c>
      <c r="L360" s="522" t="s">
        <v>302</v>
      </c>
      <c r="M360" s="535">
        <v>41786</v>
      </c>
      <c r="N360" s="2">
        <v>699</v>
      </c>
      <c r="O360" s="2">
        <v>1</v>
      </c>
      <c r="P360" s="2"/>
      <c r="Q360" s="2"/>
      <c r="R360" s="2"/>
      <c r="S360" s="2"/>
      <c r="T360" s="2"/>
      <c r="U360" s="2"/>
      <c r="V360" s="2"/>
      <c r="W360" s="2">
        <v>0.18</v>
      </c>
      <c r="X360" s="2" t="str">
        <f t="shared" si="101"/>
        <v/>
      </c>
      <c r="Y360" s="444">
        <f t="shared" si="102"/>
        <v>0.17474999999999999</v>
      </c>
      <c r="Z360" s="2"/>
      <c r="AA360" s="2"/>
      <c r="AB360" s="2"/>
      <c r="AC360" s="2"/>
      <c r="AD360" s="537">
        <f t="shared" si="110"/>
        <v>1.1324171779141103</v>
      </c>
      <c r="AE360" s="537" t="str">
        <f t="shared" si="103"/>
        <v/>
      </c>
      <c r="AF360" s="537">
        <f t="shared" si="104"/>
        <v>1.0993883435582821</v>
      </c>
      <c r="AG360" s="537" t="str">
        <f t="shared" si="98"/>
        <v/>
      </c>
      <c r="AH360" s="537" t="str">
        <f t="shared" si="99"/>
        <v/>
      </c>
      <c r="AI360" s="525" t="str">
        <f t="shared" si="100"/>
        <v/>
      </c>
      <c r="AJ360" s="522"/>
      <c r="AK360" s="522"/>
      <c r="AL360" s="526" t="str">
        <f t="shared" si="105"/>
        <v/>
      </c>
      <c r="AM360" s="526" t="str">
        <f t="shared" si="106"/>
        <v/>
      </c>
      <c r="AN360" s="526">
        <f t="shared" si="107"/>
        <v>0.17474999999999999</v>
      </c>
      <c r="AO360" s="526">
        <f t="shared" si="108"/>
        <v>-1.7443988978682174</v>
      </c>
    </row>
    <row r="361" spans="1:41" x14ac:dyDescent="0.25">
      <c r="A361" s="2">
        <v>5176376</v>
      </c>
      <c r="B361" s="522" t="s">
        <v>312</v>
      </c>
      <c r="C361" s="522">
        <v>2018</v>
      </c>
      <c r="D361" s="522" t="s">
        <v>297</v>
      </c>
      <c r="E361" s="522" t="s">
        <v>333</v>
      </c>
      <c r="F361" s="522" t="s">
        <v>299</v>
      </c>
      <c r="G361" s="522"/>
      <c r="H361" s="522" t="s">
        <v>356</v>
      </c>
      <c r="I361" s="522"/>
      <c r="J361" s="2" t="s">
        <v>301</v>
      </c>
      <c r="K361" s="522" t="str">
        <f t="shared" si="109"/>
        <v>12-hr TWA</v>
      </c>
      <c r="L361" s="522" t="s">
        <v>302</v>
      </c>
      <c r="M361" s="535">
        <v>41787</v>
      </c>
      <c r="N361" s="2">
        <v>690</v>
      </c>
      <c r="O361" s="2">
        <v>1</v>
      </c>
      <c r="P361" s="2"/>
      <c r="Q361" s="2"/>
      <c r="R361" s="2"/>
      <c r="S361" s="2"/>
      <c r="T361" s="2"/>
      <c r="U361" s="2"/>
      <c r="V361" s="2"/>
      <c r="W361" s="2">
        <v>4.5999999999999999E-2</v>
      </c>
      <c r="X361" s="2" t="str">
        <f t="shared" si="101"/>
        <v/>
      </c>
      <c r="Y361" s="524">
        <f t="shared" si="102"/>
        <v>2.2041666666666664E-2</v>
      </c>
      <c r="Z361" s="2"/>
      <c r="AA361" s="2"/>
      <c r="AB361" s="2"/>
      <c r="AC361" s="2"/>
      <c r="AD361" s="536">
        <f t="shared" si="110"/>
        <v>0.28939550102249489</v>
      </c>
      <c r="AE361" s="536" t="str">
        <f t="shared" si="103"/>
        <v/>
      </c>
      <c r="AF361" s="536">
        <f t="shared" si="104"/>
        <v>0.13866867757327878</v>
      </c>
      <c r="AG361" s="537" t="str">
        <f t="shared" si="98"/>
        <v/>
      </c>
      <c r="AH361" s="537" t="str">
        <f t="shared" si="99"/>
        <v/>
      </c>
      <c r="AI361" s="525" t="str">
        <f t="shared" si="100"/>
        <v/>
      </c>
      <c r="AJ361" s="522"/>
      <c r="AK361" s="522" t="s">
        <v>315</v>
      </c>
      <c r="AL361" s="526" t="str">
        <f t="shared" si="105"/>
        <v/>
      </c>
      <c r="AM361" s="526" t="str">
        <f t="shared" si="106"/>
        <v/>
      </c>
      <c r="AN361" s="526" t="str">
        <f t="shared" si="107"/>
        <v/>
      </c>
      <c r="AO361" s="526" t="str">
        <f t="shared" si="108"/>
        <v/>
      </c>
    </row>
    <row r="362" spans="1:41" x14ac:dyDescent="0.25">
      <c r="A362" s="2">
        <v>5176376</v>
      </c>
      <c r="B362" s="522" t="s">
        <v>312</v>
      </c>
      <c r="C362" s="522">
        <v>2018</v>
      </c>
      <c r="D362" s="522" t="s">
        <v>297</v>
      </c>
      <c r="E362" s="522" t="s">
        <v>333</v>
      </c>
      <c r="F362" s="522" t="s">
        <v>299</v>
      </c>
      <c r="G362" s="522"/>
      <c r="H362" s="522" t="s">
        <v>355</v>
      </c>
      <c r="I362" s="522"/>
      <c r="J362" s="2" t="s">
        <v>301</v>
      </c>
      <c r="K362" s="522" t="str">
        <f t="shared" si="109"/>
        <v>12-hr TWA</v>
      </c>
      <c r="L362" s="522" t="s">
        <v>302</v>
      </c>
      <c r="M362" s="535">
        <v>41787</v>
      </c>
      <c r="N362" s="2">
        <v>690</v>
      </c>
      <c r="O362" s="2">
        <v>1</v>
      </c>
      <c r="P362" s="2"/>
      <c r="Q362" s="2"/>
      <c r="R362" s="2"/>
      <c r="S362" s="2"/>
      <c r="T362" s="2"/>
      <c r="U362" s="2"/>
      <c r="V362" s="2"/>
      <c r="W362" s="2">
        <v>0.15</v>
      </c>
      <c r="X362" s="2" t="str">
        <f t="shared" si="101"/>
        <v/>
      </c>
      <c r="Y362" s="444">
        <f t="shared" si="102"/>
        <v>0.14374999999999999</v>
      </c>
      <c r="Z362" s="2"/>
      <c r="AA362" s="2"/>
      <c r="AB362" s="2"/>
      <c r="AC362" s="2"/>
      <c r="AD362" s="536">
        <f t="shared" si="110"/>
        <v>0.94368098159509195</v>
      </c>
      <c r="AE362" s="536" t="str">
        <f t="shared" si="103"/>
        <v/>
      </c>
      <c r="AF362" s="536">
        <f t="shared" si="104"/>
        <v>0.90436094069529638</v>
      </c>
      <c r="AG362" s="537" t="str">
        <f t="shared" si="98"/>
        <v/>
      </c>
      <c r="AH362" s="537" t="str">
        <f t="shared" si="99"/>
        <v/>
      </c>
      <c r="AI362" s="525" t="str">
        <f t="shared" si="100"/>
        <v/>
      </c>
      <c r="AJ362" s="522"/>
      <c r="AK362" s="522"/>
      <c r="AL362" s="526" t="str">
        <f t="shared" si="105"/>
        <v/>
      </c>
      <c r="AM362" s="526" t="str">
        <f t="shared" si="106"/>
        <v/>
      </c>
      <c r="AN362" s="526">
        <f t="shared" si="107"/>
        <v>0.14374999999999999</v>
      </c>
      <c r="AO362" s="526">
        <f t="shared" si="108"/>
        <v>-1.9396795993046774</v>
      </c>
    </row>
    <row r="363" spans="1:41" x14ac:dyDescent="0.25">
      <c r="A363" s="2">
        <v>5176376</v>
      </c>
      <c r="B363" s="522" t="s">
        <v>312</v>
      </c>
      <c r="C363" s="522">
        <v>2018</v>
      </c>
      <c r="D363" s="522" t="s">
        <v>297</v>
      </c>
      <c r="E363" s="522" t="s">
        <v>333</v>
      </c>
      <c r="F363" s="522" t="s">
        <v>299</v>
      </c>
      <c r="G363" s="522"/>
      <c r="H363" s="522" t="s">
        <v>356</v>
      </c>
      <c r="I363" s="522"/>
      <c r="J363" s="2" t="s">
        <v>301</v>
      </c>
      <c r="K363" s="522" t="str">
        <f t="shared" si="109"/>
        <v>12-hr TWA</v>
      </c>
      <c r="L363" s="522" t="s">
        <v>302</v>
      </c>
      <c r="M363" s="535">
        <v>42060</v>
      </c>
      <c r="N363" s="2">
        <v>677</v>
      </c>
      <c r="O363" s="2">
        <v>1</v>
      </c>
      <c r="P363" s="2"/>
      <c r="Q363" s="2"/>
      <c r="R363" s="2"/>
      <c r="S363" s="2"/>
      <c r="T363" s="2"/>
      <c r="U363" s="2"/>
      <c r="V363" s="2"/>
      <c r="W363" s="2">
        <v>3.1E-2</v>
      </c>
      <c r="X363" s="2" t="str">
        <f t="shared" si="101"/>
        <v/>
      </c>
      <c r="Y363" s="524">
        <f t="shared" si="102"/>
        <v>2.9148611111111108E-2</v>
      </c>
      <c r="Z363" s="2"/>
      <c r="AA363" s="2"/>
      <c r="AB363" s="2"/>
      <c r="AC363" s="2"/>
      <c r="AD363" s="536">
        <f t="shared" si="110"/>
        <v>0.1950274028629857</v>
      </c>
      <c r="AE363" s="536" t="str">
        <f t="shared" si="103"/>
        <v/>
      </c>
      <c r="AF363" s="536">
        <f t="shared" si="104"/>
        <v>0.18337993296977956</v>
      </c>
      <c r="AG363" s="537" t="str">
        <f t="shared" si="98"/>
        <v/>
      </c>
      <c r="AH363" s="537" t="str">
        <f t="shared" si="99"/>
        <v/>
      </c>
      <c r="AI363" s="525" t="str">
        <f t="shared" si="100"/>
        <v/>
      </c>
      <c r="AJ363" s="522"/>
      <c r="AK363" s="522"/>
      <c r="AL363" s="526" t="str">
        <f t="shared" si="105"/>
        <v/>
      </c>
      <c r="AM363" s="526" t="str">
        <f t="shared" si="106"/>
        <v/>
      </c>
      <c r="AN363" s="526">
        <f t="shared" si="107"/>
        <v>2.9148611111111108E-2</v>
      </c>
      <c r="AO363" s="526">
        <f t="shared" si="108"/>
        <v>-3.5353480135948168</v>
      </c>
    </row>
    <row r="364" spans="1:41" x14ac:dyDescent="0.25">
      <c r="A364" s="2">
        <v>5176376</v>
      </c>
      <c r="B364" s="522" t="s">
        <v>312</v>
      </c>
      <c r="C364" s="522">
        <v>2018</v>
      </c>
      <c r="D364" s="522" t="s">
        <v>297</v>
      </c>
      <c r="E364" s="522" t="s">
        <v>333</v>
      </c>
      <c r="F364" s="522" t="s">
        <v>299</v>
      </c>
      <c r="G364" s="522"/>
      <c r="H364" s="522" t="s">
        <v>355</v>
      </c>
      <c r="I364" s="522"/>
      <c r="J364" s="2" t="s">
        <v>301</v>
      </c>
      <c r="K364" s="522" t="str">
        <f t="shared" si="109"/>
        <v>12-hr TWA</v>
      </c>
      <c r="L364" s="522" t="s">
        <v>302</v>
      </c>
      <c r="M364" s="535">
        <v>42060</v>
      </c>
      <c r="N364" s="2">
        <v>675</v>
      </c>
      <c r="O364" s="2">
        <v>1</v>
      </c>
      <c r="P364" s="2"/>
      <c r="Q364" s="2"/>
      <c r="R364" s="2"/>
      <c r="S364" s="2"/>
      <c r="T364" s="2"/>
      <c r="U364" s="2"/>
      <c r="V364" s="2"/>
      <c r="W364" s="2">
        <v>0.18</v>
      </c>
      <c r="X364" s="2" t="str">
        <f t="shared" si="101"/>
        <v/>
      </c>
      <c r="Y364" s="444">
        <f t="shared" si="102"/>
        <v>0.16875000000000001</v>
      </c>
      <c r="Z364" s="2"/>
      <c r="AA364" s="2"/>
      <c r="AB364" s="2"/>
      <c r="AC364" s="2"/>
      <c r="AD364" s="537">
        <f t="shared" si="110"/>
        <v>1.1324171779141103</v>
      </c>
      <c r="AE364" s="537" t="str">
        <f t="shared" si="103"/>
        <v/>
      </c>
      <c r="AF364" s="537">
        <f t="shared" si="104"/>
        <v>1.0616411042944787</v>
      </c>
      <c r="AG364" s="537" t="str">
        <f t="shared" si="98"/>
        <v/>
      </c>
      <c r="AH364" s="537" t="str">
        <f t="shared" si="99"/>
        <v/>
      </c>
      <c r="AI364" s="525" t="str">
        <f t="shared" si="100"/>
        <v/>
      </c>
      <c r="AJ364" s="522"/>
      <c r="AK364" s="522"/>
      <c r="AL364" s="526" t="str">
        <f t="shared" si="105"/>
        <v/>
      </c>
      <c r="AM364" s="526" t="str">
        <f t="shared" si="106"/>
        <v/>
      </c>
      <c r="AN364" s="526">
        <f t="shared" si="107"/>
        <v>0.16875000000000001</v>
      </c>
      <c r="AO364" s="526">
        <f t="shared" si="108"/>
        <v>-1.7793369492294977</v>
      </c>
    </row>
    <row r="365" spans="1:41" x14ac:dyDescent="0.25">
      <c r="A365" s="2">
        <v>5176376</v>
      </c>
      <c r="B365" s="522" t="s">
        <v>312</v>
      </c>
      <c r="C365" s="522">
        <v>2018</v>
      </c>
      <c r="D365" s="522" t="s">
        <v>297</v>
      </c>
      <c r="E365" s="522" t="s">
        <v>333</v>
      </c>
      <c r="F365" s="522" t="s">
        <v>299</v>
      </c>
      <c r="G365" s="522"/>
      <c r="H365" s="522" t="s">
        <v>356</v>
      </c>
      <c r="I365" s="522"/>
      <c r="J365" s="2" t="s">
        <v>301</v>
      </c>
      <c r="K365" s="522" t="str">
        <f t="shared" si="109"/>
        <v>12-hr TWA</v>
      </c>
      <c r="L365" s="522" t="s">
        <v>302</v>
      </c>
      <c r="M365" s="535">
        <v>42061</v>
      </c>
      <c r="N365" s="2">
        <v>681</v>
      </c>
      <c r="O365" s="2">
        <v>1</v>
      </c>
      <c r="P365" s="2"/>
      <c r="Q365" s="2"/>
      <c r="R365" s="2"/>
      <c r="S365" s="2"/>
      <c r="T365" s="2"/>
      <c r="U365" s="2"/>
      <c r="V365" s="2"/>
      <c r="W365" s="2">
        <v>3.9E-2</v>
      </c>
      <c r="X365" s="2" t="str">
        <f t="shared" si="101"/>
        <v/>
      </c>
      <c r="Y365" s="524">
        <f t="shared" si="102"/>
        <v>3.6887500000000004E-2</v>
      </c>
      <c r="Z365" s="2"/>
      <c r="AA365" s="2"/>
      <c r="AB365" s="2"/>
      <c r="AC365" s="2"/>
      <c r="AD365" s="536">
        <f t="shared" si="110"/>
        <v>0.24535705521472392</v>
      </c>
      <c r="AE365" s="536" t="str">
        <f t="shared" si="103"/>
        <v/>
      </c>
      <c r="AF365" s="536">
        <f t="shared" si="104"/>
        <v>0.23206688139059306</v>
      </c>
      <c r="AG365" s="537" t="str">
        <f t="shared" si="98"/>
        <v/>
      </c>
      <c r="AH365" s="537" t="str">
        <f t="shared" si="99"/>
        <v/>
      </c>
      <c r="AI365" s="525" t="str">
        <f t="shared" si="100"/>
        <v/>
      </c>
      <c r="AJ365" s="522"/>
      <c r="AK365" s="522"/>
      <c r="AL365" s="526" t="str">
        <f t="shared" si="105"/>
        <v/>
      </c>
      <c r="AM365" s="526" t="str">
        <f t="shared" si="106"/>
        <v/>
      </c>
      <c r="AN365" s="526">
        <f t="shared" si="107"/>
        <v>3.6887500000000004E-2</v>
      </c>
      <c r="AO365" s="526">
        <f t="shared" si="108"/>
        <v>-3.2998825387130792</v>
      </c>
    </row>
    <row r="366" spans="1:41" x14ac:dyDescent="0.25">
      <c r="A366" s="2">
        <v>5176376</v>
      </c>
      <c r="B366" s="522" t="s">
        <v>312</v>
      </c>
      <c r="C366" s="522">
        <v>2018</v>
      </c>
      <c r="D366" s="522" t="s">
        <v>297</v>
      </c>
      <c r="E366" s="522" t="s">
        <v>333</v>
      </c>
      <c r="F366" s="522" t="s">
        <v>299</v>
      </c>
      <c r="G366" s="522"/>
      <c r="H366" s="522" t="s">
        <v>355</v>
      </c>
      <c r="I366" s="522"/>
      <c r="J366" s="2" t="s">
        <v>301</v>
      </c>
      <c r="K366" s="522" t="str">
        <f t="shared" si="109"/>
        <v>12-hr TWA</v>
      </c>
      <c r="L366" s="522" t="s">
        <v>302</v>
      </c>
      <c r="M366" s="535">
        <v>42061</v>
      </c>
      <c r="N366" s="2">
        <v>680</v>
      </c>
      <c r="O366" s="2">
        <v>1</v>
      </c>
      <c r="P366" s="2"/>
      <c r="Q366" s="2"/>
      <c r="R366" s="2"/>
      <c r="S366" s="2"/>
      <c r="T366" s="2"/>
      <c r="U366" s="2"/>
      <c r="V366" s="2"/>
      <c r="W366" s="2">
        <v>1.1000000000000001</v>
      </c>
      <c r="X366" s="2" t="str">
        <f t="shared" si="101"/>
        <v/>
      </c>
      <c r="Y366" s="539">
        <f t="shared" si="102"/>
        <v>1.038888888888889</v>
      </c>
      <c r="Z366" s="2"/>
      <c r="AA366" s="2"/>
      <c r="AB366" s="2"/>
      <c r="AC366" s="2"/>
      <c r="AD366" s="537">
        <f t="shared" si="110"/>
        <v>6.9203271983640082</v>
      </c>
      <c r="AE366" s="537" t="str">
        <f t="shared" si="103"/>
        <v/>
      </c>
      <c r="AF366" s="537">
        <f t="shared" si="104"/>
        <v>6.535864576232675</v>
      </c>
      <c r="AG366" s="537" t="str">
        <f t="shared" si="98"/>
        <v/>
      </c>
      <c r="AH366" s="537" t="str">
        <f t="shared" si="99"/>
        <v/>
      </c>
      <c r="AI366" s="525" t="str">
        <f t="shared" si="100"/>
        <v/>
      </c>
      <c r="AJ366" s="522"/>
      <c r="AK366" s="522"/>
      <c r="AL366" s="526" t="str">
        <f t="shared" si="105"/>
        <v/>
      </c>
      <c r="AM366" s="526" t="str">
        <f t="shared" si="106"/>
        <v/>
      </c>
      <c r="AN366" s="526">
        <f t="shared" si="107"/>
        <v>1.038888888888889</v>
      </c>
      <c r="AO366" s="526">
        <f t="shared" si="108"/>
        <v>3.8151765964376326E-2</v>
      </c>
    </row>
    <row r="367" spans="1:41" x14ac:dyDescent="0.25">
      <c r="A367" s="2">
        <v>5176376</v>
      </c>
      <c r="B367" s="522" t="s">
        <v>312</v>
      </c>
      <c r="C367" s="522">
        <v>2018</v>
      </c>
      <c r="D367" s="522" t="s">
        <v>297</v>
      </c>
      <c r="E367" s="522" t="s">
        <v>333</v>
      </c>
      <c r="F367" s="522" t="s">
        <v>299</v>
      </c>
      <c r="G367" s="522"/>
      <c r="H367" s="522" t="s">
        <v>353</v>
      </c>
      <c r="I367" s="522"/>
      <c r="J367" s="2" t="s">
        <v>301</v>
      </c>
      <c r="K367" s="522" t="str">
        <f t="shared" si="109"/>
        <v>12-hr TWA</v>
      </c>
      <c r="L367" s="522" t="s">
        <v>302</v>
      </c>
      <c r="M367" s="535">
        <v>42170</v>
      </c>
      <c r="N367" s="2">
        <v>660</v>
      </c>
      <c r="O367" s="2">
        <v>1</v>
      </c>
      <c r="P367" s="2"/>
      <c r="Q367" s="2"/>
      <c r="R367" s="2"/>
      <c r="S367" s="2"/>
      <c r="T367" s="2"/>
      <c r="U367" s="2"/>
      <c r="V367" s="2"/>
      <c r="W367" s="2">
        <v>4.8000000000000001E-2</v>
      </c>
      <c r="X367" s="2" t="str">
        <f t="shared" si="101"/>
        <v/>
      </c>
      <c r="Y367" s="2">
        <f t="shared" si="102"/>
        <v>2.1999999999999999E-2</v>
      </c>
      <c r="Z367" s="2"/>
      <c r="AA367" s="2"/>
      <c r="AB367" s="2"/>
      <c r="AC367" s="2"/>
      <c r="AD367" s="536">
        <f t="shared" si="110"/>
        <v>0.30197791411042946</v>
      </c>
      <c r="AE367" s="536" t="str">
        <f t="shared" si="103"/>
        <v/>
      </c>
      <c r="AF367" s="536">
        <f t="shared" si="104"/>
        <v>0.13840654396728017</v>
      </c>
      <c r="AG367" s="537" t="str">
        <f t="shared" si="98"/>
        <v/>
      </c>
      <c r="AH367" s="537" t="str">
        <f t="shared" si="99"/>
        <v/>
      </c>
      <c r="AI367" s="525" t="str">
        <f t="shared" si="100"/>
        <v/>
      </c>
      <c r="AJ367" s="522"/>
      <c r="AK367" s="522" t="s">
        <v>315</v>
      </c>
      <c r="AL367" s="526" t="str">
        <f t="shared" si="105"/>
        <v/>
      </c>
      <c r="AM367" s="526" t="str">
        <f t="shared" si="106"/>
        <v/>
      </c>
      <c r="AN367" s="526" t="str">
        <f t="shared" si="107"/>
        <v/>
      </c>
      <c r="AO367" s="526" t="str">
        <f t="shared" si="108"/>
        <v/>
      </c>
    </row>
    <row r="368" spans="1:41" x14ac:dyDescent="0.25">
      <c r="A368" s="2">
        <v>5176376</v>
      </c>
      <c r="B368" s="522" t="s">
        <v>312</v>
      </c>
      <c r="C368" s="522">
        <v>2018</v>
      </c>
      <c r="D368" s="522" t="s">
        <v>297</v>
      </c>
      <c r="E368" s="522" t="s">
        <v>333</v>
      </c>
      <c r="F368" s="522" t="s">
        <v>299</v>
      </c>
      <c r="G368" s="522"/>
      <c r="H368" s="522" t="s">
        <v>353</v>
      </c>
      <c r="I368" s="522"/>
      <c r="J368" s="2" t="s">
        <v>301</v>
      </c>
      <c r="K368" s="522" t="str">
        <f t="shared" si="109"/>
        <v>12-hr TWA</v>
      </c>
      <c r="L368" s="522" t="s">
        <v>302</v>
      </c>
      <c r="M368" s="535">
        <v>42172</v>
      </c>
      <c r="N368" s="2">
        <v>720</v>
      </c>
      <c r="O368" s="2">
        <v>1</v>
      </c>
      <c r="P368" s="2"/>
      <c r="Q368" s="2"/>
      <c r="R368" s="2"/>
      <c r="S368" s="2"/>
      <c r="T368" s="2"/>
      <c r="U368" s="2"/>
      <c r="V368" s="2"/>
      <c r="W368" s="2">
        <v>4.3999999999999997E-2</v>
      </c>
      <c r="X368" s="2" t="str">
        <f t="shared" si="101"/>
        <v/>
      </c>
      <c r="Y368" s="2">
        <f t="shared" si="102"/>
        <v>2.1999999999999999E-2</v>
      </c>
      <c r="Z368" s="2"/>
      <c r="AA368" s="2"/>
      <c r="AB368" s="2"/>
      <c r="AC368" s="2"/>
      <c r="AD368" s="536">
        <f t="shared" si="110"/>
        <v>0.27681308793456033</v>
      </c>
      <c r="AE368" s="536" t="str">
        <f t="shared" si="103"/>
        <v/>
      </c>
      <c r="AF368" s="536">
        <f t="shared" si="104"/>
        <v>0.13840654396728017</v>
      </c>
      <c r="AG368" s="537" t="str">
        <f t="shared" si="98"/>
        <v/>
      </c>
      <c r="AH368" s="537" t="str">
        <f t="shared" si="99"/>
        <v/>
      </c>
      <c r="AI368" s="525" t="str">
        <f t="shared" si="100"/>
        <v/>
      </c>
      <c r="AJ368" s="522"/>
      <c r="AK368" s="522" t="s">
        <v>315</v>
      </c>
      <c r="AL368" s="526" t="str">
        <f t="shared" si="105"/>
        <v/>
      </c>
      <c r="AM368" s="526" t="str">
        <f t="shared" si="106"/>
        <v/>
      </c>
      <c r="AN368" s="526" t="str">
        <f t="shared" si="107"/>
        <v/>
      </c>
      <c r="AO368" s="526" t="str">
        <f t="shared" si="108"/>
        <v/>
      </c>
    </row>
    <row r="369" spans="1:41" x14ac:dyDescent="0.25">
      <c r="A369" s="2">
        <v>5176376</v>
      </c>
      <c r="B369" s="522" t="s">
        <v>312</v>
      </c>
      <c r="C369" s="522">
        <v>2018</v>
      </c>
      <c r="D369" s="522" t="s">
        <v>297</v>
      </c>
      <c r="E369" s="522" t="s">
        <v>333</v>
      </c>
      <c r="F369" s="522" t="s">
        <v>299</v>
      </c>
      <c r="G369" s="522"/>
      <c r="H369" s="522" t="s">
        <v>354</v>
      </c>
      <c r="I369" s="522"/>
      <c r="J369" s="2" t="s">
        <v>301</v>
      </c>
      <c r="K369" s="522" t="str">
        <f t="shared" si="109"/>
        <v>12-hr TWA</v>
      </c>
      <c r="L369" s="522" t="s">
        <v>302</v>
      </c>
      <c r="M369" s="535">
        <v>42424</v>
      </c>
      <c r="N369" s="2">
        <v>720</v>
      </c>
      <c r="O369" s="2">
        <v>1</v>
      </c>
      <c r="P369" s="2"/>
      <c r="Q369" s="2"/>
      <c r="R369" s="2"/>
      <c r="S369" s="2"/>
      <c r="T369" s="2"/>
      <c r="U369" s="2"/>
      <c r="V369" s="2"/>
      <c r="W369" s="2">
        <v>0.11</v>
      </c>
      <c r="X369" s="2" t="str">
        <f t="shared" ref="X369:X384" si="111">IF($K369="8-hr TWA", IF($N369&lt;480,IF($AK369="ND",IF($AR$9&lt;3,($W369/SQRT(2))*$N369/480, ($W369/2)*$N369/480),$W369*$N369/480),IF($AK369="ND",IF($AR$9&lt;3,($W369/SQRT(2)), ($W369/2)),$W369)),"")</f>
        <v/>
      </c>
      <c r="Y369" s="2">
        <f t="shared" ref="Y369:Y384" si="112">IF($K369="12-hr TWA", IF($N369&lt;720,IF($AK369="ND",IF($AS$9&lt;3,($W369/SQRT(2))*$N369/720, ($W369/2)*$N369/720),$W369*$N369/720),IF($AK369="ND",IF($AS$9&lt;3,($W369/SQRT(2)), ($W369/2)),$W369)),"")</f>
        <v>0.11</v>
      </c>
      <c r="Z369" s="2"/>
      <c r="AA369" s="2"/>
      <c r="AB369" s="2"/>
      <c r="AC369" s="2"/>
      <c r="AD369" s="536">
        <f t="shared" si="110"/>
        <v>0.69203271983640069</v>
      </c>
      <c r="AE369" s="536" t="str">
        <f t="shared" ref="AE369:AE384" si="113">+IFERROR(X369*MolW/MolVol,"")</f>
        <v/>
      </c>
      <c r="AF369" s="536">
        <f t="shared" ref="AF369:AF384" si="114">+IFERROR(Y369*MolW/MolVol,"")</f>
        <v>0.69203271983640069</v>
      </c>
      <c r="AG369" s="537" t="str">
        <f t="shared" si="98"/>
        <v/>
      </c>
      <c r="AH369" s="537" t="str">
        <f t="shared" si="99"/>
        <v/>
      </c>
      <c r="AI369" s="525" t="str">
        <f t="shared" si="100"/>
        <v/>
      </c>
      <c r="AJ369" s="522"/>
      <c r="AK369" s="522"/>
      <c r="AL369" s="526" t="str">
        <f t="shared" ref="AL369:AL384" si="115">IF($K369="8-hr TWA", IF($AK369&lt;&gt;"ND", IF($N369&lt;480, $W369*$N369/480,$W369),""),"")</f>
        <v/>
      </c>
      <c r="AM369" s="526" t="str">
        <f t="shared" ref="AM369:AM384" si="116">+IFERROR(LN(AL369), "")</f>
        <v/>
      </c>
      <c r="AN369" s="526">
        <f t="shared" ref="AN369:AN384" si="117">IF($K369="12-hr TWA", IF($AK369&lt;&gt;"ND", IF($N369&lt;720, $W369*$N369/720,$W369),""),"")</f>
        <v>0.11</v>
      </c>
      <c r="AO369" s="526">
        <f t="shared" ref="AO369:AO384" si="118">+IFERROR(LN(AN369), "")</f>
        <v>-2.2072749131897207</v>
      </c>
    </row>
    <row r="370" spans="1:41" x14ac:dyDescent="0.25">
      <c r="A370" s="2">
        <v>5176376</v>
      </c>
      <c r="B370" s="522" t="s">
        <v>312</v>
      </c>
      <c r="C370" s="522">
        <v>2018</v>
      </c>
      <c r="D370" s="522" t="s">
        <v>297</v>
      </c>
      <c r="E370" s="522" t="s">
        <v>333</v>
      </c>
      <c r="F370" s="522" t="s">
        <v>299</v>
      </c>
      <c r="G370" s="522"/>
      <c r="H370" s="522" t="s">
        <v>353</v>
      </c>
      <c r="I370" s="522"/>
      <c r="J370" s="2" t="s">
        <v>301</v>
      </c>
      <c r="K370" s="522" t="str">
        <f t="shared" si="109"/>
        <v>8-hr TWA</v>
      </c>
      <c r="L370" s="522" t="s">
        <v>302</v>
      </c>
      <c r="M370" s="535">
        <v>42444</v>
      </c>
      <c r="N370" s="2">
        <v>480</v>
      </c>
      <c r="O370" s="2">
        <v>1</v>
      </c>
      <c r="P370" s="2"/>
      <c r="Q370" s="2"/>
      <c r="R370" s="2"/>
      <c r="S370" s="2"/>
      <c r="T370" s="2"/>
      <c r="U370" s="2"/>
      <c r="V370" s="2"/>
      <c r="W370" s="2">
        <v>6.6000000000000003E-2</v>
      </c>
      <c r="X370" s="524">
        <f t="shared" si="111"/>
        <v>4.6669047558312138E-2</v>
      </c>
      <c r="Y370" s="2" t="str">
        <f t="shared" si="112"/>
        <v/>
      </c>
      <c r="Z370" s="2"/>
      <c r="AA370" s="2"/>
      <c r="AB370" s="2"/>
      <c r="AC370" s="2"/>
      <c r="AD370" s="536">
        <f t="shared" si="110"/>
        <v>0.41521963190184052</v>
      </c>
      <c r="AE370" s="536">
        <f t="shared" si="113"/>
        <v>0.29360461739957355</v>
      </c>
      <c r="AF370" s="536" t="str">
        <f t="shared" si="114"/>
        <v/>
      </c>
      <c r="AG370" s="537" t="str">
        <f t="shared" si="98"/>
        <v/>
      </c>
      <c r="AH370" s="537" t="str">
        <f t="shared" si="99"/>
        <v/>
      </c>
      <c r="AI370" s="525" t="str">
        <f t="shared" si="100"/>
        <v/>
      </c>
      <c r="AJ370" s="522"/>
      <c r="AK370" s="522" t="s">
        <v>315</v>
      </c>
      <c r="AL370" s="526" t="str">
        <f t="shared" si="115"/>
        <v/>
      </c>
      <c r="AM370" s="526" t="str">
        <f t="shared" si="116"/>
        <v/>
      </c>
      <c r="AN370" s="526" t="str">
        <f t="shared" si="117"/>
        <v/>
      </c>
      <c r="AO370" s="526" t="str">
        <f t="shared" si="118"/>
        <v/>
      </c>
    </row>
    <row r="371" spans="1:41" x14ac:dyDescent="0.25">
      <c r="A371" s="2">
        <v>5176376</v>
      </c>
      <c r="B371" s="522" t="s">
        <v>312</v>
      </c>
      <c r="C371" s="522">
        <v>2018</v>
      </c>
      <c r="D371" s="522" t="s">
        <v>297</v>
      </c>
      <c r="E371" s="522" t="s">
        <v>333</v>
      </c>
      <c r="F371" s="522" t="s">
        <v>299</v>
      </c>
      <c r="G371" s="522"/>
      <c r="H371" s="522" t="s">
        <v>353</v>
      </c>
      <c r="I371" s="522"/>
      <c r="J371" s="2" t="s">
        <v>301</v>
      </c>
      <c r="K371" s="522" t="str">
        <f t="shared" si="109"/>
        <v>8-hr TWA</v>
      </c>
      <c r="L371" s="522" t="s">
        <v>302</v>
      </c>
      <c r="M371" s="535">
        <v>42445</v>
      </c>
      <c r="N371" s="2">
        <v>480</v>
      </c>
      <c r="O371" s="2">
        <v>1</v>
      </c>
      <c r="P371" s="2"/>
      <c r="Q371" s="2"/>
      <c r="R371" s="2"/>
      <c r="S371" s="2"/>
      <c r="T371" s="2"/>
      <c r="U371" s="2"/>
      <c r="V371" s="2"/>
      <c r="W371" s="2">
        <v>6.6000000000000003E-2</v>
      </c>
      <c r="X371" s="524">
        <f t="shared" si="111"/>
        <v>4.6669047558312138E-2</v>
      </c>
      <c r="Y371" s="2" t="str">
        <f t="shared" si="112"/>
        <v/>
      </c>
      <c r="Z371" s="2"/>
      <c r="AA371" s="2"/>
      <c r="AB371" s="2"/>
      <c r="AC371" s="2"/>
      <c r="AD371" s="536">
        <f t="shared" si="110"/>
        <v>0.41521963190184052</v>
      </c>
      <c r="AE371" s="536">
        <f t="shared" si="113"/>
        <v>0.29360461739957355</v>
      </c>
      <c r="AF371" s="536" t="str">
        <f t="shared" si="114"/>
        <v/>
      </c>
      <c r="AG371" s="537" t="str">
        <f t="shared" si="98"/>
        <v/>
      </c>
      <c r="AH371" s="537" t="str">
        <f t="shared" si="99"/>
        <v/>
      </c>
      <c r="AI371" s="525" t="str">
        <f t="shared" si="100"/>
        <v/>
      </c>
      <c r="AJ371" s="522"/>
      <c r="AK371" s="522" t="s">
        <v>315</v>
      </c>
      <c r="AL371" s="526" t="str">
        <f t="shared" si="115"/>
        <v/>
      </c>
      <c r="AM371" s="526" t="str">
        <f t="shared" si="116"/>
        <v/>
      </c>
      <c r="AN371" s="526" t="str">
        <f t="shared" si="117"/>
        <v/>
      </c>
      <c r="AO371" s="526" t="str">
        <f t="shared" si="118"/>
        <v/>
      </c>
    </row>
    <row r="372" spans="1:41" x14ac:dyDescent="0.25">
      <c r="A372" s="2">
        <v>5176376</v>
      </c>
      <c r="B372" s="522" t="s">
        <v>312</v>
      </c>
      <c r="C372" s="522">
        <v>2018</v>
      </c>
      <c r="D372" s="522" t="s">
        <v>297</v>
      </c>
      <c r="E372" s="522" t="s">
        <v>333</v>
      </c>
      <c r="F372" s="522" t="s">
        <v>299</v>
      </c>
      <c r="G372" s="522"/>
      <c r="H372" s="522" t="s">
        <v>354</v>
      </c>
      <c r="I372" s="522"/>
      <c r="J372" s="2" t="s">
        <v>301</v>
      </c>
      <c r="K372" s="522" t="str">
        <f t="shared" si="109"/>
        <v>12-hr TWA</v>
      </c>
      <c r="L372" s="522" t="s">
        <v>302</v>
      </c>
      <c r="M372" s="535">
        <v>42445</v>
      </c>
      <c r="N372" s="2">
        <v>720</v>
      </c>
      <c r="O372" s="2">
        <v>1</v>
      </c>
      <c r="P372" s="2"/>
      <c r="Q372" s="2"/>
      <c r="R372" s="2"/>
      <c r="S372" s="2"/>
      <c r="T372" s="2"/>
      <c r="U372" s="2"/>
      <c r="V372" s="2"/>
      <c r="W372" s="2">
        <v>4.3999999999999997E-2</v>
      </c>
      <c r="X372" s="2" t="str">
        <f t="shared" si="111"/>
        <v/>
      </c>
      <c r="Y372" s="2">
        <f t="shared" si="112"/>
        <v>2.1999999999999999E-2</v>
      </c>
      <c r="Z372" s="2"/>
      <c r="AA372" s="2"/>
      <c r="AB372" s="2"/>
      <c r="AC372" s="2"/>
      <c r="AD372" s="536">
        <f t="shared" si="110"/>
        <v>0.27681308793456033</v>
      </c>
      <c r="AE372" s="536" t="str">
        <f t="shared" si="113"/>
        <v/>
      </c>
      <c r="AF372" s="536">
        <f t="shared" si="114"/>
        <v>0.13840654396728017</v>
      </c>
      <c r="AG372" s="537" t="str">
        <f t="shared" si="98"/>
        <v/>
      </c>
      <c r="AH372" s="537" t="str">
        <f t="shared" si="99"/>
        <v/>
      </c>
      <c r="AI372" s="525" t="str">
        <f t="shared" si="100"/>
        <v/>
      </c>
      <c r="AJ372" s="522"/>
      <c r="AK372" s="522" t="s">
        <v>315</v>
      </c>
      <c r="AL372" s="526" t="str">
        <f t="shared" si="115"/>
        <v/>
      </c>
      <c r="AM372" s="526" t="str">
        <f t="shared" si="116"/>
        <v/>
      </c>
      <c r="AN372" s="526" t="str">
        <f t="shared" si="117"/>
        <v/>
      </c>
      <c r="AO372" s="526" t="str">
        <f t="shared" si="118"/>
        <v/>
      </c>
    </row>
    <row r="373" spans="1:41" x14ac:dyDescent="0.25">
      <c r="A373" s="2">
        <v>5176376</v>
      </c>
      <c r="B373" s="522" t="s">
        <v>312</v>
      </c>
      <c r="C373" s="522">
        <v>2018</v>
      </c>
      <c r="D373" s="522" t="s">
        <v>297</v>
      </c>
      <c r="E373" s="522" t="s">
        <v>333</v>
      </c>
      <c r="F373" s="522" t="s">
        <v>299</v>
      </c>
      <c r="G373" s="522"/>
      <c r="H373" s="522" t="s">
        <v>355</v>
      </c>
      <c r="I373" s="522"/>
      <c r="J373" s="2" t="s">
        <v>301</v>
      </c>
      <c r="K373" s="522" t="str">
        <f t="shared" si="109"/>
        <v>12-hr TWA</v>
      </c>
      <c r="L373" s="522" t="s">
        <v>302</v>
      </c>
      <c r="M373" s="535">
        <v>42528</v>
      </c>
      <c r="N373" s="2">
        <v>686</v>
      </c>
      <c r="O373" s="2">
        <v>1</v>
      </c>
      <c r="P373" s="2"/>
      <c r="Q373" s="2"/>
      <c r="R373" s="2"/>
      <c r="S373" s="2"/>
      <c r="T373" s="2"/>
      <c r="U373" s="2"/>
      <c r="V373" s="2"/>
      <c r="W373" s="2">
        <v>4.3999999999999997E-2</v>
      </c>
      <c r="X373" s="2" t="str">
        <f t="shared" si="111"/>
        <v/>
      </c>
      <c r="Y373" s="524">
        <f t="shared" si="112"/>
        <v>2.0961111111111111E-2</v>
      </c>
      <c r="Z373" s="2"/>
      <c r="AA373" s="2"/>
      <c r="AB373" s="2"/>
      <c r="AC373" s="2"/>
      <c r="AD373" s="536">
        <f t="shared" si="110"/>
        <v>0.27681308793456033</v>
      </c>
      <c r="AE373" s="536" t="str">
        <f t="shared" si="113"/>
        <v/>
      </c>
      <c r="AF373" s="536">
        <f t="shared" si="114"/>
        <v>0.13187067939104749</v>
      </c>
      <c r="AG373" s="537" t="str">
        <f t="shared" si="98"/>
        <v/>
      </c>
      <c r="AH373" s="537" t="str">
        <f t="shared" si="99"/>
        <v/>
      </c>
      <c r="AI373" s="525" t="str">
        <f t="shared" si="100"/>
        <v/>
      </c>
      <c r="AJ373" s="522"/>
      <c r="AK373" s="522" t="s">
        <v>315</v>
      </c>
      <c r="AL373" s="526" t="str">
        <f t="shared" si="115"/>
        <v/>
      </c>
      <c r="AM373" s="526" t="str">
        <f t="shared" si="116"/>
        <v/>
      </c>
      <c r="AN373" s="526" t="str">
        <f t="shared" si="117"/>
        <v/>
      </c>
      <c r="AO373" s="526" t="str">
        <f t="shared" si="118"/>
        <v/>
      </c>
    </row>
    <row r="374" spans="1:41" x14ac:dyDescent="0.25">
      <c r="A374" s="2">
        <v>5176376</v>
      </c>
      <c r="B374" s="522" t="s">
        <v>312</v>
      </c>
      <c r="C374" s="522">
        <v>2018</v>
      </c>
      <c r="D374" s="522" t="s">
        <v>297</v>
      </c>
      <c r="E374" s="522" t="s">
        <v>333</v>
      </c>
      <c r="F374" s="522" t="s">
        <v>299</v>
      </c>
      <c r="G374" s="522"/>
      <c r="H374" s="522" t="s">
        <v>356</v>
      </c>
      <c r="I374" s="522"/>
      <c r="J374" s="2" t="s">
        <v>301</v>
      </c>
      <c r="K374" s="522" t="str">
        <f t="shared" si="109"/>
        <v>12-hr TWA</v>
      </c>
      <c r="L374" s="522" t="s">
        <v>302</v>
      </c>
      <c r="M374" s="535">
        <v>42528</v>
      </c>
      <c r="N374" s="2">
        <v>720</v>
      </c>
      <c r="O374" s="2">
        <v>1</v>
      </c>
      <c r="P374" s="2"/>
      <c r="Q374" s="2"/>
      <c r="R374" s="2"/>
      <c r="S374" s="2"/>
      <c r="T374" s="2"/>
      <c r="U374" s="2"/>
      <c r="V374" s="2"/>
      <c r="W374" s="2">
        <v>4.3999999999999997E-2</v>
      </c>
      <c r="X374" s="2" t="str">
        <f t="shared" si="111"/>
        <v/>
      </c>
      <c r="Y374" s="2">
        <f t="shared" si="112"/>
        <v>4.3999999999999997E-2</v>
      </c>
      <c r="Z374" s="2"/>
      <c r="AA374" s="2"/>
      <c r="AB374" s="2"/>
      <c r="AC374" s="2"/>
      <c r="AD374" s="536">
        <f t="shared" si="110"/>
        <v>0.27681308793456033</v>
      </c>
      <c r="AE374" s="536" t="str">
        <f t="shared" si="113"/>
        <v/>
      </c>
      <c r="AF374" s="536">
        <f t="shared" si="114"/>
        <v>0.27681308793456033</v>
      </c>
      <c r="AG374" s="537" t="str">
        <f t="shared" si="98"/>
        <v/>
      </c>
      <c r="AH374" s="537" t="str">
        <f t="shared" si="99"/>
        <v/>
      </c>
      <c r="AI374" s="525" t="str">
        <f t="shared" si="100"/>
        <v/>
      </c>
      <c r="AJ374" s="522"/>
      <c r="AK374" s="522"/>
      <c r="AL374" s="526" t="str">
        <f t="shared" si="115"/>
        <v/>
      </c>
      <c r="AM374" s="526" t="str">
        <f t="shared" si="116"/>
        <v/>
      </c>
      <c r="AN374" s="526">
        <f t="shared" si="117"/>
        <v>4.3999999999999997E-2</v>
      </c>
      <c r="AO374" s="526">
        <f t="shared" si="118"/>
        <v>-3.1235656450638758</v>
      </c>
    </row>
    <row r="375" spans="1:41" x14ac:dyDescent="0.25">
      <c r="A375" s="2">
        <v>5176376</v>
      </c>
      <c r="B375" s="522" t="s">
        <v>312</v>
      </c>
      <c r="C375" s="522">
        <v>2018</v>
      </c>
      <c r="D375" s="522" t="s">
        <v>297</v>
      </c>
      <c r="E375" s="522" t="s">
        <v>333</v>
      </c>
      <c r="F375" s="522" t="s">
        <v>299</v>
      </c>
      <c r="G375" s="522"/>
      <c r="H375" s="522" t="s">
        <v>357</v>
      </c>
      <c r="I375" s="522"/>
      <c r="J375" s="2" t="s">
        <v>301</v>
      </c>
      <c r="K375" s="522" t="str">
        <f t="shared" si="109"/>
        <v>8-hr TWA</v>
      </c>
      <c r="L375" s="522" t="s">
        <v>302</v>
      </c>
      <c r="M375" s="535">
        <v>42528</v>
      </c>
      <c r="N375" s="2">
        <v>480</v>
      </c>
      <c r="O375" s="2">
        <v>1</v>
      </c>
      <c r="P375" s="2"/>
      <c r="Q375" s="2"/>
      <c r="R375" s="2"/>
      <c r="S375" s="2"/>
      <c r="T375" s="2"/>
      <c r="U375" s="2"/>
      <c r="V375" s="2"/>
      <c r="W375" s="2">
        <v>6.6000000000000003E-2</v>
      </c>
      <c r="X375" s="524">
        <f t="shared" si="111"/>
        <v>4.6669047558312138E-2</v>
      </c>
      <c r="Y375" s="2" t="str">
        <f t="shared" si="112"/>
        <v/>
      </c>
      <c r="Z375" s="2"/>
      <c r="AA375" s="2"/>
      <c r="AB375" s="2"/>
      <c r="AC375" s="2"/>
      <c r="AD375" s="536">
        <f t="shared" si="110"/>
        <v>0.41521963190184052</v>
      </c>
      <c r="AE375" s="536">
        <f t="shared" si="113"/>
        <v>0.29360461739957355</v>
      </c>
      <c r="AF375" s="536" t="str">
        <f t="shared" si="114"/>
        <v/>
      </c>
      <c r="AG375" s="537" t="str">
        <f t="shared" si="98"/>
        <v/>
      </c>
      <c r="AH375" s="537" t="str">
        <f t="shared" si="99"/>
        <v/>
      </c>
      <c r="AI375" s="525" t="str">
        <f t="shared" si="100"/>
        <v/>
      </c>
      <c r="AJ375" s="522"/>
      <c r="AK375" s="522" t="s">
        <v>315</v>
      </c>
      <c r="AL375" s="526" t="str">
        <f t="shared" si="115"/>
        <v/>
      </c>
      <c r="AM375" s="526" t="str">
        <f t="shared" si="116"/>
        <v/>
      </c>
      <c r="AN375" s="526" t="str">
        <f t="shared" si="117"/>
        <v/>
      </c>
      <c r="AO375" s="526" t="str">
        <f t="shared" si="118"/>
        <v/>
      </c>
    </row>
    <row r="376" spans="1:41" x14ac:dyDescent="0.25">
      <c r="A376" s="2">
        <v>5176376</v>
      </c>
      <c r="B376" s="522" t="s">
        <v>312</v>
      </c>
      <c r="C376" s="522">
        <v>2018</v>
      </c>
      <c r="D376" s="522" t="s">
        <v>297</v>
      </c>
      <c r="E376" s="522" t="s">
        <v>333</v>
      </c>
      <c r="F376" s="522" t="s">
        <v>299</v>
      </c>
      <c r="G376" s="522"/>
      <c r="H376" s="522" t="s">
        <v>355</v>
      </c>
      <c r="I376" s="522"/>
      <c r="J376" s="2" t="s">
        <v>301</v>
      </c>
      <c r="K376" s="522" t="str">
        <f t="shared" si="109"/>
        <v>12-hr TWA</v>
      </c>
      <c r="L376" s="522" t="s">
        <v>302</v>
      </c>
      <c r="M376" s="535">
        <v>42529</v>
      </c>
      <c r="N376" s="2">
        <v>720</v>
      </c>
      <c r="O376" s="2">
        <v>1</v>
      </c>
      <c r="P376" s="2"/>
      <c r="Q376" s="2"/>
      <c r="R376" s="2"/>
      <c r="S376" s="2"/>
      <c r="T376" s="2"/>
      <c r="U376" s="2"/>
      <c r="V376" s="2"/>
      <c r="W376" s="2">
        <v>1.6</v>
      </c>
      <c r="X376" s="2" t="str">
        <f t="shared" si="111"/>
        <v/>
      </c>
      <c r="Y376" s="2">
        <f t="shared" si="112"/>
        <v>1.6</v>
      </c>
      <c r="Z376" s="2"/>
      <c r="AA376" s="2"/>
      <c r="AB376" s="2"/>
      <c r="AC376" s="2"/>
      <c r="AD376" s="540">
        <f t="shared" si="110"/>
        <v>10.065930470347649</v>
      </c>
      <c r="AE376" s="540" t="str">
        <f t="shared" si="113"/>
        <v/>
      </c>
      <c r="AF376" s="540">
        <f t="shared" si="114"/>
        <v>10.065930470347649</v>
      </c>
      <c r="AG376" s="537" t="str">
        <f t="shared" si="98"/>
        <v/>
      </c>
      <c r="AH376" s="537" t="str">
        <f t="shared" si="99"/>
        <v/>
      </c>
      <c r="AI376" s="525" t="str">
        <f t="shared" si="100"/>
        <v/>
      </c>
      <c r="AJ376" s="522"/>
      <c r="AK376" s="522"/>
      <c r="AL376" s="526" t="str">
        <f t="shared" si="115"/>
        <v/>
      </c>
      <c r="AM376" s="526" t="str">
        <f t="shared" si="116"/>
        <v/>
      </c>
      <c r="AN376" s="526">
        <f t="shared" si="117"/>
        <v>1.6</v>
      </c>
      <c r="AO376" s="526">
        <f t="shared" si="118"/>
        <v>0.47000362924573563</v>
      </c>
    </row>
    <row r="377" spans="1:41" x14ac:dyDescent="0.25">
      <c r="A377" s="2">
        <v>5176376</v>
      </c>
      <c r="B377" s="522" t="s">
        <v>312</v>
      </c>
      <c r="C377" s="522">
        <v>2018</v>
      </c>
      <c r="D377" s="522" t="s">
        <v>297</v>
      </c>
      <c r="E377" s="522" t="s">
        <v>333</v>
      </c>
      <c r="F377" s="522" t="s">
        <v>299</v>
      </c>
      <c r="G377" s="522"/>
      <c r="H377" s="522" t="s">
        <v>356</v>
      </c>
      <c r="I377" s="522"/>
      <c r="J377" s="2" t="s">
        <v>301</v>
      </c>
      <c r="K377" s="522" t="str">
        <f t="shared" si="109"/>
        <v>12-hr TWA</v>
      </c>
      <c r="L377" s="522" t="s">
        <v>302</v>
      </c>
      <c r="M377" s="535">
        <v>42529</v>
      </c>
      <c r="N377" s="2">
        <v>720</v>
      </c>
      <c r="O377" s="2">
        <v>1</v>
      </c>
      <c r="P377" s="2"/>
      <c r="Q377" s="2"/>
      <c r="R377" s="2"/>
      <c r="S377" s="2"/>
      <c r="T377" s="2"/>
      <c r="U377" s="2"/>
      <c r="V377" s="2"/>
      <c r="W377" s="444">
        <v>0.3</v>
      </c>
      <c r="X377" s="444" t="str">
        <f t="shared" si="111"/>
        <v/>
      </c>
      <c r="Y377" s="444">
        <f t="shared" si="112"/>
        <v>0.3</v>
      </c>
      <c r="Z377" s="2"/>
      <c r="AA377" s="2"/>
      <c r="AB377" s="2"/>
      <c r="AC377" s="2"/>
      <c r="AD377" s="537">
        <f t="shared" si="110"/>
        <v>1.8873619631901839</v>
      </c>
      <c r="AE377" s="537" t="str">
        <f t="shared" si="113"/>
        <v/>
      </c>
      <c r="AF377" s="537">
        <f t="shared" si="114"/>
        <v>1.8873619631901839</v>
      </c>
      <c r="AG377" s="537" t="str">
        <f t="shared" si="98"/>
        <v/>
      </c>
      <c r="AH377" s="537" t="str">
        <f t="shared" si="99"/>
        <v/>
      </c>
      <c r="AI377" s="525" t="str">
        <f t="shared" si="100"/>
        <v/>
      </c>
      <c r="AJ377" s="522"/>
      <c r="AK377" s="522"/>
      <c r="AL377" s="526" t="str">
        <f t="shared" si="115"/>
        <v/>
      </c>
      <c r="AM377" s="526" t="str">
        <f t="shared" si="116"/>
        <v/>
      </c>
      <c r="AN377" s="526">
        <f t="shared" si="117"/>
        <v>0.3</v>
      </c>
      <c r="AO377" s="526">
        <f t="shared" si="118"/>
        <v>-1.2039728043259361</v>
      </c>
    </row>
    <row r="378" spans="1:41" x14ac:dyDescent="0.25">
      <c r="A378" s="2">
        <v>5176376</v>
      </c>
      <c r="B378" s="522" t="s">
        <v>312</v>
      </c>
      <c r="C378" s="522">
        <v>2018</v>
      </c>
      <c r="D378" s="522" t="s">
        <v>297</v>
      </c>
      <c r="E378" s="522" t="s">
        <v>333</v>
      </c>
      <c r="F378" s="522" t="s">
        <v>299</v>
      </c>
      <c r="G378" s="522"/>
      <c r="H378" s="522" t="s">
        <v>357</v>
      </c>
      <c r="I378" s="522"/>
      <c r="J378" s="2" t="s">
        <v>301</v>
      </c>
      <c r="K378" s="522" t="str">
        <f t="shared" si="109"/>
        <v>8-hr TWA</v>
      </c>
      <c r="L378" s="522" t="s">
        <v>302</v>
      </c>
      <c r="M378" s="535">
        <v>42529</v>
      </c>
      <c r="N378" s="2">
        <v>480</v>
      </c>
      <c r="O378" s="2">
        <v>1</v>
      </c>
      <c r="P378" s="2"/>
      <c r="Q378" s="2"/>
      <c r="R378" s="2"/>
      <c r="S378" s="2"/>
      <c r="T378" s="2"/>
      <c r="U378" s="2"/>
      <c r="V378" s="2"/>
      <c r="W378" s="2">
        <v>1.5</v>
      </c>
      <c r="X378" s="2">
        <f t="shared" si="111"/>
        <v>1.5</v>
      </c>
      <c r="Y378" s="2" t="str">
        <f t="shared" si="112"/>
        <v/>
      </c>
      <c r="Z378" s="2"/>
      <c r="AA378" s="2"/>
      <c r="AB378" s="2"/>
      <c r="AC378" s="2"/>
      <c r="AD378" s="537">
        <f t="shared" si="110"/>
        <v>9.4368098159509195</v>
      </c>
      <c r="AE378" s="537">
        <f t="shared" si="113"/>
        <v>9.4368098159509195</v>
      </c>
      <c r="AF378" s="537" t="str">
        <f t="shared" si="114"/>
        <v/>
      </c>
      <c r="AG378" s="537" t="str">
        <f t="shared" si="98"/>
        <v/>
      </c>
      <c r="AH378" s="537" t="str">
        <f t="shared" si="99"/>
        <v/>
      </c>
      <c r="AI378" s="525" t="str">
        <f t="shared" si="100"/>
        <v/>
      </c>
      <c r="AJ378" s="522"/>
      <c r="AK378" s="522"/>
      <c r="AL378" s="526">
        <f t="shared" si="115"/>
        <v>1.5</v>
      </c>
      <c r="AM378" s="526">
        <f t="shared" si="116"/>
        <v>0.40546510810816438</v>
      </c>
      <c r="AN378" s="526" t="str">
        <f t="shared" si="117"/>
        <v/>
      </c>
      <c r="AO378" s="526" t="str">
        <f t="shared" si="118"/>
        <v/>
      </c>
    </row>
    <row r="379" spans="1:41" x14ac:dyDescent="0.25">
      <c r="A379" s="2">
        <v>5176376</v>
      </c>
      <c r="B379" s="522" t="s">
        <v>312</v>
      </c>
      <c r="C379" s="522">
        <v>2018</v>
      </c>
      <c r="D379" s="522" t="s">
        <v>297</v>
      </c>
      <c r="E379" s="522" t="s">
        <v>333</v>
      </c>
      <c r="F379" s="522" t="s">
        <v>299</v>
      </c>
      <c r="G379" s="522"/>
      <c r="H379" s="522" t="s">
        <v>358</v>
      </c>
      <c r="I379" s="522"/>
      <c r="J379" s="2" t="s">
        <v>301</v>
      </c>
      <c r="K379" s="522" t="str">
        <f t="shared" si="109"/>
        <v>12-hr TWA</v>
      </c>
      <c r="L379" s="522" t="s">
        <v>302</v>
      </c>
      <c r="M379" s="535">
        <v>42710</v>
      </c>
      <c r="N379" s="2">
        <v>600</v>
      </c>
      <c r="O379" s="2">
        <v>1</v>
      </c>
      <c r="P379" s="2"/>
      <c r="Q379" s="2"/>
      <c r="R379" s="2"/>
      <c r="S379" s="2"/>
      <c r="T379" s="2"/>
      <c r="U379" s="2"/>
      <c r="V379" s="2"/>
      <c r="W379" s="2">
        <v>14</v>
      </c>
      <c r="X379" s="2" t="str">
        <f t="shared" si="111"/>
        <v/>
      </c>
      <c r="Y379" s="575">
        <f t="shared" si="112"/>
        <v>11.666666666666666</v>
      </c>
      <c r="Z379" s="2"/>
      <c r="AA379" s="2"/>
      <c r="AB379" s="2"/>
      <c r="AC379" s="2"/>
      <c r="AD379" s="540">
        <f t="shared" si="110"/>
        <v>88.076891615541925</v>
      </c>
      <c r="AE379" s="537" t="str">
        <f t="shared" si="113"/>
        <v/>
      </c>
      <c r="AF379" s="540">
        <f t="shared" si="114"/>
        <v>73.397409679618264</v>
      </c>
      <c r="AG379" s="537" t="str">
        <f t="shared" si="98"/>
        <v/>
      </c>
      <c r="AH379" s="537" t="str">
        <f t="shared" si="99"/>
        <v/>
      </c>
      <c r="AI379" s="525" t="str">
        <f t="shared" si="100"/>
        <v/>
      </c>
      <c r="AJ379" s="522"/>
      <c r="AK379" s="522"/>
      <c r="AL379" s="526" t="str">
        <f t="shared" si="115"/>
        <v/>
      </c>
      <c r="AM379" s="526" t="str">
        <f t="shared" si="116"/>
        <v/>
      </c>
      <c r="AN379" s="526">
        <f t="shared" si="117"/>
        <v>11.666666666666666</v>
      </c>
      <c r="AO379" s="526">
        <f t="shared" si="118"/>
        <v>2.456735772821304</v>
      </c>
    </row>
    <row r="380" spans="1:41" x14ac:dyDescent="0.25">
      <c r="A380" s="2">
        <v>5176376</v>
      </c>
      <c r="B380" s="522" t="s">
        <v>312</v>
      </c>
      <c r="C380" s="522">
        <v>2018</v>
      </c>
      <c r="D380" s="522" t="s">
        <v>297</v>
      </c>
      <c r="E380" s="522" t="s">
        <v>333</v>
      </c>
      <c r="F380" s="522" t="s">
        <v>299</v>
      </c>
      <c r="G380" s="522"/>
      <c r="H380" s="522" t="s">
        <v>358</v>
      </c>
      <c r="I380" s="522"/>
      <c r="J380" s="2" t="s">
        <v>301</v>
      </c>
      <c r="K380" s="522" t="str">
        <f t="shared" si="109"/>
        <v>12-hr TWA</v>
      </c>
      <c r="L380" s="522" t="s">
        <v>302</v>
      </c>
      <c r="M380" s="535">
        <v>42710</v>
      </c>
      <c r="N380" s="2">
        <v>600</v>
      </c>
      <c r="O380" s="2">
        <v>1</v>
      </c>
      <c r="P380" s="2"/>
      <c r="Q380" s="2"/>
      <c r="R380" s="2"/>
      <c r="S380" s="2"/>
      <c r="T380" s="2"/>
      <c r="U380" s="2"/>
      <c r="V380" s="2"/>
      <c r="W380" s="2">
        <v>5.2999999999999999E-2</v>
      </c>
      <c r="X380" s="2" t="str">
        <f t="shared" si="111"/>
        <v/>
      </c>
      <c r="Y380" s="524">
        <f t="shared" si="112"/>
        <v>2.2083333333333333E-2</v>
      </c>
      <c r="Z380" s="2"/>
      <c r="AA380" s="2"/>
      <c r="AB380" s="2"/>
      <c r="AC380" s="2"/>
      <c r="AD380" s="536">
        <f t="shared" si="110"/>
        <v>0.33343394683026584</v>
      </c>
      <c r="AE380" s="537" t="str">
        <f t="shared" si="113"/>
        <v/>
      </c>
      <c r="AF380" s="536">
        <f t="shared" si="114"/>
        <v>0.13893081117927744</v>
      </c>
      <c r="AG380" s="537" t="str">
        <f t="shared" si="98"/>
        <v/>
      </c>
      <c r="AH380" s="537" t="str">
        <f t="shared" si="99"/>
        <v/>
      </c>
      <c r="AI380" s="525" t="str">
        <f t="shared" si="100"/>
        <v/>
      </c>
      <c r="AJ380" s="522"/>
      <c r="AK380" s="522" t="s">
        <v>315</v>
      </c>
      <c r="AL380" s="526" t="str">
        <f t="shared" si="115"/>
        <v/>
      </c>
      <c r="AM380" s="526" t="str">
        <f t="shared" si="116"/>
        <v/>
      </c>
      <c r="AN380" s="526" t="str">
        <f t="shared" si="117"/>
        <v/>
      </c>
      <c r="AO380" s="526" t="str">
        <f t="shared" si="118"/>
        <v/>
      </c>
    </row>
    <row r="381" spans="1:41" x14ac:dyDescent="0.25">
      <c r="A381" s="2">
        <v>5176376</v>
      </c>
      <c r="B381" s="522" t="s">
        <v>312</v>
      </c>
      <c r="C381" s="522">
        <v>2018</v>
      </c>
      <c r="D381" s="522" t="s">
        <v>297</v>
      </c>
      <c r="E381" s="522" t="s">
        <v>333</v>
      </c>
      <c r="F381" s="522" t="s">
        <v>299</v>
      </c>
      <c r="G381" s="522"/>
      <c r="H381" s="522" t="s">
        <v>358</v>
      </c>
      <c r="I381" s="522"/>
      <c r="J381" s="2" t="s">
        <v>301</v>
      </c>
      <c r="K381" s="522" t="str">
        <f t="shared" si="109"/>
        <v>12-hr TWA</v>
      </c>
      <c r="L381" s="522" t="s">
        <v>302</v>
      </c>
      <c r="M381" s="535">
        <v>42710</v>
      </c>
      <c r="N381" s="2">
        <v>600</v>
      </c>
      <c r="O381" s="2">
        <v>1</v>
      </c>
      <c r="P381" s="2"/>
      <c r="Q381" s="2"/>
      <c r="R381" s="2"/>
      <c r="S381" s="2"/>
      <c r="T381" s="2"/>
      <c r="U381" s="2"/>
      <c r="V381" s="2"/>
      <c r="W381" s="2">
        <v>5.2999999999999999E-2</v>
      </c>
      <c r="X381" s="2" t="str">
        <f t="shared" si="111"/>
        <v/>
      </c>
      <c r="Y381" s="524">
        <f t="shared" si="112"/>
        <v>2.2083333333333333E-2</v>
      </c>
      <c r="Z381" s="2"/>
      <c r="AA381" s="2"/>
      <c r="AB381" s="2"/>
      <c r="AC381" s="2"/>
      <c r="AD381" s="536">
        <f t="shared" si="110"/>
        <v>0.33343394683026584</v>
      </c>
      <c r="AE381" s="537" t="str">
        <f t="shared" si="113"/>
        <v/>
      </c>
      <c r="AF381" s="536">
        <f t="shared" si="114"/>
        <v>0.13893081117927744</v>
      </c>
      <c r="AG381" s="537" t="str">
        <f t="shared" si="98"/>
        <v/>
      </c>
      <c r="AH381" s="537" t="str">
        <f t="shared" si="99"/>
        <v/>
      </c>
      <c r="AI381" s="525" t="str">
        <f t="shared" si="100"/>
        <v/>
      </c>
      <c r="AJ381" s="522"/>
      <c r="AK381" s="522" t="s">
        <v>315</v>
      </c>
      <c r="AL381" s="526" t="str">
        <f t="shared" si="115"/>
        <v/>
      </c>
      <c r="AM381" s="526" t="str">
        <f t="shared" si="116"/>
        <v/>
      </c>
      <c r="AN381" s="526" t="str">
        <f t="shared" si="117"/>
        <v/>
      </c>
      <c r="AO381" s="526" t="str">
        <f t="shared" si="118"/>
        <v/>
      </c>
    </row>
    <row r="382" spans="1:41" x14ac:dyDescent="0.25">
      <c r="A382" s="2">
        <v>5176376</v>
      </c>
      <c r="B382" s="522" t="s">
        <v>312</v>
      </c>
      <c r="C382" s="522">
        <v>2018</v>
      </c>
      <c r="D382" s="522" t="s">
        <v>297</v>
      </c>
      <c r="E382" s="522" t="s">
        <v>333</v>
      </c>
      <c r="F382" s="522" t="s">
        <v>299</v>
      </c>
      <c r="G382" s="522"/>
      <c r="H382" s="522" t="s">
        <v>355</v>
      </c>
      <c r="I382" s="522"/>
      <c r="J382" s="2" t="s">
        <v>301</v>
      </c>
      <c r="K382" s="522" t="str">
        <f t="shared" si="109"/>
        <v>12-hr TWA</v>
      </c>
      <c r="L382" s="522" t="s">
        <v>302</v>
      </c>
      <c r="M382" s="535">
        <v>42949</v>
      </c>
      <c r="N382" s="2">
        <v>705</v>
      </c>
      <c r="O382" s="2">
        <v>1</v>
      </c>
      <c r="P382" s="2"/>
      <c r="Q382" s="2"/>
      <c r="R382" s="2"/>
      <c r="S382" s="2"/>
      <c r="T382" s="2"/>
      <c r="U382" s="2"/>
      <c r="V382" s="2"/>
      <c r="W382" s="2">
        <v>0.13</v>
      </c>
      <c r="X382" s="2" t="str">
        <f t="shared" si="111"/>
        <v/>
      </c>
      <c r="Y382" s="444">
        <f t="shared" si="112"/>
        <v>0.12729166666666666</v>
      </c>
      <c r="Z382" s="2"/>
      <c r="AA382" s="2"/>
      <c r="AB382" s="2"/>
      <c r="AC382" s="2"/>
      <c r="AD382" s="536">
        <f t="shared" si="110"/>
        <v>0.81785685071574643</v>
      </c>
      <c r="AE382" s="537" t="str">
        <f t="shared" si="113"/>
        <v/>
      </c>
      <c r="AF382" s="536">
        <f t="shared" si="114"/>
        <v>0.80081816632583502</v>
      </c>
      <c r="AG382" s="537" t="str">
        <f t="shared" si="98"/>
        <v/>
      </c>
      <c r="AH382" s="537" t="str">
        <f t="shared" si="99"/>
        <v/>
      </c>
      <c r="AI382" s="525" t="str">
        <f t="shared" si="100"/>
        <v/>
      </c>
      <c r="AJ382" s="522"/>
      <c r="AK382" s="522"/>
      <c r="AL382" s="526" t="str">
        <f t="shared" si="115"/>
        <v/>
      </c>
      <c r="AM382" s="526" t="str">
        <f t="shared" si="116"/>
        <v/>
      </c>
      <c r="AN382" s="526">
        <f t="shared" si="117"/>
        <v>0.12729166666666666</v>
      </c>
      <c r="AO382" s="526">
        <f t="shared" si="118"/>
        <v>-2.0612742377243869</v>
      </c>
    </row>
    <row r="383" spans="1:41" x14ac:dyDescent="0.25">
      <c r="A383" s="2">
        <v>5176376</v>
      </c>
      <c r="B383" s="522" t="s">
        <v>312</v>
      </c>
      <c r="C383" s="522">
        <v>2018</v>
      </c>
      <c r="D383" s="522" t="s">
        <v>297</v>
      </c>
      <c r="E383" s="522" t="s">
        <v>333</v>
      </c>
      <c r="F383" s="522" t="s">
        <v>299</v>
      </c>
      <c r="G383" s="522"/>
      <c r="H383" s="522" t="s">
        <v>355</v>
      </c>
      <c r="I383" s="522"/>
      <c r="J383" s="2" t="s">
        <v>301</v>
      </c>
      <c r="K383" s="522" t="str">
        <f t="shared" si="109"/>
        <v>12-hr TWA</v>
      </c>
      <c r="L383" s="522" t="s">
        <v>302</v>
      </c>
      <c r="M383" s="535">
        <v>42950</v>
      </c>
      <c r="N383" s="2">
        <v>720</v>
      </c>
      <c r="O383" s="2">
        <v>1</v>
      </c>
      <c r="P383" s="2"/>
      <c r="Q383" s="2"/>
      <c r="R383" s="2"/>
      <c r="S383" s="2"/>
      <c r="T383" s="2"/>
      <c r="U383" s="2"/>
      <c r="V383" s="2"/>
      <c r="W383" s="2">
        <v>0.11</v>
      </c>
      <c r="X383" s="2" t="str">
        <f t="shared" si="111"/>
        <v/>
      </c>
      <c r="Y383" s="2">
        <f t="shared" si="112"/>
        <v>0.11</v>
      </c>
      <c r="Z383" s="2"/>
      <c r="AA383" s="2"/>
      <c r="AB383" s="2"/>
      <c r="AC383" s="2"/>
      <c r="AD383" s="536">
        <f t="shared" si="110"/>
        <v>0.69203271983640069</v>
      </c>
      <c r="AE383" s="537" t="str">
        <f t="shared" si="113"/>
        <v/>
      </c>
      <c r="AF383" s="536">
        <f t="shared" si="114"/>
        <v>0.69203271983640069</v>
      </c>
      <c r="AG383" s="537" t="str">
        <f t="shared" si="98"/>
        <v/>
      </c>
      <c r="AH383" s="537" t="str">
        <f t="shared" si="99"/>
        <v/>
      </c>
      <c r="AI383" s="525" t="str">
        <f t="shared" si="100"/>
        <v/>
      </c>
      <c r="AJ383" s="522"/>
      <c r="AK383" s="522"/>
      <c r="AL383" s="526" t="str">
        <f t="shared" si="115"/>
        <v/>
      </c>
      <c r="AM383" s="526" t="str">
        <f t="shared" si="116"/>
        <v/>
      </c>
      <c r="AN383" s="526">
        <f t="shared" si="117"/>
        <v>0.11</v>
      </c>
      <c r="AO383" s="526">
        <f t="shared" si="118"/>
        <v>-2.2072749131897207</v>
      </c>
    </row>
    <row r="384" spans="1:41" ht="13.8" thickBot="1" x14ac:dyDescent="0.3">
      <c r="A384" s="2">
        <v>5176376</v>
      </c>
      <c r="B384" s="576" t="s">
        <v>312</v>
      </c>
      <c r="C384" s="576">
        <v>2018</v>
      </c>
      <c r="D384" s="576" t="s">
        <v>297</v>
      </c>
      <c r="E384" s="576" t="s">
        <v>333</v>
      </c>
      <c r="F384" s="576" t="s">
        <v>299</v>
      </c>
      <c r="G384" s="576"/>
      <c r="H384" s="576" t="s">
        <v>358</v>
      </c>
      <c r="I384" s="576"/>
      <c r="J384" s="114" t="s">
        <v>301</v>
      </c>
      <c r="K384" s="576" t="str">
        <f t="shared" si="109"/>
        <v>12-hr TWA</v>
      </c>
      <c r="L384" s="576" t="s">
        <v>302</v>
      </c>
      <c r="M384" s="114" t="s">
        <v>359</v>
      </c>
      <c r="N384" s="114">
        <v>600</v>
      </c>
      <c r="O384" s="114">
        <v>1</v>
      </c>
      <c r="P384" s="114"/>
      <c r="Q384" s="114"/>
      <c r="R384" s="114"/>
      <c r="S384" s="114"/>
      <c r="T384" s="114"/>
      <c r="U384" s="114"/>
      <c r="V384" s="114"/>
      <c r="W384" s="114">
        <v>8.8999999999999996E-2</v>
      </c>
      <c r="X384" s="114" t="str">
        <f t="shared" si="111"/>
        <v/>
      </c>
      <c r="Y384" s="577">
        <f t="shared" si="112"/>
        <v>3.7083333333333329E-2</v>
      </c>
      <c r="Z384" s="114"/>
      <c r="AA384" s="114"/>
      <c r="AB384" s="114"/>
      <c r="AC384" s="114"/>
      <c r="AD384" s="116">
        <f t="shared" si="110"/>
        <v>0.55991738241308786</v>
      </c>
      <c r="AE384" s="578" t="str">
        <f t="shared" si="113"/>
        <v/>
      </c>
      <c r="AF384" s="116">
        <f t="shared" si="114"/>
        <v>0.23329890933878661</v>
      </c>
      <c r="AG384" s="537" t="str">
        <f t="shared" si="98"/>
        <v/>
      </c>
      <c r="AH384" s="537" t="str">
        <f t="shared" si="99"/>
        <v/>
      </c>
      <c r="AI384" s="525" t="str">
        <f t="shared" si="100"/>
        <v/>
      </c>
      <c r="AJ384" s="576"/>
      <c r="AK384" s="576" t="s">
        <v>315</v>
      </c>
      <c r="AL384" s="579" t="str">
        <f t="shared" si="115"/>
        <v/>
      </c>
      <c r="AM384" s="579" t="str">
        <f t="shared" si="116"/>
        <v/>
      </c>
      <c r="AN384" s="579" t="str">
        <f t="shared" si="117"/>
        <v/>
      </c>
      <c r="AO384" s="579" t="str">
        <f t="shared" si="118"/>
        <v/>
      </c>
    </row>
    <row r="385" spans="33:35" x14ac:dyDescent="0.25">
      <c r="AG385" s="580"/>
      <c r="AH385" s="580"/>
      <c r="AI385" s="580"/>
    </row>
    <row r="386" spans="33:35" x14ac:dyDescent="0.25">
      <c r="AG386" s="580"/>
      <c r="AH386" s="580"/>
      <c r="AI386" s="580"/>
    </row>
    <row r="387" spans="33:35" x14ac:dyDescent="0.25">
      <c r="AG387" s="580"/>
      <c r="AH387" s="580"/>
      <c r="AI387" s="580"/>
    </row>
    <row r="388" spans="33:35" x14ac:dyDescent="0.25">
      <c r="AG388" s="580"/>
      <c r="AH388" s="580"/>
      <c r="AI388" s="580"/>
    </row>
    <row r="389" spans="33:35" x14ac:dyDescent="0.25">
      <c r="AG389" s="580"/>
      <c r="AH389" s="580"/>
      <c r="AI389" s="580"/>
    </row>
    <row r="390" spans="33:35" x14ac:dyDescent="0.25">
      <c r="AG390" s="580"/>
      <c r="AH390" s="580"/>
      <c r="AI390" s="580"/>
    </row>
    <row r="391" spans="33:35" x14ac:dyDescent="0.25">
      <c r="AG391" s="580"/>
      <c r="AH391" s="580"/>
      <c r="AI391" s="580"/>
    </row>
    <row r="392" spans="33:35" x14ac:dyDescent="0.25">
      <c r="AG392" s="580"/>
      <c r="AH392" s="580"/>
      <c r="AI392" s="580"/>
    </row>
    <row r="393" spans="33:35" x14ac:dyDescent="0.25">
      <c r="AG393" s="580"/>
      <c r="AH393" s="580"/>
      <c r="AI393" s="580"/>
    </row>
    <row r="394" spans="33:35" x14ac:dyDescent="0.25">
      <c r="AG394" s="580"/>
      <c r="AH394" s="580"/>
      <c r="AI394" s="580"/>
    </row>
    <row r="395" spans="33:35" x14ac:dyDescent="0.25">
      <c r="AG395" s="580"/>
      <c r="AH395" s="580"/>
      <c r="AI395" s="580"/>
    </row>
    <row r="396" spans="33:35" x14ac:dyDescent="0.25">
      <c r="AG396" s="580"/>
      <c r="AH396" s="580"/>
      <c r="AI396" s="580"/>
    </row>
    <row r="397" spans="33:35" x14ac:dyDescent="0.25">
      <c r="AG397" s="580"/>
      <c r="AH397" s="580"/>
      <c r="AI397" s="580"/>
    </row>
    <row r="398" spans="33:35" x14ac:dyDescent="0.25">
      <c r="AG398" s="580"/>
      <c r="AH398" s="580"/>
      <c r="AI398" s="580"/>
    </row>
    <row r="399" spans="33:35" x14ac:dyDescent="0.25">
      <c r="AG399" s="580"/>
      <c r="AH399" s="580"/>
      <c r="AI399" s="580"/>
    </row>
  </sheetData>
  <sheetProtection algorithmName="SHA-512" hashValue="YiOpIy2gfEzx/MXTyAzQO5B4VQfbUd2cyFNVFgAVrWQnJDUvzt42X3aAuPYPmvZTpGR7pSTjI84WedqnrbXX1Q==" saltValue="mDepb+z3xyob40UXfLM6gg==" spinCount="100000" sheet="1" objects="1" scenarios="1"/>
  <autoFilter ref="A4:AO399" xr:uid="{D11EA927-47F6-41BC-BB08-881CE86BF6B2}">
    <filterColumn colId="15" showButton="0"/>
    <filterColumn colId="16" showButton="0"/>
    <filterColumn colId="17" showButton="0"/>
    <filterColumn colId="18" showButton="0"/>
    <filterColumn colId="19" showButton="0"/>
    <filterColumn colId="20" showButton="0"/>
    <filterColumn colId="21" showButton="0"/>
    <filterColumn colId="25" showButton="0"/>
    <filterColumn colId="26" showButton="0"/>
    <filterColumn colId="27" showButton="0"/>
    <filterColumn colId="28" showButton="0"/>
  </autoFilter>
  <mergeCells count="21">
    <mergeCell ref="K4:K5"/>
    <mergeCell ref="L4:L5"/>
    <mergeCell ref="A1:E1"/>
    <mergeCell ref="I4:I5"/>
    <mergeCell ref="M4:M5"/>
    <mergeCell ref="A4:A5"/>
    <mergeCell ref="B4:B5"/>
    <mergeCell ref="C4:C5"/>
    <mergeCell ref="D4:D5"/>
    <mergeCell ref="E4:E5"/>
    <mergeCell ref="F4:F5"/>
    <mergeCell ref="G4:G5"/>
    <mergeCell ref="H4:H5"/>
    <mergeCell ref="J4:J5"/>
    <mergeCell ref="AL4:AT4"/>
    <mergeCell ref="N4:N5"/>
    <mergeCell ref="O4:O5"/>
    <mergeCell ref="P4:W4"/>
    <mergeCell ref="Z4:AD4"/>
    <mergeCell ref="AJ4:AJ5"/>
    <mergeCell ref="AK4:AK5"/>
  </mergeCells>
  <pageMargins left="0.7" right="0.7" top="0.75" bottom="0.75" header="0.3" footer="0.3"/>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3E0B6FC0B289342ADC4FA4C92CB6062" ma:contentTypeVersion="14" ma:contentTypeDescription="Create a new document." ma:contentTypeScope="" ma:versionID="47d9c8a9d9bdaff4c9750035de94b6a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0b0486e-410f-4a8b-8ce0-5aa18ebe7099" xmlns:ns6="fecc2597-e8fd-4279-ac06-bd7c891938be" targetNamespace="http://schemas.microsoft.com/office/2006/metadata/properties" ma:root="true" ma:fieldsID="a17847a4c19aafcf078ec4299edc19d5" ns1:_="" ns2:_="" ns3:_="" ns4:_="" ns5:_="" ns6:_="">
    <xsd:import namespace="http://schemas.microsoft.com/sharepoint/v3"/>
    <xsd:import namespace="4ffa91fb-a0ff-4ac5-b2db-65c790d184a4"/>
    <xsd:import namespace="http://schemas.microsoft.com/sharepoint.v3"/>
    <xsd:import namespace="http://schemas.microsoft.com/sharepoint/v3/fields"/>
    <xsd:import namespace="a0b0486e-410f-4a8b-8ce0-5aa18ebe7099"/>
    <xsd:import namespace="fecc2597-e8fd-4279-ac06-bd7c891938be"/>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MediaServiceAutoKeyPoints" minOccurs="0"/>
                <xsd:element ref="ns5: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0b0486e-410f-4a8b-8ce0-5aa18ebe7099"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AutoKeyPoints" ma:index="37" nillable="true" ma:displayName="MediaServiceAutoKeyPoints" ma:hidden="true" ma:internalName="MediaServiceAutoKeyPoints" ma:readOnly="true">
      <xsd:simpleType>
        <xsd:restriction base="dms:Note"/>
      </xsd:simpleType>
    </xsd:element>
    <xsd:element name="MediaServiceKeyPoints" ma:index="3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Dermal Exposures</TermName>
          <TermId xmlns="http://schemas.microsoft.com/office/infopath/2007/PartnerControls">2c6cee99-ef7e-4b39-a682-a68eb8ed7cb8</TermId>
        </TermInfo>
        <TermInfo xmlns="http://schemas.microsoft.com/office/infopath/2007/PartnerControls">
          <TermName xmlns="http://schemas.microsoft.com/office/infopath/2007/PartnerControls">exposure factors</TermName>
          <TermId xmlns="http://schemas.microsoft.com/office/infopath/2007/PartnerControls">5ad823ba-1ad4-470e-b40a-27daf932b5e2</TermId>
        </TermInfo>
        <TermInfo xmlns="http://schemas.microsoft.com/office/infopath/2007/PartnerControls">
          <TermName xmlns="http://schemas.microsoft.com/office/infopath/2007/PartnerControls">Inhalation Exposures</TermName>
          <TermId xmlns="http://schemas.microsoft.com/office/infopath/2007/PartnerControls">e4707d95-ef3b-4ace-9316-8bd6af57e6ee</TermId>
        </TermInfo>
        <TermInfo xmlns="http://schemas.microsoft.com/office/infopath/2007/PartnerControls">
          <TermName xmlns="http://schemas.microsoft.com/office/infopath/2007/PartnerControls">Health Data</TermName>
          <TermId xmlns="http://schemas.microsoft.com/office/infopath/2007/PartnerControls">b0f1d874-17f8-400d-8917-1e293ef2c97d</TermId>
        </TermInfo>
      </Terms>
    </TaxKeywordTaxHTField>
    <Record xmlns="4ffa91fb-a0ff-4ac5-b2db-65c790d184a4">Shared</Record>
    <Rights xmlns="4ffa91fb-a0ff-4ac5-b2db-65c790d184a4" xsi:nil="true"/>
    <Document_x0020_Creation_x0020_Date xmlns="4ffa91fb-a0ff-4ac5-b2db-65c790d184a4">2020-09-23T04:00:00+00:00</Document_x0020_Creation_x0020_Date>
    <EPA_x0020_Office xmlns="4ffa91fb-a0ff-4ac5-b2db-65c790d184a4">OCSPP-OPP-RD-FB</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Chattopadhyay, Sandip</DisplayName>
        <AccountId>7016</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1238</Value>
      <Value>1241</Value>
      <Value>1240</Value>
      <Value>1239</Value>
    </TaxCatchAll>
  </documentManagement>
</p:properties>
</file>

<file path=customXml/itemProps1.xml><?xml version="1.0" encoding="utf-8"?>
<ds:datastoreItem xmlns:ds="http://schemas.openxmlformats.org/officeDocument/2006/customXml" ds:itemID="{81351F73-97A4-42F9-A3F7-86178A2CE5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0b0486e-410f-4a8b-8ce0-5aa18ebe7099"/>
    <ds:schemaRef ds:uri="fecc2597-e8fd-4279-ac06-bd7c891938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4AFC55-EA8D-415D-89A8-EE3EB741EE2C}">
  <ds:schemaRefs>
    <ds:schemaRef ds:uri="Microsoft.SharePoint.Taxonomy.ContentTypeSync"/>
  </ds:schemaRefs>
</ds:datastoreItem>
</file>

<file path=customXml/itemProps3.xml><?xml version="1.0" encoding="utf-8"?>
<ds:datastoreItem xmlns:ds="http://schemas.openxmlformats.org/officeDocument/2006/customXml" ds:itemID="{CA78F39B-7A87-4A66-B5AE-CCF272D2D9F4}">
  <ds:schemaRefs>
    <ds:schemaRef ds:uri="http://schemas.microsoft.com/sharepoint/v3/contenttype/forms"/>
  </ds:schemaRefs>
</ds:datastoreItem>
</file>

<file path=customXml/itemProps4.xml><?xml version="1.0" encoding="utf-8"?>
<ds:datastoreItem xmlns:ds="http://schemas.openxmlformats.org/officeDocument/2006/customXml" ds:itemID="{92C12F92-CA88-4BAE-8145-C7FC2167A57A}">
  <ds:schemaRefs>
    <ds:schemaRef ds:uri="http://purl.org/dc/dcmitype/"/>
    <ds:schemaRef ds:uri="http://schemas.openxmlformats.org/package/2006/metadata/core-properties"/>
    <ds:schemaRef ds:uri="fecc2597-e8fd-4279-ac06-bd7c891938be"/>
    <ds:schemaRef ds:uri="http://purl.org/dc/elements/1.1/"/>
    <ds:schemaRef ds:uri="http://schemas.microsoft.com/office/2006/metadata/properties"/>
    <ds:schemaRef ds:uri="4ffa91fb-a0ff-4ac5-b2db-65c790d184a4"/>
    <ds:schemaRef ds:uri="http://schemas.microsoft.com/sharepoint/v3"/>
    <ds:schemaRef ds:uri="http://schemas.microsoft.com/office/infopath/2007/PartnerControls"/>
    <ds:schemaRef ds:uri="http://schemas.microsoft.com/office/2006/documentManagement/types"/>
    <ds:schemaRef ds:uri="a0b0486e-410f-4a8b-8ce0-5aa18ebe7099"/>
    <ds:schemaRef ds:uri="http://schemas.microsoft.com/sharepoint/v3/fields"/>
    <ds:schemaRef ds:uri="http://schemas.microsoft.com/sharepoint.v3"/>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19</vt:i4>
      </vt:variant>
    </vt:vector>
  </HeadingPairs>
  <TitlesOfParts>
    <vt:vector size="31" baseType="lpstr">
      <vt:lpstr>Cover Page</vt:lpstr>
      <vt:lpstr>Table of Contents</vt:lpstr>
      <vt:lpstr>Read Me</vt:lpstr>
      <vt:lpstr>Dashboard</vt:lpstr>
      <vt:lpstr>RR</vt:lpstr>
      <vt:lpstr>Health Data</vt:lpstr>
      <vt:lpstr>Dermal Crosswalk</vt:lpstr>
      <vt:lpstr>Dermal Exposure</vt:lpstr>
      <vt:lpstr>Inhalation Exposure</vt:lpstr>
      <vt:lpstr>List Values</vt:lpstr>
      <vt:lpstr>Exposure Factors</vt:lpstr>
      <vt:lpstr>Manufacture_raw data</vt:lpstr>
      <vt:lpstr>AT</vt:lpstr>
      <vt:lpstr>AT_ADC_high</vt:lpstr>
      <vt:lpstr>AT_ADC_high_12</vt:lpstr>
      <vt:lpstr>AT_ADC_high_8</vt:lpstr>
      <vt:lpstr>AT_ADC_mid</vt:lpstr>
      <vt:lpstr>AT_ADC_mid_12</vt:lpstr>
      <vt:lpstr>AT_ADC_mid_8</vt:lpstr>
      <vt:lpstr>AT_ADC_mid8</vt:lpstr>
      <vt:lpstr>AT_LADC</vt:lpstr>
      <vt:lpstr>ED_12</vt:lpstr>
      <vt:lpstr>ED_8</vt:lpstr>
      <vt:lpstr>EF</vt:lpstr>
      <vt:lpstr>LT</vt:lpstr>
      <vt:lpstr>Mol_Vol</vt:lpstr>
      <vt:lpstr>'Manufacture_raw data'!MolVol</vt:lpstr>
      <vt:lpstr>'Manufacture_raw data'!MolW</vt:lpstr>
      <vt:lpstr>MW</vt:lpstr>
      <vt:lpstr>WY_high</vt:lpstr>
      <vt:lpstr>WY_mid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Risk Evaluation for Carbon Tetrachloride</dc:title>
  <dc:subject/>
  <dc:creator>Sandip Chattopadhyay</dc:creator>
  <cp:keywords>Dermal Exposures; Health Data; exposure factors; Inhalation Exposures</cp:keywords>
  <dc:description/>
  <cp:lastModifiedBy>Pagan-Rodriguez, Doritza</cp:lastModifiedBy>
  <cp:revision/>
  <dcterms:created xsi:type="dcterms:W3CDTF">2014-03-17T14:32:48Z</dcterms:created>
  <dcterms:modified xsi:type="dcterms:W3CDTF">2020-10-08T15:52:57Z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0x010100E3E0B6FC0B289342ADC4FA4C92CB6062</vt:lpwstr>
  </property>
  <property fmtid="{D5CDD505-2E9C-101B-9397-08002B2CF9AE}" pid="3" name="TaxKeyword">
    <vt:lpwstr>1238;#Dermal Exposures|2c6cee99-ef7e-4b39-a682-a68eb8ed7cb8;#1241;#exposure factors|5ad823ba-1ad4-470e-b40a-27daf932b5e2;#1240;#Inhalation Exposures|e4707d95-ef3b-4ace-9316-8bd6af57e6ee;#1239;#Health Data|b0f1d874-17f8-400d-8917-1e293ef2c97d</vt:lpwstr>
  </property>
  <property fmtid="{D5CDD505-2E9C-101B-9397-08002B2CF9AE}" pid="4" name="EPA Subject">
    <vt:lpwstr/>
  </property>
  <property fmtid="{D5CDD505-2E9C-101B-9397-08002B2CF9AE}" pid="5" name="Document Type">
    <vt:lpwstr/>
  </property>
</Properties>
</file>