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showInkAnnotation="0" codeName="ThisWorkbook" autoCompressPictures="0" defaultThemeVersion="124226"/>
  <mc:AlternateContent xmlns:mc="http://schemas.openxmlformats.org/markup-compatibility/2006">
    <mc:Choice Requires="x15">
      <x15ac:absPath xmlns:x15ac="http://schemas.microsoft.com/office/spreadsheetml/2010/11/ac" url="https://usepa-my.sharepoint.com/personal/ma_cissy_epa_gov/Documents/Cissy/Sustainability (new)/Emergy/LCA-Emergy/Emergy Contract/EPA report/"/>
    </mc:Choice>
  </mc:AlternateContent>
  <xr:revisionPtr revIDLastSave="23" documentId="8_{0C6A1D29-B353-4AED-95BF-AD5A1AA8DB57}" xr6:coauthVersionLast="47" xr6:coauthVersionMax="47" xr10:uidLastSave="{FEA2E31E-52AE-492C-B516-F087BBE46365}"/>
  <bookViews>
    <workbookView xWindow="-110" yWindow="-110" windowWidth="19420" windowHeight="10300" tabRatio="865" xr2:uid="{00000000-000D-0000-FFFF-FFFF00000000}"/>
  </bookViews>
  <sheets>
    <sheet name="Readme and Changinglog" sheetId="34" r:id="rId1"/>
    <sheet name="Table of Contents" sheetId="33" r:id="rId2"/>
    <sheet name="EmCF Library" sheetId="4" r:id="rId3"/>
    <sheet name="Renewable Earth Flows" sheetId="29" r:id="rId4"/>
    <sheet name="Crust Element Composition" sheetId="13" r:id="rId5"/>
    <sheet name="Precipitation_Matrix Inversion" sheetId="38" r:id="rId6"/>
    <sheet name="Water" sheetId="8" r:id="rId7"/>
    <sheet name="Water Notes" sheetId="39" state="hidden" r:id="rId8"/>
    <sheet name="Singular Minerals" sheetId="27" r:id="rId9"/>
    <sheet name="Multiple Minerals" sheetId="12" r:id="rId10"/>
    <sheet name="Aggregate Minerals" sheetId="37" r:id="rId11"/>
    <sheet name="Ocean Ions" sheetId="32" r:id="rId12"/>
    <sheet name="Atmospheric Gases" sheetId="22" r:id="rId13"/>
    <sheet name="Land, Biomass &amp; Soil" sheetId="36" r:id="rId14"/>
    <sheet name="Wood" sheetId="7" r:id="rId15"/>
    <sheet name="Coal" sheetId="16" r:id="rId16"/>
    <sheet name="Oil &amp; NG" sheetId="15" r:id="rId17"/>
    <sheet name="References" sheetId="28" r:id="rId18"/>
  </sheets>
  <externalReferences>
    <externalReference r:id="rId19"/>
    <externalReference r:id="rId20"/>
    <externalReference r:id="rId21"/>
  </externalReferences>
  <definedNames>
    <definedName name="_xlnm._FilterDatabase" localSheetId="4" hidden="1">'Crust Element Composition'!$B$4:$C$81</definedName>
    <definedName name="_xlnm._FilterDatabase" localSheetId="2" hidden="1">'EmCF Library'!$B$1:$Z$268</definedName>
    <definedName name="_xlnm._FilterDatabase" localSheetId="17" hidden="1">References!$B$2:$B$71</definedName>
    <definedName name="_xlnm._FilterDatabase" localSheetId="8" hidden="1">'Singular Minerals'!$C$11:$V$327</definedName>
    <definedName name="Al_Ingot_UEV">'[1]UEV Library'!$D$244</definedName>
    <definedName name="Al_Liguid_UEV">'[1]UEV Library'!$D$243</definedName>
    <definedName name="Al_sheet_UEV">'[1]UEV Library'!$D$245</definedName>
    <definedName name="alumina_UEV">'[1]UEV Library'!$D$242</definedName>
    <definedName name="Ammonia_UEV">'[1]UEV Library'!$D$239</definedName>
    <definedName name="Anode_UEV">'[1]UEV Library'!$D$248</definedName>
    <definedName name="aq_element_ex" localSheetId="10">'[2]Element exergy'!$A$3:$E$25</definedName>
    <definedName name="aq_element_ex">'[3]Element exergy'!$A$3:$E$25</definedName>
    <definedName name="ave_crust_element_molar_weight">'Crust Element Composition'!$H$4</definedName>
    <definedName name="ave_crust_specific_emergy" localSheetId="10">'[1]Renewable Earth emergy flows'!$B$87</definedName>
    <definedName name="ave_crust_specific_emergy">'Renewable Earth Flows'!$B$93</definedName>
    <definedName name="ave_crustal_molar_mass">'Renewable Earth Flows'!$B$5</definedName>
    <definedName name="ave_crustal_molar_weight">'[1]Renewable Earth emergy flows'!$B$4</definedName>
    <definedName name="ave_global_areal_empower" comment="seJ/m2/yr">1.52E+25/510000000000000</definedName>
    <definedName name="bauxiteprod_uev">'[1]UEV Library'!$D$218</definedName>
    <definedName name="Betz_number" comment="Maximum wind conversion efficiency">0.592</definedName>
    <definedName name="Calcite_UEV_kg">'[1]UEV Library'!$F$112</definedName>
    <definedName name="Cement_UEV_kg">'[1]UEV Library'!$D$249</definedName>
    <definedName name="Charcoal_UEV_kg">'[1]UEV Library'!$D$269</definedName>
    <definedName name="ClayBentonite_UEV_kg">'[1]UEV Library'!$F$113</definedName>
    <definedName name="CoalHard_FF_UEV_kg">'[1]UEV Library'!$D$200</definedName>
    <definedName name="CoalHard_UEV_J">'[1]UEV Library'!$F$261</definedName>
    <definedName name="CoalHard_UEV_kg">'[1]UEV Library'!$D$261</definedName>
    <definedName name="CoalSoft_FF_UEV_kg">'[1]UEV Library'!$D$202</definedName>
    <definedName name="Coke_UEV">'[1]UEV Library'!$D$268</definedName>
    <definedName name="Coke_UEV_J">'[1]UEV Library'!$F$268</definedName>
    <definedName name="Concrete_UEV_kg">'[1]UEV Library'!$D$250</definedName>
    <definedName name="Copper_Refined_UEV">'[1]UEV Library'!$D$252</definedName>
    <definedName name="crust_age" localSheetId="10">'[1]Renewable Earth emergy flows'!$B$85</definedName>
    <definedName name="crust_age">'Renewable Earth Flows'!$B$91</definedName>
    <definedName name="crust_mass" localSheetId="10">[1]WORLD!$M$6</definedName>
    <definedName name="crust_mass">'Renewable Earth Flows'!$B$90</definedName>
    <definedName name="crustal_elements">'Crust Element Composition'!$B$5:$F$81</definedName>
    <definedName name="CuConc_uev">'[1]UEV Library'!$D$219</definedName>
    <definedName name="currents_tr" localSheetId="10">'[1]Renewable Earth emergy flows'!$B$78</definedName>
    <definedName name="currents_tr">'Renewable Earth Flows'!$B$81</definedName>
    <definedName name="deepheat_tr" localSheetId="10">'[1]Renewable Earth emergy flows'!$B$7</definedName>
    <definedName name="deepheat_tr">'Renewable Earth Flows'!$B$8</definedName>
    <definedName name="diesel_uev_J">'[1]UEV Library'!$F$264</definedName>
    <definedName name="diesel_uev_kg">'[1]UEV Library'!$D$264</definedName>
    <definedName name="Dolomite_UEV_kg">'[1]UEV Library'!$F$115</definedName>
    <definedName name="Elec_PV_UEV_J">'[1]UEV Library'!$F$273</definedName>
    <definedName name="Elec_Thermal_UEV_J">'[1]UEV Library'!$F$274</definedName>
    <definedName name="Elec_Thermal_UEV_kWh">'[1]UEV Library'!$D$274</definedName>
    <definedName name="ElecGen_UEV_J">'[1]UEV Library'!$F$272</definedName>
    <definedName name="ElecGen_UEV_kWh">'[1]UEV Library'!$D$272</definedName>
    <definedName name="Explosive_uev">'[1]UEV Library'!$D$238</definedName>
    <definedName name="explosive_UEV_J">[1]Products!$F$22</definedName>
    <definedName name="gas_constant">8.314</definedName>
    <definedName name="gasoline_uev_J">'[1]UEV Library'!$F$262</definedName>
    <definedName name="gdwater_uev">'[1]UEV Library'!$D$17</definedName>
    <definedName name="GEB" localSheetId="10">'[1]Renewable Earth emergy flows'!$B$5</definedName>
    <definedName name="GEB">'Renewable Earth Flows'!$B$6</definedName>
    <definedName name="Geo_exergy">'Renewable Earth Flows'!$B$11</definedName>
    <definedName name="geopot_tr_specific_emergy" localSheetId="10">'[1]Renewable Earth emergy flows'!$B$71</definedName>
    <definedName name="geopot_tr_specific_emergy">'Renewable Earth Flows'!$B$70</definedName>
    <definedName name="gibbs_rain" localSheetId="10">'[1]Renewable Earth emergy flows'!$B$48</definedName>
    <definedName name="gibbs_rain">'Renewable Earth Flows'!#REF!</definedName>
    <definedName name="Gold_Refined_UEV">'[1]UEV Library'!$D$251</definedName>
    <definedName name="Gravel_UEV_kg">'[1]UEV Library'!$F$117</definedName>
    <definedName name="gravity" localSheetId="10">'[1]Renewable Earth emergy flows'!$B$14</definedName>
    <definedName name="gravity">'Renewable Earth Flows'!$B$21</definedName>
    <definedName name="iodine_matrix_A">#REF!</definedName>
    <definedName name="iodine_vector_A">#REF!</definedName>
    <definedName name="IronOreProd_uev">'[1]UEV Library'!$D$217</definedName>
    <definedName name="land_surface_area">'Renewable Earth Flows'!$B$20</definedName>
    <definedName name="Lead_Refined_UEV">'[1]UEV Library'!$D$253</definedName>
    <definedName name="LeadConc_UEV">'[1]UEV Library'!$D$222</definedName>
    <definedName name="LimestoneMined_UEV">'[1]UEV Library'!$D$215</definedName>
    <definedName name="LPG_uev_J">'[1]UEV Library'!$F$265</definedName>
    <definedName name="Magnesium_atPlant_UEV">'[1]UEV Library'!$D$229</definedName>
    <definedName name="ManganeseConc_UEV">'[1]UEV Library'!$D$228</definedName>
    <definedName name="Mineral_table" localSheetId="10">'[1]Singular minerals'!$B$16:$T$332</definedName>
    <definedName name="Mineral_table">'Singular Minerals'!$C$11:$P$327</definedName>
    <definedName name="NatGas_FF_UEV_J">'[1]UEV Library'!$F$203</definedName>
    <definedName name="NatGas_FF_UEV_kg">'[1]UEV Library'!$D$203</definedName>
    <definedName name="NatGas_UEV_J">'[1]UEV Library'!$F$267</definedName>
    <definedName name="NatGas_UEV_kg">'[1]UEV Library'!$D$267</definedName>
    <definedName name="NitricAcid_UEV">'[1]UEV Library'!$D$241</definedName>
    <definedName name="OilCrude_FF_UEV_kg">'[1]UEV Library'!$D$204</definedName>
    <definedName name="OXV_Liquid_UEV_kg">[1]Products!$AI$23</definedName>
    <definedName name="Peat_FF_UEV_kg">'[1]UEV Library'!$D$205</definedName>
    <definedName name="Perlite_UEV_kg">'[1]UEV Library'!$F$118</definedName>
    <definedName name="PigIron_UEV">'[1]UEV Library'!$D$246</definedName>
    <definedName name="PigIron_UEV_kg">'[1]Metal Products'!$G$36</definedName>
    <definedName name="rain_land_tr">'Renewable Earth Flows'!$B$52</definedName>
    <definedName name="rain_ocean_tr">'Renewable Earth Flows'!$B$53</definedName>
    <definedName name="rain_tr">'[1]Renewable Earth emergy flows'!$B$53</definedName>
    <definedName name="renewable_cutoff">'Renewable Earth Flows'!$B$16</definedName>
    <definedName name="ResidualFuel_uev_J">'[1]UEV Library'!$F$266</definedName>
    <definedName name="ResidualFuel_uev_kg">'[1]UEV Library'!$D$266</definedName>
    <definedName name="runin_tr">'[1]Renewable Earth emergy flows'!$B$73</definedName>
    <definedName name="runoff_chem_tr">'Renewable Earth Flows'!$B$75</definedName>
    <definedName name="Runoff_geop_tr" localSheetId="10">'[1]Renewable Earth emergy flows'!$B$70</definedName>
    <definedName name="runoff_geop_tr">'Renewable Earth Flows'!$B$69</definedName>
    <definedName name="SandUnspec_Uev_kg">'[1]UEV Library'!$F$122</definedName>
    <definedName name="sediment_geopotential_tr" localSheetId="10">'[1]Renewable Earth emergy flows'!$B$92</definedName>
    <definedName name="sediment_geopotential_tr">'Renewable Earth Flows'!$B$99</definedName>
    <definedName name="sediment_specific_emergy">'Renewable Earth Flows'!$B$100</definedName>
    <definedName name="Shale_UEV_kg">'[1]UEV Library'!$F$123</definedName>
    <definedName name="SIlverinDore_UEV">'[1]UEV Library'!$D$225</definedName>
    <definedName name="standard_temperature">298.15</definedName>
    <definedName name="Steel_UEV">'[1]UEV Library'!$D$247</definedName>
    <definedName name="Sun_exergy">'Renewable Earth Flows'!$B$10</definedName>
    <definedName name="Surface_Temperature" localSheetId="10">'[1]Renewable Earth emergy flows'!$B$10</definedName>
    <definedName name="Surface_Temperature">'Renewable Earth Flows'!$B$17</definedName>
    <definedName name="Surfwater_UEV">'[1]UEV Library'!$D$16</definedName>
    <definedName name="Tide_exergy">'Renewable Earth Flows'!$B$12</definedName>
    <definedName name="tide_tr" localSheetId="10">'[1]Renewable Earth emergy flows'!$B$8</definedName>
    <definedName name="tide_tr">'Renewable Earth Flows'!$B$9</definedName>
    <definedName name="Transport_Rail_UEV">'[1]UEV Library'!$D$279</definedName>
    <definedName name="Transport_Road_UEV">'[1]UEV Library'!$D$278</definedName>
    <definedName name="Transport_Ship_UEV">'[1]UEV Library'!$D$280</definedName>
    <definedName name="UraniumMined_UEV">'[1]UEV Library'!$D$227</definedName>
    <definedName name="WaterGround_UEV_kg">'[1]UEV Library'!$D$17</definedName>
    <definedName name="WaterSurface_UEV">'[1]UEV Library'!$D$16</definedName>
    <definedName name="WaterUnspec_UEV_J">'[1]UEV Library'!$F$12</definedName>
    <definedName name="WaterUnspec_UEV_kg">'[1]UEV Library'!$D$12</definedName>
    <definedName name="waves_ocean_tr">'Renewable Earth Flows'!$B$45</definedName>
    <definedName name="waves_shore_tr">'Renewable Earth Flows'!$B$49</definedName>
    <definedName name="waves_tr">'[1]Renewable Earth emergy flows'!$B$43</definedName>
    <definedName name="wind_tr">'Renewable Earth Flows'!$B$37</definedName>
    <definedName name="wind_uev">'[1]Renewable Earth emergy flows'!$B$35</definedName>
    <definedName name="Wood_Unspec_UEV_kg">'[1]UEV Library'!$D$193</definedName>
    <definedName name="ZincConc_UEV">'[1]UEV Library'!$D$226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3" i="28" l="1"/>
  <c r="A14" i="28" s="1"/>
  <c r="A15" i="28" s="1"/>
  <c r="A16" i="28" s="1"/>
  <c r="A17" i="28" s="1"/>
  <c r="A18" i="28" s="1"/>
  <c r="B27" i="29"/>
  <c r="A4" i="28"/>
  <c r="A5" i="28" s="1"/>
  <c r="A6" i="28" s="1"/>
  <c r="A7" i="28" s="1"/>
  <c r="A8" i="28" s="1"/>
  <c r="A9" i="28" s="1"/>
  <c r="A10" i="28" s="1"/>
  <c r="A11" i="28" s="1"/>
  <c r="C16" i="33"/>
  <c r="C17" i="33"/>
  <c r="C18" i="33" s="1"/>
  <c r="C19" i="33" s="1"/>
  <c r="C20" i="33" s="1"/>
  <c r="C21" i="33" s="1"/>
  <c r="C22" i="33" s="1"/>
  <c r="P31" i="27"/>
  <c r="O31" i="27"/>
  <c r="L8" i="8"/>
  <c r="C13" i="38"/>
  <c r="C16" i="38" s="1"/>
  <c r="L15" i="38"/>
  <c r="M15" i="38"/>
  <c r="M17" i="38"/>
  <c r="M18" i="38"/>
  <c r="D40" i="38"/>
  <c r="B42" i="29"/>
  <c r="C15" i="38"/>
  <c r="C14" i="38"/>
  <c r="C30" i="38"/>
  <c r="C22" i="38"/>
  <c r="C29" i="38"/>
  <c r="C33" i="38" s="1"/>
  <c r="C21" i="38"/>
  <c r="B197" i="4"/>
  <c r="M194" i="4"/>
  <c r="O194" i="4" s="1"/>
  <c r="R194" i="4" s="1"/>
  <c r="M193" i="4"/>
  <c r="P193" i="4" s="1"/>
  <c r="J74" i="36"/>
  <c r="J4" i="22"/>
  <c r="G30" i="39"/>
  <c r="E30" i="39"/>
  <c r="I27" i="39"/>
  <c r="H27" i="39"/>
  <c r="G27" i="39"/>
  <c r="F27" i="39"/>
  <c r="E27" i="39"/>
  <c r="D27" i="39"/>
  <c r="I26" i="39"/>
  <c r="H26" i="39"/>
  <c r="G26" i="39"/>
  <c r="F26" i="39"/>
  <c r="E26" i="39"/>
  <c r="D26" i="39"/>
  <c r="I25" i="39"/>
  <c r="H25" i="39"/>
  <c r="G25" i="39"/>
  <c r="F25" i="39"/>
  <c r="E25" i="39"/>
  <c r="D25" i="39"/>
  <c r="L24" i="39"/>
  <c r="I24" i="39"/>
  <c r="H24" i="39"/>
  <c r="H28" i="39" s="1"/>
  <c r="G24" i="39"/>
  <c r="M24" i="39" s="1"/>
  <c r="N24" i="39" s="1"/>
  <c r="F24" i="39"/>
  <c r="E24" i="39"/>
  <c r="K24" i="39" s="1"/>
  <c r="D24" i="39"/>
  <c r="D28" i="39" s="1"/>
  <c r="D8" i="39"/>
  <c r="M8" i="39" s="1"/>
  <c r="N8" i="39" s="1"/>
  <c r="D7" i="39"/>
  <c r="F28" i="39" s="1"/>
  <c r="J7" i="39"/>
  <c r="L6" i="39"/>
  <c r="M6" i="39"/>
  <c r="J6" i="39"/>
  <c r="M5" i="39"/>
  <c r="J5" i="39"/>
  <c r="J8" i="39"/>
  <c r="M7" i="39"/>
  <c r="N11" i="15"/>
  <c r="B62" i="29"/>
  <c r="B66" i="29"/>
  <c r="B68" i="29" s="1"/>
  <c r="I8" i="7"/>
  <c r="D43" i="7" s="1"/>
  <c r="L6" i="8"/>
  <c r="L7" i="8"/>
  <c r="E41" i="38"/>
  <c r="D39" i="38"/>
  <c r="L17" i="38"/>
  <c r="G39" i="38"/>
  <c r="L18" i="38"/>
  <c r="L16" i="38"/>
  <c r="M16" i="38"/>
  <c r="C32" i="38"/>
  <c r="C31" i="38"/>
  <c r="G8" i="38"/>
  <c r="G41" i="38" s="1"/>
  <c r="C25" i="38"/>
  <c r="D38" i="38"/>
  <c r="G40" i="38"/>
  <c r="E39" i="38"/>
  <c r="G38" i="38"/>
  <c r="F40" i="38"/>
  <c r="F38" i="38"/>
  <c r="B35" i="29"/>
  <c r="B40" i="29" s="1"/>
  <c r="B33" i="29"/>
  <c r="M179" i="4"/>
  <c r="P179" i="4" s="1"/>
  <c r="M180" i="4"/>
  <c r="P180" i="4" s="1"/>
  <c r="M181" i="4"/>
  <c r="P181" i="4" s="1"/>
  <c r="M182" i="4"/>
  <c r="P182" i="4" s="1"/>
  <c r="M183" i="4"/>
  <c r="P183" i="4"/>
  <c r="M184" i="4"/>
  <c r="P184" i="4"/>
  <c r="M185" i="4"/>
  <c r="P185" i="4" s="1"/>
  <c r="M186" i="4"/>
  <c r="O186" i="4"/>
  <c r="M187" i="4"/>
  <c r="P187" i="4" s="1"/>
  <c r="M188" i="4"/>
  <c r="O188" i="4" s="1"/>
  <c r="M189" i="4"/>
  <c r="P189" i="4"/>
  <c r="M190" i="4"/>
  <c r="P190" i="4"/>
  <c r="M191" i="4"/>
  <c r="O191" i="4"/>
  <c r="M178" i="4"/>
  <c r="L12" i="8"/>
  <c r="M12" i="8" s="1"/>
  <c r="J12" i="8"/>
  <c r="J11" i="8"/>
  <c r="P13" i="4"/>
  <c r="M22" i="4"/>
  <c r="P22" i="4" s="1"/>
  <c r="M20" i="4"/>
  <c r="P20" i="4"/>
  <c r="M18" i="4"/>
  <c r="O18" i="4" s="1"/>
  <c r="G19" i="8"/>
  <c r="M17" i="4" s="1"/>
  <c r="P17" i="4" s="1"/>
  <c r="M16" i="4"/>
  <c r="P16" i="4" s="1"/>
  <c r="M15" i="4"/>
  <c r="P15" i="4" s="1"/>
  <c r="O108" i="4"/>
  <c r="O109" i="4"/>
  <c r="O110" i="4"/>
  <c r="O111" i="4"/>
  <c r="O112" i="4"/>
  <c r="O113" i="4"/>
  <c r="O114" i="4"/>
  <c r="O115" i="4"/>
  <c r="O116" i="4"/>
  <c r="O117" i="4"/>
  <c r="O118" i="4"/>
  <c r="O119" i="4"/>
  <c r="O120" i="4"/>
  <c r="O107" i="4"/>
  <c r="Z20" i="4"/>
  <c r="D23" i="8"/>
  <c r="J22" i="8"/>
  <c r="M22" i="8"/>
  <c r="N22" i="8" s="1"/>
  <c r="B53" i="29" s="1"/>
  <c r="J21" i="8"/>
  <c r="M21" i="8"/>
  <c r="J23" i="8"/>
  <c r="V41" i="4"/>
  <c r="O25" i="4"/>
  <c r="O26" i="4"/>
  <c r="O27" i="4"/>
  <c r="O28" i="4"/>
  <c r="O29" i="4"/>
  <c r="O30" i="4"/>
  <c r="O31" i="4"/>
  <c r="O32" i="4"/>
  <c r="O33" i="4"/>
  <c r="O34" i="4"/>
  <c r="O35" i="4"/>
  <c r="O36" i="4"/>
  <c r="O37" i="4"/>
  <c r="O38" i="4"/>
  <c r="O39" i="4"/>
  <c r="O40" i="4"/>
  <c r="O41" i="4"/>
  <c r="O42" i="4"/>
  <c r="O43" i="4"/>
  <c r="O44" i="4"/>
  <c r="O45" i="4"/>
  <c r="O46" i="4"/>
  <c r="O47" i="4"/>
  <c r="O48" i="4"/>
  <c r="O49" i="4"/>
  <c r="O50" i="4"/>
  <c r="O51" i="4"/>
  <c r="O52" i="4"/>
  <c r="O53" i="4"/>
  <c r="O54" i="4"/>
  <c r="O55" i="4"/>
  <c r="O56" i="4"/>
  <c r="O57" i="4"/>
  <c r="O58" i="4"/>
  <c r="O59" i="4"/>
  <c r="O60" i="4"/>
  <c r="O61" i="4"/>
  <c r="O62" i="4"/>
  <c r="O63" i="4"/>
  <c r="O64" i="4"/>
  <c r="O65" i="4"/>
  <c r="O66" i="4"/>
  <c r="O67" i="4"/>
  <c r="O68" i="4"/>
  <c r="O69" i="4"/>
  <c r="O70" i="4"/>
  <c r="O71" i="4"/>
  <c r="O72" i="4"/>
  <c r="O73" i="4"/>
  <c r="O74" i="4"/>
  <c r="O75" i="4"/>
  <c r="O76" i="4"/>
  <c r="O77" i="4"/>
  <c r="O78" i="4"/>
  <c r="O79" i="4"/>
  <c r="O80" i="4"/>
  <c r="O81" i="4"/>
  <c r="O82" i="4"/>
  <c r="O83" i="4"/>
  <c r="O84" i="4"/>
  <c r="O85" i="4"/>
  <c r="O86" i="4"/>
  <c r="O87" i="4"/>
  <c r="O88" i="4"/>
  <c r="O89" i="4"/>
  <c r="O90" i="4"/>
  <c r="O91" i="4"/>
  <c r="O92" i="4"/>
  <c r="O93" i="4"/>
  <c r="O94" i="4"/>
  <c r="O95" i="4"/>
  <c r="O96" i="4"/>
  <c r="O97" i="4"/>
  <c r="O98" i="4"/>
  <c r="O99" i="4"/>
  <c r="O100" i="4"/>
  <c r="O101" i="4"/>
  <c r="O103" i="4"/>
  <c r="O104" i="4"/>
  <c r="O105" i="4"/>
  <c r="O24" i="4"/>
  <c r="P41" i="4"/>
  <c r="B26" i="4"/>
  <c r="F59" i="12"/>
  <c r="E59" i="12"/>
  <c r="G59" i="12" s="1"/>
  <c r="F62" i="12"/>
  <c r="M62" i="12" s="1"/>
  <c r="E62" i="12"/>
  <c r="D62" i="12"/>
  <c r="F61" i="12"/>
  <c r="E61" i="12"/>
  <c r="G61" i="12" s="1"/>
  <c r="D61" i="12"/>
  <c r="F60" i="12"/>
  <c r="M60" i="12" s="1"/>
  <c r="E60" i="12"/>
  <c r="D60" i="12"/>
  <c r="D59" i="12"/>
  <c r="F58" i="12"/>
  <c r="M58" i="12" s="1"/>
  <c r="E58" i="12"/>
  <c r="H58" i="12" s="1"/>
  <c r="D58" i="12"/>
  <c r="M57" i="12"/>
  <c r="L57" i="12"/>
  <c r="E55" i="12"/>
  <c r="N33" i="27"/>
  <c r="N30" i="27"/>
  <c r="G62" i="12"/>
  <c r="H62" i="12"/>
  <c r="H61" i="12"/>
  <c r="O8" i="32"/>
  <c r="O6" i="32"/>
  <c r="O5" i="32"/>
  <c r="O4" i="32"/>
  <c r="P4" i="32"/>
  <c r="Z122" i="4" s="1"/>
  <c r="B122" i="4" s="1"/>
  <c r="H32" i="32"/>
  <c r="O16" i="32"/>
  <c r="O11" i="32"/>
  <c r="O12" i="32"/>
  <c r="E166" i="12"/>
  <c r="B15" i="12"/>
  <c r="U13" i="27"/>
  <c r="U14" i="27"/>
  <c r="U15" i="27"/>
  <c r="U16" i="27"/>
  <c r="U17" i="27"/>
  <c r="U18" i="27"/>
  <c r="U19" i="27"/>
  <c r="U20" i="27"/>
  <c r="U21" i="27"/>
  <c r="U22" i="27"/>
  <c r="U23" i="27"/>
  <c r="U24" i="27"/>
  <c r="U25" i="27"/>
  <c r="U26" i="27"/>
  <c r="U27" i="27"/>
  <c r="U28" i="27"/>
  <c r="U29" i="27"/>
  <c r="U34" i="27"/>
  <c r="U35" i="27"/>
  <c r="U36" i="27"/>
  <c r="U37" i="27"/>
  <c r="U38" i="27"/>
  <c r="U39" i="27"/>
  <c r="U40" i="27"/>
  <c r="U41" i="27"/>
  <c r="U42" i="27"/>
  <c r="U45" i="27"/>
  <c r="U46" i="27"/>
  <c r="U47" i="27"/>
  <c r="U48" i="27"/>
  <c r="U49" i="27"/>
  <c r="U50" i="27"/>
  <c r="U51" i="27"/>
  <c r="U52" i="27"/>
  <c r="U53" i="27"/>
  <c r="U54" i="27"/>
  <c r="U55" i="27"/>
  <c r="U56" i="27"/>
  <c r="U57" i="27"/>
  <c r="U58" i="27"/>
  <c r="U59" i="27"/>
  <c r="U60" i="27"/>
  <c r="U61" i="27"/>
  <c r="U62" i="27"/>
  <c r="U63" i="27"/>
  <c r="U64" i="27"/>
  <c r="U65" i="27"/>
  <c r="U66" i="27"/>
  <c r="U67" i="27"/>
  <c r="U68" i="27"/>
  <c r="U69" i="27"/>
  <c r="U71" i="27"/>
  <c r="U72" i="27"/>
  <c r="U73" i="27"/>
  <c r="U78" i="27"/>
  <c r="U79" i="27"/>
  <c r="U80" i="27"/>
  <c r="U81" i="27"/>
  <c r="U85" i="27"/>
  <c r="U86" i="27"/>
  <c r="U88" i="27"/>
  <c r="U89" i="27"/>
  <c r="U90" i="27"/>
  <c r="U91" i="27"/>
  <c r="U92" i="27"/>
  <c r="U98" i="27"/>
  <c r="U99" i="27"/>
  <c r="U100" i="27"/>
  <c r="U101" i="27"/>
  <c r="U102" i="27"/>
  <c r="U103" i="27"/>
  <c r="U104" i="27"/>
  <c r="U105" i="27"/>
  <c r="U106" i="27"/>
  <c r="U107" i="27"/>
  <c r="U108" i="27"/>
  <c r="U109" i="27"/>
  <c r="U110" i="27"/>
  <c r="U111" i="27"/>
  <c r="U112" i="27"/>
  <c r="U113" i="27"/>
  <c r="U114" i="27"/>
  <c r="U115" i="27"/>
  <c r="U116" i="27"/>
  <c r="U117" i="27"/>
  <c r="U118" i="27"/>
  <c r="U119" i="27"/>
  <c r="U120" i="27"/>
  <c r="U121" i="27"/>
  <c r="U122" i="27"/>
  <c r="U123" i="27"/>
  <c r="U125" i="27"/>
  <c r="U126" i="27"/>
  <c r="U127" i="27"/>
  <c r="U128" i="27"/>
  <c r="U131" i="27"/>
  <c r="U132" i="27"/>
  <c r="U133" i="27"/>
  <c r="U134" i="27"/>
  <c r="U135" i="27"/>
  <c r="U136" i="27"/>
  <c r="U146" i="27"/>
  <c r="U148" i="27"/>
  <c r="U149" i="27"/>
  <c r="U150" i="27"/>
  <c r="U151" i="27"/>
  <c r="U152" i="27"/>
  <c r="U153" i="27"/>
  <c r="U154" i="27"/>
  <c r="U155" i="27"/>
  <c r="U156" i="27"/>
  <c r="U157" i="27"/>
  <c r="U158" i="27"/>
  <c r="U160" i="27"/>
  <c r="U161" i="27"/>
  <c r="U162" i="27"/>
  <c r="U163" i="27"/>
  <c r="U165" i="27"/>
  <c r="U166" i="27"/>
  <c r="U167" i="27"/>
  <c r="U168" i="27"/>
  <c r="U169" i="27"/>
  <c r="U170" i="27"/>
  <c r="U171" i="27"/>
  <c r="U172" i="27"/>
  <c r="U174" i="27"/>
  <c r="U175" i="27"/>
  <c r="U176" i="27"/>
  <c r="U177" i="27"/>
  <c r="U178" i="27"/>
  <c r="U179" i="27"/>
  <c r="U180" i="27"/>
  <c r="U181" i="27"/>
  <c r="U182" i="27"/>
  <c r="U183" i="27"/>
  <c r="U184" i="27"/>
  <c r="U186" i="27"/>
  <c r="U187" i="27"/>
  <c r="U188" i="27"/>
  <c r="U189" i="27"/>
  <c r="U190" i="27"/>
  <c r="U191" i="27"/>
  <c r="U192" i="27"/>
  <c r="U193" i="27"/>
  <c r="U194" i="27"/>
  <c r="U195" i="27"/>
  <c r="U196" i="27"/>
  <c r="U197" i="27"/>
  <c r="U201" i="27"/>
  <c r="U202" i="27"/>
  <c r="U203" i="27"/>
  <c r="U204" i="27"/>
  <c r="U205" i="27"/>
  <c r="U210" i="27"/>
  <c r="U211" i="27"/>
  <c r="U212" i="27"/>
  <c r="U213" i="27"/>
  <c r="U214" i="27"/>
  <c r="U215" i="27"/>
  <c r="U216" i="27"/>
  <c r="U217" i="27"/>
  <c r="U218" i="27"/>
  <c r="U219" i="27"/>
  <c r="U220" i="27"/>
  <c r="U221" i="27"/>
  <c r="U222" i="27"/>
  <c r="U223" i="27"/>
  <c r="U224" i="27"/>
  <c r="U225" i="27"/>
  <c r="U226" i="27"/>
  <c r="U227" i="27"/>
  <c r="U228" i="27"/>
  <c r="U229" i="27"/>
  <c r="U230" i="27"/>
  <c r="U231" i="27"/>
  <c r="U232" i="27"/>
  <c r="U233" i="27"/>
  <c r="U234" i="27"/>
  <c r="U235" i="27"/>
  <c r="U236" i="27"/>
  <c r="U237" i="27"/>
  <c r="U238" i="27"/>
  <c r="U239" i="27"/>
  <c r="U240" i="27"/>
  <c r="U241" i="27"/>
  <c r="U242" i="27"/>
  <c r="U243" i="27"/>
  <c r="U244" i="27"/>
  <c r="U245" i="27"/>
  <c r="U246" i="27"/>
  <c r="U248" i="27"/>
  <c r="U249" i="27"/>
  <c r="U250" i="27"/>
  <c r="U251" i="27"/>
  <c r="U252" i="27"/>
  <c r="U253" i="27"/>
  <c r="U254" i="27"/>
  <c r="U255" i="27"/>
  <c r="U256" i="27"/>
  <c r="U257" i="27"/>
  <c r="U258" i="27"/>
  <c r="U260" i="27"/>
  <c r="U261" i="27"/>
  <c r="U262" i="27"/>
  <c r="U263" i="27"/>
  <c r="U264" i="27"/>
  <c r="U265" i="27"/>
  <c r="U266" i="27"/>
  <c r="U267" i="27"/>
  <c r="U268" i="27"/>
  <c r="U269" i="27"/>
  <c r="U270" i="27"/>
  <c r="U271" i="27"/>
  <c r="U272" i="27"/>
  <c r="U273" i="27"/>
  <c r="U274" i="27"/>
  <c r="U277" i="27"/>
  <c r="U279" i="27"/>
  <c r="U280" i="27"/>
  <c r="U282" i="27"/>
  <c r="U283" i="27"/>
  <c r="U284" i="27"/>
  <c r="U285" i="27"/>
  <c r="U286" i="27"/>
  <c r="U287" i="27"/>
  <c r="U288" i="27"/>
  <c r="U289" i="27"/>
  <c r="U290" i="27"/>
  <c r="U292" i="27"/>
  <c r="U293" i="27"/>
  <c r="U294" i="27"/>
  <c r="U295" i="27"/>
  <c r="U296" i="27"/>
  <c r="U297" i="27"/>
  <c r="U299" i="27"/>
  <c r="U300" i="27"/>
  <c r="U301" i="27"/>
  <c r="U302" i="27"/>
  <c r="U303" i="27"/>
  <c r="U304" i="27"/>
  <c r="U305" i="27"/>
  <c r="U306" i="27"/>
  <c r="U308" i="27"/>
  <c r="U310" i="27"/>
  <c r="U311" i="27"/>
  <c r="U312" i="27"/>
  <c r="U313" i="27"/>
  <c r="U314" i="27"/>
  <c r="U315" i="27"/>
  <c r="U316" i="27"/>
  <c r="U317" i="27"/>
  <c r="U318" i="27"/>
  <c r="U319" i="27"/>
  <c r="U320" i="27"/>
  <c r="U321" i="27"/>
  <c r="U322" i="27"/>
  <c r="U323" i="27"/>
  <c r="U324" i="27"/>
  <c r="U325" i="27"/>
  <c r="U327" i="27"/>
  <c r="U12" i="27"/>
  <c r="B10" i="27"/>
  <c r="L8" i="16"/>
  <c r="D109" i="7"/>
  <c r="D96" i="7"/>
  <c r="D22" i="7"/>
  <c r="F16" i="7"/>
  <c r="K102" i="27"/>
  <c r="I68" i="37"/>
  <c r="G15" i="37"/>
  <c r="J15" i="37" s="1"/>
  <c r="G16" i="37"/>
  <c r="J16" i="37" s="1"/>
  <c r="G17" i="37"/>
  <c r="J17" i="37" s="1"/>
  <c r="G25" i="37"/>
  <c r="J25" i="37" s="1"/>
  <c r="G26" i="37"/>
  <c r="J26" i="37" s="1"/>
  <c r="G27" i="37"/>
  <c r="J27" i="37" s="1"/>
  <c r="G28" i="37"/>
  <c r="J28" i="37" s="1"/>
  <c r="G30" i="37"/>
  <c r="J30" i="37" s="1"/>
  <c r="G31" i="37"/>
  <c r="J31" i="37" s="1"/>
  <c r="G32" i="37"/>
  <c r="J32" i="37" s="1"/>
  <c r="G33" i="37"/>
  <c r="J33" i="37"/>
  <c r="G43" i="37"/>
  <c r="J43" i="37" s="1"/>
  <c r="G44" i="37"/>
  <c r="J44" i="37" s="1"/>
  <c r="G45" i="37"/>
  <c r="J45" i="37" s="1"/>
  <c r="G46" i="37"/>
  <c r="J46" i="37" s="1"/>
  <c r="G47" i="37"/>
  <c r="J47" i="37" s="1"/>
  <c r="G49" i="37"/>
  <c r="J49" i="37" s="1"/>
  <c r="G50" i="37"/>
  <c r="J50" i="37" s="1"/>
  <c r="G51" i="37"/>
  <c r="J51" i="37"/>
  <c r="G60" i="37"/>
  <c r="J60" i="37" s="1"/>
  <c r="G61" i="37"/>
  <c r="J61" i="37" s="1"/>
  <c r="G62" i="37"/>
  <c r="J62" i="37" s="1"/>
  <c r="G63" i="37"/>
  <c r="J63" i="37" s="1"/>
  <c r="G65" i="37"/>
  <c r="J65" i="37" s="1"/>
  <c r="G66" i="37"/>
  <c r="J66" i="37" s="1"/>
  <c r="G67" i="37"/>
  <c r="J67" i="37" s="1"/>
  <c r="G68" i="37"/>
  <c r="J68" i="37" s="1"/>
  <c r="G76" i="37"/>
  <c r="J76" i="37" s="1"/>
  <c r="G77" i="37"/>
  <c r="J77" i="37" s="1"/>
  <c r="G78" i="37"/>
  <c r="J78" i="37" s="1"/>
  <c r="G80" i="37"/>
  <c r="J80" i="37" s="1"/>
  <c r="G81" i="37"/>
  <c r="J81" i="37" s="1"/>
  <c r="G82" i="37"/>
  <c r="J82" i="37" s="1"/>
  <c r="G83" i="37"/>
  <c r="J83" i="37" s="1"/>
  <c r="G90" i="37"/>
  <c r="J90" i="37" s="1"/>
  <c r="G91" i="37"/>
  <c r="J91" i="37" s="1"/>
  <c r="G92" i="37"/>
  <c r="J92" i="37" s="1"/>
  <c r="G93" i="37"/>
  <c r="J93" i="37" s="1"/>
  <c r="G94" i="37"/>
  <c r="J94" i="37" s="1"/>
  <c r="G95" i="37"/>
  <c r="J95" i="37" s="1"/>
  <c r="G117" i="37"/>
  <c r="J117" i="37" s="1"/>
  <c r="G118" i="37"/>
  <c r="J118" i="37" s="1"/>
  <c r="G116" i="37"/>
  <c r="J116" i="37" s="1"/>
  <c r="G103" i="37"/>
  <c r="J103" i="37" s="1"/>
  <c r="G104" i="37"/>
  <c r="J104" i="37" s="1"/>
  <c r="G105" i="37"/>
  <c r="J105" i="37" s="1"/>
  <c r="G106" i="37"/>
  <c r="J106" i="37" s="1"/>
  <c r="G107" i="37"/>
  <c r="J107" i="37" s="1"/>
  <c r="G108" i="37"/>
  <c r="J108" i="37" s="1"/>
  <c r="G109" i="37"/>
  <c r="J109" i="37" s="1"/>
  <c r="G110" i="37"/>
  <c r="J110" i="37" s="1"/>
  <c r="G102" i="37"/>
  <c r="J102" i="37" s="1"/>
  <c r="G89" i="37"/>
  <c r="J89" i="37" s="1"/>
  <c r="G75" i="37"/>
  <c r="J75" i="37" s="1"/>
  <c r="G59" i="37"/>
  <c r="J59" i="37" s="1"/>
  <c r="G42" i="37"/>
  <c r="J42" i="37" s="1"/>
  <c r="J52" i="37" s="1"/>
  <c r="K50" i="37" s="1"/>
  <c r="G24" i="37"/>
  <c r="J24" i="37" s="1"/>
  <c r="G14" i="37"/>
  <c r="J14" i="37" s="1"/>
  <c r="F117" i="37"/>
  <c r="F118" i="37"/>
  <c r="F116" i="37"/>
  <c r="F103" i="37"/>
  <c r="F104" i="37"/>
  <c r="F105" i="37"/>
  <c r="F106" i="37"/>
  <c r="F107" i="37"/>
  <c r="F108" i="37"/>
  <c r="F109" i="37"/>
  <c r="F110" i="37"/>
  <c r="F102" i="37"/>
  <c r="F90" i="37"/>
  <c r="F91" i="37"/>
  <c r="F92" i="37"/>
  <c r="F93" i="37"/>
  <c r="F94" i="37"/>
  <c r="F95" i="37"/>
  <c r="F89" i="37"/>
  <c r="F76" i="37"/>
  <c r="F77" i="37"/>
  <c r="F78" i="37"/>
  <c r="F79" i="37"/>
  <c r="F80" i="37"/>
  <c r="F81" i="37"/>
  <c r="F82" i="37"/>
  <c r="F83" i="37"/>
  <c r="F75" i="37"/>
  <c r="F60" i="37"/>
  <c r="F61" i="37"/>
  <c r="F62" i="37"/>
  <c r="F63" i="37"/>
  <c r="F64" i="37"/>
  <c r="F65" i="37"/>
  <c r="F66" i="37"/>
  <c r="F67" i="37"/>
  <c r="F68" i="37"/>
  <c r="F59" i="37"/>
  <c r="F43" i="37"/>
  <c r="F44" i="37"/>
  <c r="F45" i="37"/>
  <c r="F46" i="37"/>
  <c r="F52" i="37" s="1"/>
  <c r="F47" i="37"/>
  <c r="F48" i="37"/>
  <c r="F49" i="37"/>
  <c r="F50" i="37"/>
  <c r="F51" i="37"/>
  <c r="F42" i="37"/>
  <c r="F25" i="37"/>
  <c r="F26" i="37"/>
  <c r="F27" i="37"/>
  <c r="F28" i="37"/>
  <c r="F29" i="37"/>
  <c r="F30" i="37"/>
  <c r="F31" i="37"/>
  <c r="F32" i="37"/>
  <c r="F33" i="37"/>
  <c r="F24" i="37"/>
  <c r="F16" i="37"/>
  <c r="F17" i="37"/>
  <c r="F18" i="37"/>
  <c r="F15" i="37"/>
  <c r="F14" i="37"/>
  <c r="E119" i="37"/>
  <c r="E111" i="37"/>
  <c r="E96" i="37"/>
  <c r="E84" i="37"/>
  <c r="F84" i="37" s="1"/>
  <c r="E69" i="37"/>
  <c r="E52" i="37"/>
  <c r="E34" i="37"/>
  <c r="F34" i="37" s="1"/>
  <c r="E19" i="37"/>
  <c r="M158" i="12"/>
  <c r="L158" i="12"/>
  <c r="M148" i="12"/>
  <c r="L148" i="12"/>
  <c r="M137" i="12"/>
  <c r="L137" i="12"/>
  <c r="M125" i="12"/>
  <c r="L125" i="12"/>
  <c r="M114" i="12"/>
  <c r="L114" i="12"/>
  <c r="M104" i="12"/>
  <c r="L104" i="12"/>
  <c r="M90" i="12"/>
  <c r="L90" i="12"/>
  <c r="M81" i="12"/>
  <c r="L81" i="12"/>
  <c r="M69" i="12"/>
  <c r="L69" i="12"/>
  <c r="M47" i="12"/>
  <c r="L47" i="12"/>
  <c r="M34" i="12"/>
  <c r="L34" i="12"/>
  <c r="N160" i="12"/>
  <c r="O160" i="12" s="1"/>
  <c r="N161" i="12"/>
  <c r="N159" i="12"/>
  <c r="L22" i="12"/>
  <c r="M22" i="12"/>
  <c r="F117" i="12"/>
  <c r="M117" i="12" s="1"/>
  <c r="N117" i="12"/>
  <c r="O117" i="12" s="1"/>
  <c r="F159" i="12"/>
  <c r="F160" i="12"/>
  <c r="F161" i="12"/>
  <c r="F149" i="12"/>
  <c r="M149" i="12"/>
  <c r="F150" i="12"/>
  <c r="M150" i="12"/>
  <c r="F151" i="12"/>
  <c r="M151" i="12"/>
  <c r="F138" i="12"/>
  <c r="F139" i="12"/>
  <c r="M139" i="12"/>
  <c r="F126" i="12"/>
  <c r="M126" i="12"/>
  <c r="F127" i="12"/>
  <c r="M127" i="12" s="1"/>
  <c r="F128" i="12"/>
  <c r="F129" i="12"/>
  <c r="M129" i="12" s="1"/>
  <c r="F115" i="12"/>
  <c r="M115" i="12"/>
  <c r="F116" i="12"/>
  <c r="F105" i="12"/>
  <c r="M105" i="12"/>
  <c r="F106" i="12"/>
  <c r="F91" i="12"/>
  <c r="M91" i="12" s="1"/>
  <c r="F92" i="12"/>
  <c r="M92" i="12" s="1"/>
  <c r="F93" i="12"/>
  <c r="F94" i="12"/>
  <c r="M94" i="12" s="1"/>
  <c r="F95" i="12"/>
  <c r="M95" i="12" s="1"/>
  <c r="F96" i="12"/>
  <c r="F82" i="12"/>
  <c r="F83" i="12"/>
  <c r="M83" i="12" s="1"/>
  <c r="F70" i="12"/>
  <c r="M70" i="12"/>
  <c r="F71" i="12"/>
  <c r="M71" i="12"/>
  <c r="F72" i="12"/>
  <c r="M72" i="12"/>
  <c r="N72" i="12" s="1"/>
  <c r="F73" i="12"/>
  <c r="M73" i="12"/>
  <c r="F74" i="12"/>
  <c r="M74" i="12"/>
  <c r="F48" i="12"/>
  <c r="F49" i="12"/>
  <c r="M49" i="12"/>
  <c r="N49" i="12" s="1"/>
  <c r="O49" i="12"/>
  <c r="P49" i="12" s="1"/>
  <c r="F37" i="12"/>
  <c r="M37" i="12"/>
  <c r="E160" i="12"/>
  <c r="E161" i="12"/>
  <c r="H161" i="12" s="1"/>
  <c r="E159" i="12"/>
  <c r="G159" i="12" s="1"/>
  <c r="E150" i="12"/>
  <c r="E151" i="12"/>
  <c r="E149" i="12"/>
  <c r="H149" i="12" s="1"/>
  <c r="E139" i="12"/>
  <c r="E140" i="12" s="1"/>
  <c r="E138" i="12"/>
  <c r="I138" i="12" s="1"/>
  <c r="E127" i="12"/>
  <c r="E128" i="12"/>
  <c r="H128" i="12" s="1"/>
  <c r="E129" i="12"/>
  <c r="H129" i="12" s="1"/>
  <c r="E126" i="12"/>
  <c r="H126" i="12"/>
  <c r="E116" i="12"/>
  <c r="H116" i="12" s="1"/>
  <c r="E117" i="12"/>
  <c r="E115" i="12"/>
  <c r="E106" i="12"/>
  <c r="H106" i="12" s="1"/>
  <c r="E105" i="12"/>
  <c r="H105" i="12" s="1"/>
  <c r="E92" i="12"/>
  <c r="E93" i="12"/>
  <c r="H93" i="12" s="1"/>
  <c r="E94" i="12"/>
  <c r="H94" i="12"/>
  <c r="E95" i="12"/>
  <c r="I94" i="12"/>
  <c r="H95" i="12"/>
  <c r="E96" i="12"/>
  <c r="E91" i="12"/>
  <c r="E97" i="12" s="1"/>
  <c r="E83" i="12"/>
  <c r="E82" i="12"/>
  <c r="H82" i="12"/>
  <c r="E72" i="12"/>
  <c r="H72" i="12"/>
  <c r="E73" i="12"/>
  <c r="H73" i="12"/>
  <c r="E74" i="12"/>
  <c r="H74" i="12" s="1"/>
  <c r="E71" i="12"/>
  <c r="H71" i="12"/>
  <c r="E70" i="12"/>
  <c r="H70" i="12" s="1"/>
  <c r="E49" i="12"/>
  <c r="H49" i="12" s="1"/>
  <c r="E48" i="12"/>
  <c r="H48" i="12"/>
  <c r="E36" i="12"/>
  <c r="E37" i="12"/>
  <c r="H37" i="12" s="1"/>
  <c r="E35" i="12"/>
  <c r="E23" i="12"/>
  <c r="E26" i="12" s="1"/>
  <c r="H23" i="12"/>
  <c r="O42" i="27"/>
  <c r="E79" i="12"/>
  <c r="B102" i="4"/>
  <c r="F24" i="12"/>
  <c r="M24" i="12"/>
  <c r="F25" i="12"/>
  <c r="M25" i="12"/>
  <c r="F23" i="12"/>
  <c r="E24" i="12"/>
  <c r="H24" i="12"/>
  <c r="P24" i="12" s="1"/>
  <c r="E25" i="12"/>
  <c r="H25" i="12"/>
  <c r="S12" i="27"/>
  <c r="Q12" i="27"/>
  <c r="P13" i="27"/>
  <c r="P14" i="27"/>
  <c r="P15" i="27"/>
  <c r="P16" i="27"/>
  <c r="P17" i="27"/>
  <c r="P18" i="27"/>
  <c r="P19" i="27"/>
  <c r="P20" i="27"/>
  <c r="P21" i="27"/>
  <c r="P22" i="27"/>
  <c r="P23" i="27"/>
  <c r="P24" i="27"/>
  <c r="P25" i="27"/>
  <c r="P27" i="27"/>
  <c r="P28" i="27"/>
  <c r="P29" i="27"/>
  <c r="P34" i="27"/>
  <c r="P35" i="27"/>
  <c r="P36" i="27"/>
  <c r="P37" i="27"/>
  <c r="P38" i="27"/>
  <c r="P39" i="27"/>
  <c r="P40" i="27"/>
  <c r="P41" i="27"/>
  <c r="P43" i="27"/>
  <c r="P45" i="27"/>
  <c r="P46" i="27"/>
  <c r="P47" i="27"/>
  <c r="P48" i="27"/>
  <c r="P49" i="27"/>
  <c r="P50" i="27"/>
  <c r="P51" i="27"/>
  <c r="P52" i="27"/>
  <c r="P53" i="27"/>
  <c r="P54" i="27"/>
  <c r="P55" i="27"/>
  <c r="P56" i="27"/>
  <c r="P57" i="27"/>
  <c r="P58" i="27"/>
  <c r="P59" i="27"/>
  <c r="P60" i="27"/>
  <c r="P61" i="27"/>
  <c r="P62" i="27"/>
  <c r="P63" i="27"/>
  <c r="P64" i="27"/>
  <c r="P65" i="27"/>
  <c r="P66" i="27"/>
  <c r="P67" i="27"/>
  <c r="P68" i="27"/>
  <c r="P69" i="27"/>
  <c r="P71" i="27"/>
  <c r="P72" i="27"/>
  <c r="P73" i="27"/>
  <c r="P78" i="27"/>
  <c r="P79" i="27"/>
  <c r="P80" i="27"/>
  <c r="P81" i="27"/>
  <c r="P85" i="27"/>
  <c r="P86" i="27"/>
  <c r="P88" i="27"/>
  <c r="P89" i="27"/>
  <c r="P90" i="27"/>
  <c r="P91" i="27"/>
  <c r="P92" i="27"/>
  <c r="P98" i="27"/>
  <c r="P99" i="27"/>
  <c r="P100" i="27"/>
  <c r="P101" i="27"/>
  <c r="P102" i="27"/>
  <c r="P103" i="27"/>
  <c r="P104" i="27"/>
  <c r="P105" i="27"/>
  <c r="P106" i="27"/>
  <c r="P107" i="27"/>
  <c r="P108" i="27"/>
  <c r="P109" i="27"/>
  <c r="P110" i="27"/>
  <c r="P111" i="27"/>
  <c r="P112" i="27"/>
  <c r="P113" i="27"/>
  <c r="P114" i="27"/>
  <c r="P115" i="27"/>
  <c r="P116" i="27"/>
  <c r="P117" i="27"/>
  <c r="P118" i="27"/>
  <c r="P119" i="27"/>
  <c r="P120" i="27"/>
  <c r="P121" i="27"/>
  <c r="P122" i="27"/>
  <c r="P123" i="27"/>
  <c r="P126" i="27"/>
  <c r="P127" i="27"/>
  <c r="P128" i="27"/>
  <c r="P131" i="27"/>
  <c r="P132" i="27"/>
  <c r="P133" i="27"/>
  <c r="P134" i="27"/>
  <c r="P135" i="27"/>
  <c r="P136" i="27"/>
  <c r="P146" i="27"/>
  <c r="P148" i="27"/>
  <c r="P150" i="27"/>
  <c r="P151" i="27"/>
  <c r="P152" i="27"/>
  <c r="P153" i="27"/>
  <c r="P154" i="27"/>
  <c r="P155" i="27"/>
  <c r="P156" i="27"/>
  <c r="P157" i="27"/>
  <c r="P158" i="27"/>
  <c r="P159" i="27"/>
  <c r="P160" i="27"/>
  <c r="P161" i="27"/>
  <c r="P162" i="27"/>
  <c r="P163" i="27"/>
  <c r="P165" i="27"/>
  <c r="P166" i="27"/>
  <c r="P167" i="27"/>
  <c r="P168" i="27"/>
  <c r="P169" i="27"/>
  <c r="P170" i="27"/>
  <c r="P171" i="27"/>
  <c r="P175" i="27"/>
  <c r="P176" i="27"/>
  <c r="P177" i="27"/>
  <c r="P178" i="27"/>
  <c r="P179" i="27"/>
  <c r="P180" i="27"/>
  <c r="P181" i="27"/>
  <c r="P182" i="27"/>
  <c r="P183" i="27"/>
  <c r="P184" i="27"/>
  <c r="P186" i="27"/>
  <c r="P187" i="27"/>
  <c r="P188" i="27"/>
  <c r="P190" i="27"/>
  <c r="P191" i="27"/>
  <c r="P192" i="27"/>
  <c r="P193" i="27"/>
  <c r="P194" i="27"/>
  <c r="P195" i="27"/>
  <c r="P196" i="27"/>
  <c r="P197" i="27"/>
  <c r="P201" i="27"/>
  <c r="P202" i="27"/>
  <c r="P203" i="27"/>
  <c r="P204" i="27"/>
  <c r="P205" i="27"/>
  <c r="P210" i="27"/>
  <c r="P211" i="27"/>
  <c r="P212" i="27"/>
  <c r="P213" i="27"/>
  <c r="P214" i="27"/>
  <c r="P216" i="27"/>
  <c r="P217" i="27"/>
  <c r="P219" i="27"/>
  <c r="P221" i="27"/>
  <c r="P222" i="27"/>
  <c r="P223" i="27"/>
  <c r="P224" i="27"/>
  <c r="P226" i="27"/>
  <c r="P227" i="27"/>
  <c r="P228" i="27"/>
  <c r="P229" i="27"/>
  <c r="P230" i="27"/>
  <c r="P231" i="27"/>
  <c r="P232" i="27"/>
  <c r="P233" i="27"/>
  <c r="P234" i="27"/>
  <c r="P235" i="27"/>
  <c r="P236" i="27"/>
  <c r="P237" i="27"/>
  <c r="P238" i="27"/>
  <c r="P239" i="27"/>
  <c r="P240" i="27"/>
  <c r="P241" i="27"/>
  <c r="P242" i="27"/>
  <c r="P243" i="27"/>
  <c r="P244" i="27"/>
  <c r="P245" i="27"/>
  <c r="P246" i="27"/>
  <c r="P248" i="27"/>
  <c r="P249" i="27"/>
  <c r="P250" i="27"/>
  <c r="P251" i="27"/>
  <c r="P252" i="27"/>
  <c r="P253" i="27"/>
  <c r="P254" i="27"/>
  <c r="P255" i="27"/>
  <c r="P256" i="27"/>
  <c r="P257" i="27"/>
  <c r="P258" i="27"/>
  <c r="P260" i="27"/>
  <c r="P261" i="27"/>
  <c r="P262" i="27"/>
  <c r="P263" i="27"/>
  <c r="P264" i="27"/>
  <c r="P265" i="27"/>
  <c r="P266" i="27"/>
  <c r="P267" i="27"/>
  <c r="P268" i="27"/>
  <c r="P269" i="27"/>
  <c r="P270" i="27"/>
  <c r="P271" i="27"/>
  <c r="P272" i="27"/>
  <c r="P274" i="27"/>
  <c r="P277" i="27"/>
  <c r="P279" i="27"/>
  <c r="P280" i="27"/>
  <c r="P282" i="27"/>
  <c r="P283" i="27"/>
  <c r="P285" i="27"/>
  <c r="P288" i="27"/>
  <c r="P289" i="27"/>
  <c r="P290" i="27"/>
  <c r="P292" i="27"/>
  <c r="P293" i="27"/>
  <c r="P294" i="27"/>
  <c r="P295" i="27"/>
  <c r="P296" i="27"/>
  <c r="P297" i="27"/>
  <c r="P298" i="27"/>
  <c r="P299" i="27"/>
  <c r="P300" i="27"/>
  <c r="P301" i="27"/>
  <c r="P302" i="27"/>
  <c r="P303" i="27"/>
  <c r="P304" i="27"/>
  <c r="P305" i="27"/>
  <c r="P306" i="27"/>
  <c r="P308" i="27"/>
  <c r="P310" i="27"/>
  <c r="P311" i="27"/>
  <c r="P313" i="27"/>
  <c r="P314" i="27"/>
  <c r="P315" i="27"/>
  <c r="P316" i="27"/>
  <c r="P317" i="27"/>
  <c r="P318" i="27"/>
  <c r="P319" i="27"/>
  <c r="P321" i="27"/>
  <c r="P322" i="27"/>
  <c r="P323" i="27"/>
  <c r="P324" i="27"/>
  <c r="P325" i="27"/>
  <c r="P327" i="27"/>
  <c r="P12" i="27"/>
  <c r="K13" i="27"/>
  <c r="K14" i="27"/>
  <c r="K15" i="27"/>
  <c r="K16" i="27"/>
  <c r="K17" i="27"/>
  <c r="K18" i="27"/>
  <c r="K19" i="27"/>
  <c r="K20" i="27"/>
  <c r="K21" i="27"/>
  <c r="K22" i="27"/>
  <c r="K23" i="27"/>
  <c r="K24" i="27"/>
  <c r="K25" i="27"/>
  <c r="K26" i="27"/>
  <c r="K27" i="27"/>
  <c r="K28" i="27"/>
  <c r="K29" i="27"/>
  <c r="K30" i="27"/>
  <c r="K31" i="27"/>
  <c r="K32" i="27"/>
  <c r="K33" i="27"/>
  <c r="K34" i="27"/>
  <c r="K35" i="27"/>
  <c r="K36" i="27"/>
  <c r="K37" i="27"/>
  <c r="K38" i="27"/>
  <c r="K39" i="27"/>
  <c r="K40" i="27"/>
  <c r="K41" i="27"/>
  <c r="K42" i="27"/>
  <c r="K43" i="27"/>
  <c r="K44" i="27"/>
  <c r="K45" i="27"/>
  <c r="K46" i="27"/>
  <c r="K47" i="27"/>
  <c r="K48" i="27"/>
  <c r="K49" i="27"/>
  <c r="K50" i="27"/>
  <c r="K51" i="27"/>
  <c r="K52" i="27"/>
  <c r="K53" i="27"/>
  <c r="K54" i="27"/>
  <c r="K55" i="27"/>
  <c r="K56" i="27"/>
  <c r="K57" i="27"/>
  <c r="K58" i="27"/>
  <c r="K59" i="27"/>
  <c r="K60" i="27"/>
  <c r="K61" i="27"/>
  <c r="K62" i="27"/>
  <c r="K63" i="27"/>
  <c r="K64" i="27"/>
  <c r="K65" i="27"/>
  <c r="K66" i="27"/>
  <c r="K67" i="27"/>
  <c r="K68" i="27"/>
  <c r="K69" i="27"/>
  <c r="K70" i="27"/>
  <c r="K71" i="27"/>
  <c r="K72" i="27"/>
  <c r="K73" i="27"/>
  <c r="K74" i="27"/>
  <c r="K75" i="27"/>
  <c r="K76" i="27"/>
  <c r="K77" i="27"/>
  <c r="K78" i="27"/>
  <c r="K79" i="27"/>
  <c r="K80" i="27"/>
  <c r="K81" i="27"/>
  <c r="K82" i="27"/>
  <c r="K83" i="27"/>
  <c r="K84" i="27"/>
  <c r="K85" i="27"/>
  <c r="K86" i="27"/>
  <c r="K88" i="27"/>
  <c r="K89" i="27"/>
  <c r="K90" i="27"/>
  <c r="K91" i="27"/>
  <c r="K92" i="27"/>
  <c r="L92" i="27" s="1"/>
  <c r="K93" i="27"/>
  <c r="K94" i="27"/>
  <c r="K95" i="27"/>
  <c r="K96" i="27"/>
  <c r="K97" i="27"/>
  <c r="K99" i="27"/>
  <c r="K100" i="27"/>
  <c r="K101" i="27"/>
  <c r="K103" i="27"/>
  <c r="K104" i="27"/>
  <c r="K105" i="27"/>
  <c r="K106" i="27"/>
  <c r="K107" i="27"/>
  <c r="K108" i="27"/>
  <c r="K109" i="27"/>
  <c r="K110" i="27"/>
  <c r="K111" i="27"/>
  <c r="K112" i="27"/>
  <c r="K113" i="27"/>
  <c r="K114" i="27"/>
  <c r="K115" i="27"/>
  <c r="K116" i="27"/>
  <c r="K117" i="27"/>
  <c r="K118" i="27"/>
  <c r="K119" i="27"/>
  <c r="K120" i="27"/>
  <c r="K121" i="27"/>
  <c r="K122" i="27"/>
  <c r="K123" i="27"/>
  <c r="K124" i="27"/>
  <c r="K125" i="27"/>
  <c r="K126" i="27"/>
  <c r="K127" i="27"/>
  <c r="K128" i="27"/>
  <c r="K129" i="27"/>
  <c r="K130" i="27"/>
  <c r="K131" i="27"/>
  <c r="K132" i="27"/>
  <c r="K133" i="27"/>
  <c r="K134" i="27"/>
  <c r="K135" i="27"/>
  <c r="K136" i="27"/>
  <c r="K146" i="27"/>
  <c r="K147" i="27"/>
  <c r="K148" i="27"/>
  <c r="K149" i="27"/>
  <c r="K150" i="27"/>
  <c r="K151" i="27"/>
  <c r="K152" i="27"/>
  <c r="K153" i="27"/>
  <c r="K155" i="27"/>
  <c r="K156" i="27"/>
  <c r="K157" i="27"/>
  <c r="K158" i="27"/>
  <c r="K159" i="27"/>
  <c r="K160" i="27"/>
  <c r="K161" i="27"/>
  <c r="K162" i="27"/>
  <c r="K163" i="27"/>
  <c r="K164" i="27"/>
  <c r="K165" i="27"/>
  <c r="K166" i="27"/>
  <c r="K168" i="27"/>
  <c r="L168" i="27"/>
  <c r="K169" i="27"/>
  <c r="K170" i="27"/>
  <c r="K171" i="27"/>
  <c r="K172" i="27"/>
  <c r="K174" i="27"/>
  <c r="K175" i="27"/>
  <c r="K176" i="27"/>
  <c r="K177" i="27"/>
  <c r="K178" i="27"/>
  <c r="K179" i="27"/>
  <c r="K180" i="27"/>
  <c r="K182" i="27"/>
  <c r="K183" i="27"/>
  <c r="K184" i="27"/>
  <c r="K185" i="27"/>
  <c r="K186" i="27"/>
  <c r="K187" i="27"/>
  <c r="K188" i="27"/>
  <c r="K189" i="27"/>
  <c r="K191" i="27"/>
  <c r="K192" i="27"/>
  <c r="K193" i="27"/>
  <c r="K194" i="27"/>
  <c r="K195" i="27"/>
  <c r="K196" i="27"/>
  <c r="K197" i="27"/>
  <c r="K198" i="27"/>
  <c r="K199" i="27"/>
  <c r="K200" i="27"/>
  <c r="K201" i="27"/>
  <c r="K202" i="27"/>
  <c r="K203" i="27"/>
  <c r="K204" i="27"/>
  <c r="K205" i="27"/>
  <c r="K210" i="27"/>
  <c r="K211" i="27"/>
  <c r="K212" i="27"/>
  <c r="K213" i="27"/>
  <c r="L213" i="27" s="1"/>
  <c r="T213" i="27" s="1"/>
  <c r="K214" i="27"/>
  <c r="K215" i="27"/>
  <c r="K216" i="27"/>
  <c r="K217" i="27"/>
  <c r="K218" i="27"/>
  <c r="K219" i="27"/>
  <c r="K220" i="27"/>
  <c r="K221" i="27"/>
  <c r="K222" i="27"/>
  <c r="K223" i="27"/>
  <c r="K224" i="27"/>
  <c r="K225" i="27"/>
  <c r="K226" i="27"/>
  <c r="L226" i="27"/>
  <c r="T226" i="27"/>
  <c r="K227" i="27"/>
  <c r="K228" i="27"/>
  <c r="K229" i="27"/>
  <c r="K230" i="27"/>
  <c r="K231" i="27"/>
  <c r="K232" i="27"/>
  <c r="K233" i="27"/>
  <c r="K234" i="27"/>
  <c r="K235" i="27"/>
  <c r="K236" i="27"/>
  <c r="K237" i="27"/>
  <c r="L237" i="27" s="1"/>
  <c r="K238" i="27"/>
  <c r="K239" i="27"/>
  <c r="K240" i="27"/>
  <c r="K241" i="27"/>
  <c r="K242" i="27"/>
  <c r="K243" i="27"/>
  <c r="K244" i="27"/>
  <c r="K245" i="27"/>
  <c r="K246" i="27"/>
  <c r="K247" i="27"/>
  <c r="K248" i="27"/>
  <c r="K249" i="27"/>
  <c r="K250" i="27"/>
  <c r="K251" i="27"/>
  <c r="K252" i="27"/>
  <c r="K253" i="27"/>
  <c r="K254" i="27"/>
  <c r="K255" i="27"/>
  <c r="K256" i="27"/>
  <c r="K257" i="27"/>
  <c r="K258" i="27"/>
  <c r="K259" i="27"/>
  <c r="K260" i="27"/>
  <c r="K261" i="27"/>
  <c r="K262" i="27"/>
  <c r="K263" i="27"/>
  <c r="K264" i="27"/>
  <c r="K265" i="27"/>
  <c r="K266" i="27"/>
  <c r="K267" i="27"/>
  <c r="K268" i="27"/>
  <c r="K269" i="27"/>
  <c r="K270" i="27"/>
  <c r="K271" i="27"/>
  <c r="L271" i="27" s="1"/>
  <c r="T271" i="27" s="1"/>
  <c r="K272" i="27"/>
  <c r="K273" i="27"/>
  <c r="K274" i="27"/>
  <c r="K275" i="27"/>
  <c r="K276" i="27"/>
  <c r="K277" i="27"/>
  <c r="K278" i="27"/>
  <c r="K279" i="27"/>
  <c r="K280" i="27"/>
  <c r="K281" i="27"/>
  <c r="K282" i="27"/>
  <c r="K283" i="27"/>
  <c r="K284" i="27"/>
  <c r="K285" i="27"/>
  <c r="L285" i="27" s="1"/>
  <c r="T285" i="27" s="1"/>
  <c r="K286" i="27"/>
  <c r="K287" i="27"/>
  <c r="K288" i="27"/>
  <c r="K289" i="27"/>
  <c r="K290" i="27"/>
  <c r="K291" i="27"/>
  <c r="K292" i="27"/>
  <c r="K293" i="27"/>
  <c r="K294" i="27"/>
  <c r="K295" i="27"/>
  <c r="K296" i="27"/>
  <c r="K297" i="27"/>
  <c r="K299" i="27"/>
  <c r="K300" i="27"/>
  <c r="K301" i="27"/>
  <c r="K302" i="27"/>
  <c r="K303" i="27"/>
  <c r="K304" i="27"/>
  <c r="K305" i="27"/>
  <c r="K306" i="27"/>
  <c r="K307" i="27"/>
  <c r="K308" i="27"/>
  <c r="K309" i="27"/>
  <c r="K310" i="27"/>
  <c r="K311" i="27"/>
  <c r="K312" i="27"/>
  <c r="K313" i="27"/>
  <c r="K314" i="27"/>
  <c r="K315" i="27"/>
  <c r="K316" i="27"/>
  <c r="K317" i="27"/>
  <c r="K318" i="27"/>
  <c r="K319" i="27"/>
  <c r="K320" i="27"/>
  <c r="K321" i="27"/>
  <c r="K322" i="27"/>
  <c r="K323" i="27"/>
  <c r="K324" i="27"/>
  <c r="L324" i="27"/>
  <c r="K326" i="27"/>
  <c r="K327" i="27"/>
  <c r="K12" i="27"/>
  <c r="D9" i="27"/>
  <c r="E9" i="27"/>
  <c r="F9" i="27" s="1"/>
  <c r="G9" i="27" s="1"/>
  <c r="H9" i="27" s="1"/>
  <c r="I9" i="27" s="1"/>
  <c r="J9" i="27" s="1"/>
  <c r="K9" i="27" s="1"/>
  <c r="L9" i="27" s="1"/>
  <c r="M9" i="27" s="1"/>
  <c r="N9" i="27" s="1"/>
  <c r="O9" i="27" s="1"/>
  <c r="P9" i="27" s="1"/>
  <c r="Q9" i="27" s="1"/>
  <c r="R9" i="27" s="1"/>
  <c r="S9" i="27" s="1"/>
  <c r="T9" i="27" s="1"/>
  <c r="L11" i="8"/>
  <c r="M11" i="8" s="1"/>
  <c r="L10" i="8"/>
  <c r="M10" i="8" s="1"/>
  <c r="N10" i="8" s="1"/>
  <c r="L9" i="8"/>
  <c r="J10" i="8"/>
  <c r="D5" i="36"/>
  <c r="D4" i="36"/>
  <c r="B98" i="29"/>
  <c r="B99" i="29" s="1"/>
  <c r="B100" i="29"/>
  <c r="B97" i="29"/>
  <c r="B90" i="29"/>
  <c r="B24" i="29"/>
  <c r="B93" i="29"/>
  <c r="B25" i="29" s="1"/>
  <c r="L3" i="27"/>
  <c r="S16" i="27"/>
  <c r="S21" i="27"/>
  <c r="J75" i="36"/>
  <c r="J76" i="36"/>
  <c r="J77" i="36"/>
  <c r="J78" i="36"/>
  <c r="J79" i="36"/>
  <c r="J80" i="36"/>
  <c r="J81" i="36"/>
  <c r="J82" i="36"/>
  <c r="J83" i="36"/>
  <c r="J84" i="36"/>
  <c r="J85" i="36"/>
  <c r="J86" i="36"/>
  <c r="J87" i="36"/>
  <c r="J88" i="36"/>
  <c r="J89" i="36"/>
  <c r="J90" i="36"/>
  <c r="S13" i="27"/>
  <c r="S14" i="27"/>
  <c r="S15" i="27"/>
  <c r="S17" i="27"/>
  <c r="S18" i="27"/>
  <c r="S19" i="27"/>
  <c r="S20" i="27"/>
  <c r="S22" i="27"/>
  <c r="S23" i="27"/>
  <c r="S24" i="27"/>
  <c r="S25" i="27"/>
  <c r="S27" i="27"/>
  <c r="S28" i="27"/>
  <c r="S29" i="27"/>
  <c r="S34" i="27"/>
  <c r="S35" i="27"/>
  <c r="S36" i="27"/>
  <c r="S37" i="27"/>
  <c r="S38" i="27"/>
  <c r="S39" i="27"/>
  <c r="S40" i="27"/>
  <c r="S41" i="27"/>
  <c r="S45" i="27"/>
  <c r="S46" i="27"/>
  <c r="S47" i="27"/>
  <c r="S48" i="27"/>
  <c r="S49" i="27"/>
  <c r="S50" i="27"/>
  <c r="S51" i="27"/>
  <c r="S52" i="27"/>
  <c r="S53" i="27"/>
  <c r="S54" i="27"/>
  <c r="S55" i="27"/>
  <c r="S56" i="27"/>
  <c r="S57" i="27"/>
  <c r="S58" i="27"/>
  <c r="S59" i="27"/>
  <c r="S60" i="27"/>
  <c r="S61" i="27"/>
  <c r="S62" i="27"/>
  <c r="S63" i="27"/>
  <c r="S64" i="27"/>
  <c r="S65" i="27"/>
  <c r="S67" i="27"/>
  <c r="S68" i="27"/>
  <c r="S69" i="27"/>
  <c r="S71" i="27"/>
  <c r="S72" i="27"/>
  <c r="S73" i="27"/>
  <c r="S78" i="27"/>
  <c r="S79" i="27"/>
  <c r="S80" i="27"/>
  <c r="S81" i="27"/>
  <c r="S85" i="27"/>
  <c r="S86" i="27"/>
  <c r="S88" i="27"/>
  <c r="S89" i="27"/>
  <c r="S90" i="27"/>
  <c r="S91" i="27"/>
  <c r="S92" i="27"/>
  <c r="T92" i="27" s="1"/>
  <c r="S98" i="27"/>
  <c r="S99" i="27"/>
  <c r="S100" i="27"/>
  <c r="S101" i="27"/>
  <c r="S102" i="27"/>
  <c r="S103" i="27"/>
  <c r="S104" i="27"/>
  <c r="S105" i="27"/>
  <c r="S106" i="27"/>
  <c r="S107" i="27"/>
  <c r="S108" i="27"/>
  <c r="S109" i="27"/>
  <c r="S110" i="27"/>
  <c r="S111" i="27"/>
  <c r="S112" i="27"/>
  <c r="S113" i="27"/>
  <c r="S114" i="27"/>
  <c r="S115" i="27"/>
  <c r="S116" i="27"/>
  <c r="S117" i="27"/>
  <c r="S118" i="27"/>
  <c r="S119" i="27"/>
  <c r="S120" i="27"/>
  <c r="S121" i="27"/>
  <c r="S122" i="27"/>
  <c r="S123" i="27"/>
  <c r="S126" i="27"/>
  <c r="S127" i="27"/>
  <c r="S128" i="27"/>
  <c r="S131" i="27"/>
  <c r="S132" i="27"/>
  <c r="S133" i="27"/>
  <c r="S134" i="27"/>
  <c r="S135" i="27"/>
  <c r="S136" i="27"/>
  <c r="S148" i="27"/>
  <c r="S150" i="27"/>
  <c r="S151" i="27"/>
  <c r="S152" i="27"/>
  <c r="S153" i="27"/>
  <c r="S154" i="27"/>
  <c r="S155" i="27"/>
  <c r="S156" i="27"/>
  <c r="S157" i="27"/>
  <c r="S158" i="27"/>
  <c r="S160" i="27"/>
  <c r="S161" i="27"/>
  <c r="S162" i="27"/>
  <c r="S163" i="27"/>
  <c r="S165" i="27"/>
  <c r="S166" i="27"/>
  <c r="S167" i="27"/>
  <c r="S168" i="27"/>
  <c r="S169" i="27"/>
  <c r="S170" i="27"/>
  <c r="S171" i="27"/>
  <c r="S175" i="27"/>
  <c r="S176" i="27"/>
  <c r="S177" i="27"/>
  <c r="S178" i="27"/>
  <c r="S179" i="27"/>
  <c r="S180" i="27"/>
  <c r="S181" i="27"/>
  <c r="S182" i="27"/>
  <c r="S183" i="27"/>
  <c r="S184" i="27"/>
  <c r="S186" i="27"/>
  <c r="S187" i="27"/>
  <c r="S188" i="27"/>
  <c r="S190" i="27"/>
  <c r="S191" i="27"/>
  <c r="S192" i="27"/>
  <c r="S193" i="27"/>
  <c r="S194" i="27"/>
  <c r="S195" i="27"/>
  <c r="S196" i="27"/>
  <c r="S197" i="27"/>
  <c r="S201" i="27"/>
  <c r="S202" i="27"/>
  <c r="S203" i="27"/>
  <c r="S204" i="27"/>
  <c r="S205" i="27"/>
  <c r="S210" i="27"/>
  <c r="S211" i="27"/>
  <c r="S212" i="27"/>
  <c r="S213" i="27"/>
  <c r="S214" i="27"/>
  <c r="S216" i="27"/>
  <c r="S217" i="27"/>
  <c r="S219" i="27"/>
  <c r="S221" i="27"/>
  <c r="S222" i="27"/>
  <c r="S223" i="27"/>
  <c r="S224" i="27"/>
  <c r="S226" i="27"/>
  <c r="S227" i="27"/>
  <c r="S228" i="27"/>
  <c r="S229" i="27"/>
  <c r="S230" i="27"/>
  <c r="S231" i="27"/>
  <c r="S232" i="27"/>
  <c r="S233" i="27"/>
  <c r="S234" i="27"/>
  <c r="S235" i="27"/>
  <c r="S236" i="27"/>
  <c r="S237" i="27"/>
  <c r="S238" i="27"/>
  <c r="S239" i="27"/>
  <c r="S240" i="27"/>
  <c r="S241" i="27"/>
  <c r="S242" i="27"/>
  <c r="S243" i="27"/>
  <c r="S244" i="27"/>
  <c r="S245" i="27"/>
  <c r="S246" i="27"/>
  <c r="S248" i="27"/>
  <c r="S249" i="27"/>
  <c r="S251" i="27"/>
  <c r="S252" i="27"/>
  <c r="S253" i="27"/>
  <c r="S254" i="27"/>
  <c r="S255" i="27"/>
  <c r="S256" i="27"/>
  <c r="S257" i="27"/>
  <c r="S258" i="27"/>
  <c r="S260" i="27"/>
  <c r="S261" i="27"/>
  <c r="S262" i="27"/>
  <c r="S263" i="27"/>
  <c r="S264" i="27"/>
  <c r="S265" i="27"/>
  <c r="S266" i="27"/>
  <c r="S267" i="27"/>
  <c r="S268" i="27"/>
  <c r="S269" i="27"/>
  <c r="S270" i="27"/>
  <c r="S271" i="27"/>
  <c r="S272" i="27"/>
  <c r="S274" i="27"/>
  <c r="S277" i="27"/>
  <c r="S279" i="27"/>
  <c r="S280" i="27"/>
  <c r="S282" i="27"/>
  <c r="S283" i="27"/>
  <c r="S285" i="27"/>
  <c r="S288" i="27"/>
  <c r="S289" i="27"/>
  <c r="S290" i="27"/>
  <c r="S292" i="27"/>
  <c r="S293" i="27"/>
  <c r="S294" i="27"/>
  <c r="S295" i="27"/>
  <c r="S296" i="27"/>
  <c r="S297" i="27"/>
  <c r="S298" i="27"/>
  <c r="S299" i="27"/>
  <c r="S300" i="27"/>
  <c r="S301" i="27"/>
  <c r="S302" i="27"/>
  <c r="S303" i="27"/>
  <c r="S304" i="27"/>
  <c r="S305" i="27"/>
  <c r="S306" i="27"/>
  <c r="S308" i="27"/>
  <c r="S310" i="27"/>
  <c r="S311" i="27"/>
  <c r="S313" i="27"/>
  <c r="S314" i="27"/>
  <c r="S315" i="27"/>
  <c r="S316" i="27"/>
  <c r="S317" i="27"/>
  <c r="S318" i="27"/>
  <c r="S319" i="27"/>
  <c r="S320" i="27"/>
  <c r="S321" i="27"/>
  <c r="S322" i="27"/>
  <c r="S323" i="27"/>
  <c r="S324" i="27"/>
  <c r="S327" i="27"/>
  <c r="J326" i="27"/>
  <c r="J312" i="27"/>
  <c r="J287" i="27"/>
  <c r="J286" i="27"/>
  <c r="J278" i="27"/>
  <c r="J276" i="27"/>
  <c r="J275" i="27"/>
  <c r="J259" i="27"/>
  <c r="J247" i="27"/>
  <c r="J223" i="27"/>
  <c r="J220" i="27"/>
  <c r="J214" i="27"/>
  <c r="J211" i="27"/>
  <c r="J204" i="27"/>
  <c r="J191" i="27"/>
  <c r="J190" i="27"/>
  <c r="J189" i="27"/>
  <c r="J183" i="27"/>
  <c r="J170" i="27"/>
  <c r="J154" i="27"/>
  <c r="J136" i="27"/>
  <c r="J126" i="27"/>
  <c r="J125" i="27"/>
  <c r="J123" i="27"/>
  <c r="J120" i="27"/>
  <c r="J117" i="27"/>
  <c r="J114" i="27"/>
  <c r="J112" i="27"/>
  <c r="J102" i="27"/>
  <c r="J101" i="27"/>
  <c r="J100" i="27"/>
  <c r="J99" i="27"/>
  <c r="J89" i="27"/>
  <c r="J85" i="27"/>
  <c r="J72" i="27"/>
  <c r="J20" i="27"/>
  <c r="J62" i="27"/>
  <c r="J55" i="27"/>
  <c r="J50" i="27"/>
  <c r="J34" i="27"/>
  <c r="J29" i="27"/>
  <c r="J22" i="27"/>
  <c r="J21" i="27"/>
  <c r="J18" i="27"/>
  <c r="J172" i="27"/>
  <c r="J164" i="27"/>
  <c r="J159" i="27"/>
  <c r="J149" i="27"/>
  <c r="J147" i="27"/>
  <c r="J130" i="27"/>
  <c r="J97" i="27"/>
  <c r="J96" i="27"/>
  <c r="J95" i="27"/>
  <c r="J94" i="27"/>
  <c r="J87" i="27"/>
  <c r="J84" i="27"/>
  <c r="J83" i="27"/>
  <c r="J82" i="27"/>
  <c r="J66" i="27"/>
  <c r="J43" i="27"/>
  <c r="J42" i="27"/>
  <c r="O30" i="27"/>
  <c r="O32" i="27"/>
  <c r="P32" i="27"/>
  <c r="O33" i="27"/>
  <c r="P33" i="27" s="1"/>
  <c r="P42" i="27"/>
  <c r="Q42" i="27" s="1"/>
  <c r="R42" i="27" s="1"/>
  <c r="N44" i="27"/>
  <c r="O44" i="27" s="1"/>
  <c r="N70" i="27"/>
  <c r="O70" i="27"/>
  <c r="N74" i="27"/>
  <c r="O74" i="27"/>
  <c r="P74" i="27"/>
  <c r="Q74" i="27" s="1"/>
  <c r="N75" i="27"/>
  <c r="O75" i="27" s="1"/>
  <c r="P75" i="27" s="1"/>
  <c r="N76" i="27"/>
  <c r="O76" i="27"/>
  <c r="N77" i="27"/>
  <c r="O77" i="27" s="1"/>
  <c r="O87" i="27"/>
  <c r="N93" i="27"/>
  <c r="N94" i="27"/>
  <c r="O94" i="27"/>
  <c r="N95" i="27"/>
  <c r="O95" i="27"/>
  <c r="P95" i="27"/>
  <c r="N96" i="27"/>
  <c r="O96" i="27" s="1"/>
  <c r="P96" i="27"/>
  <c r="N97" i="27"/>
  <c r="O97" i="27" s="1"/>
  <c r="N124" i="27"/>
  <c r="O124" i="27" s="1"/>
  <c r="P124" i="27"/>
  <c r="O125" i="27"/>
  <c r="P125" i="27"/>
  <c r="N129" i="27"/>
  <c r="O129" i="27"/>
  <c r="P129" i="27"/>
  <c r="N130" i="27"/>
  <c r="O130" i="27"/>
  <c r="O137" i="27"/>
  <c r="P137" i="27" s="1"/>
  <c r="O138" i="27"/>
  <c r="P138" i="27"/>
  <c r="Q138" i="27" s="1"/>
  <c r="O139" i="27"/>
  <c r="P139" i="27"/>
  <c r="O140" i="27"/>
  <c r="P140" i="27" s="1"/>
  <c r="O141" i="27"/>
  <c r="P141" i="27" s="1"/>
  <c r="Q141" i="27" s="1"/>
  <c r="R141" i="27" s="1"/>
  <c r="O142" i="27"/>
  <c r="P142" i="27"/>
  <c r="O143" i="27"/>
  <c r="O144" i="27"/>
  <c r="P144" i="27" s="1"/>
  <c r="O145" i="27"/>
  <c r="P145" i="27"/>
  <c r="Q145" i="27" s="1"/>
  <c r="R145" i="27" s="1"/>
  <c r="O149" i="27"/>
  <c r="P149" i="27" s="1"/>
  <c r="Q149" i="27" s="1"/>
  <c r="R149" i="27" s="1"/>
  <c r="N164" i="27"/>
  <c r="O164" i="27"/>
  <c r="O172" i="27"/>
  <c r="P172" i="27"/>
  <c r="E173" i="27"/>
  <c r="O174" i="27"/>
  <c r="P174" i="27"/>
  <c r="Q174" i="27"/>
  <c r="R174" i="27" s="1"/>
  <c r="N185" i="27"/>
  <c r="O185" i="27" s="1"/>
  <c r="P185" i="27" s="1"/>
  <c r="O189" i="27"/>
  <c r="N198" i="27"/>
  <c r="O200" i="27"/>
  <c r="P200" i="27"/>
  <c r="N199" i="27"/>
  <c r="O199" i="27" s="1"/>
  <c r="P199" i="27" s="1"/>
  <c r="O206" i="27"/>
  <c r="O207" i="27"/>
  <c r="O208" i="27"/>
  <c r="P208" i="27" s="1"/>
  <c r="O209" i="27"/>
  <c r="O215" i="27"/>
  <c r="P215" i="27"/>
  <c r="O218" i="27"/>
  <c r="P218" i="27" s="1"/>
  <c r="O220" i="27"/>
  <c r="P220" i="27"/>
  <c r="O225" i="27"/>
  <c r="N247" i="27"/>
  <c r="O247" i="27"/>
  <c r="P247" i="27"/>
  <c r="Q247" i="27" s="1"/>
  <c r="R247" i="27"/>
  <c r="O259" i="27"/>
  <c r="P259" i="27" s="1"/>
  <c r="O273" i="27"/>
  <c r="P273" i="27" s="1"/>
  <c r="N275" i="27"/>
  <c r="N278" i="27"/>
  <c r="O281" i="27"/>
  <c r="P281" i="27" s="1"/>
  <c r="Q281" i="27"/>
  <c r="R281" i="27" s="1"/>
  <c r="O284" i="27"/>
  <c r="O286" i="27"/>
  <c r="P286" i="27"/>
  <c r="Q286" i="27" s="1"/>
  <c r="O287" i="27"/>
  <c r="N291" i="27"/>
  <c r="O291" i="27" s="1"/>
  <c r="N307" i="27"/>
  <c r="O307" i="27" s="1"/>
  <c r="N309" i="27"/>
  <c r="O309" i="27"/>
  <c r="O312" i="27"/>
  <c r="P312" i="27"/>
  <c r="Q312" i="27" s="1"/>
  <c r="N326" i="27"/>
  <c r="O326" i="27"/>
  <c r="P326" i="27" s="1"/>
  <c r="E87" i="27"/>
  <c r="H26" i="27"/>
  <c r="H30" i="27"/>
  <c r="H31" i="27"/>
  <c r="H32" i="27"/>
  <c r="O82" i="27"/>
  <c r="P82" i="27"/>
  <c r="Q82" i="27" s="1"/>
  <c r="N147" i="27"/>
  <c r="H12" i="27"/>
  <c r="H13" i="27"/>
  <c r="H14" i="27"/>
  <c r="H15" i="27"/>
  <c r="H16" i="27"/>
  <c r="H17" i="27"/>
  <c r="H18" i="27"/>
  <c r="H19" i="27"/>
  <c r="H20" i="27"/>
  <c r="H21" i="27"/>
  <c r="H22" i="27"/>
  <c r="H23" i="27"/>
  <c r="H24" i="27"/>
  <c r="H25" i="27"/>
  <c r="H27" i="27"/>
  <c r="H28" i="27"/>
  <c r="H29" i="27"/>
  <c r="H33" i="27"/>
  <c r="H34" i="27"/>
  <c r="H35" i="27"/>
  <c r="H36" i="27"/>
  <c r="H37" i="27"/>
  <c r="H38" i="27"/>
  <c r="H39" i="27"/>
  <c r="H40" i="27"/>
  <c r="H41" i="27"/>
  <c r="H42" i="27"/>
  <c r="H43" i="27"/>
  <c r="Q43" i="27" s="1"/>
  <c r="H44" i="27"/>
  <c r="H45" i="27"/>
  <c r="H46" i="27"/>
  <c r="H47" i="27"/>
  <c r="H48" i="27"/>
  <c r="H49" i="27"/>
  <c r="H50" i="27"/>
  <c r="H51" i="27"/>
  <c r="H52" i="27"/>
  <c r="H53" i="27"/>
  <c r="H54" i="27"/>
  <c r="H55" i="27"/>
  <c r="H56" i="27"/>
  <c r="H57" i="27"/>
  <c r="H58" i="27"/>
  <c r="H59" i="27"/>
  <c r="H60" i="27"/>
  <c r="H61" i="27"/>
  <c r="H62" i="27"/>
  <c r="H63" i="27"/>
  <c r="H64" i="27"/>
  <c r="H65" i="27"/>
  <c r="H66" i="27"/>
  <c r="H67" i="27"/>
  <c r="H68" i="27"/>
  <c r="H69" i="27"/>
  <c r="H70" i="27"/>
  <c r="H71" i="27"/>
  <c r="H72" i="27"/>
  <c r="H73" i="27"/>
  <c r="H74" i="27"/>
  <c r="H75" i="27"/>
  <c r="H76" i="27"/>
  <c r="H77" i="27"/>
  <c r="H78" i="27"/>
  <c r="H79" i="27"/>
  <c r="H80" i="27"/>
  <c r="H81" i="27"/>
  <c r="H82" i="27"/>
  <c r="H83" i="27"/>
  <c r="H84" i="27"/>
  <c r="H85" i="27"/>
  <c r="H86" i="27"/>
  <c r="H87" i="27"/>
  <c r="H88" i="27"/>
  <c r="H89" i="27"/>
  <c r="H90" i="27"/>
  <c r="H91" i="27"/>
  <c r="H92" i="27"/>
  <c r="H93" i="27"/>
  <c r="H94" i="27"/>
  <c r="H95" i="27"/>
  <c r="H96" i="27"/>
  <c r="H97" i="27"/>
  <c r="H98" i="27"/>
  <c r="H99" i="27"/>
  <c r="H100" i="27"/>
  <c r="H101" i="27"/>
  <c r="H102" i="27"/>
  <c r="H103" i="27"/>
  <c r="H104" i="27"/>
  <c r="H105" i="27"/>
  <c r="H106" i="27"/>
  <c r="H107" i="27"/>
  <c r="H108" i="27"/>
  <c r="H109" i="27"/>
  <c r="H110" i="27"/>
  <c r="H111" i="27"/>
  <c r="H112" i="27"/>
  <c r="H113" i="27"/>
  <c r="H114" i="27"/>
  <c r="H115" i="27"/>
  <c r="H116" i="27"/>
  <c r="H117" i="27"/>
  <c r="H118" i="27"/>
  <c r="H119" i="27"/>
  <c r="H120" i="27"/>
  <c r="H121" i="27"/>
  <c r="H122" i="27"/>
  <c r="H123" i="27"/>
  <c r="H124" i="27"/>
  <c r="H125" i="27"/>
  <c r="H126" i="27"/>
  <c r="H127" i="27"/>
  <c r="H128" i="27"/>
  <c r="H129" i="27"/>
  <c r="H130" i="27"/>
  <c r="H131" i="27"/>
  <c r="H132" i="27"/>
  <c r="H133" i="27"/>
  <c r="H134" i="27"/>
  <c r="H135" i="27"/>
  <c r="H136" i="27"/>
  <c r="H137" i="27"/>
  <c r="H138" i="27"/>
  <c r="H139" i="27"/>
  <c r="H140" i="27"/>
  <c r="H141" i="27"/>
  <c r="H142" i="27"/>
  <c r="H143" i="27"/>
  <c r="H144" i="27"/>
  <c r="H145" i="27"/>
  <c r="H146" i="27"/>
  <c r="H147" i="27"/>
  <c r="H148" i="27"/>
  <c r="H149" i="27"/>
  <c r="H150" i="27"/>
  <c r="H151" i="27"/>
  <c r="H152" i="27"/>
  <c r="H153" i="27"/>
  <c r="H154" i="27"/>
  <c r="H155" i="27"/>
  <c r="H156" i="27"/>
  <c r="H157" i="27"/>
  <c r="H158" i="27"/>
  <c r="H159" i="27"/>
  <c r="Q159" i="27" s="1"/>
  <c r="H160" i="27"/>
  <c r="H161" i="27"/>
  <c r="H162" i="27"/>
  <c r="H163" i="27"/>
  <c r="H164" i="27"/>
  <c r="H165" i="27"/>
  <c r="H166" i="27"/>
  <c r="H167" i="27"/>
  <c r="H168" i="27"/>
  <c r="H169" i="27"/>
  <c r="H170" i="27"/>
  <c r="H171" i="27"/>
  <c r="H172" i="27"/>
  <c r="H173" i="27"/>
  <c r="H174" i="27"/>
  <c r="H175" i="27"/>
  <c r="H176" i="27"/>
  <c r="H177" i="27"/>
  <c r="H178" i="27"/>
  <c r="H179" i="27"/>
  <c r="H180" i="27"/>
  <c r="H181" i="27"/>
  <c r="H182" i="27"/>
  <c r="H183" i="27"/>
  <c r="H184" i="27"/>
  <c r="H185" i="27"/>
  <c r="H186" i="27"/>
  <c r="H187" i="27"/>
  <c r="H188" i="27"/>
  <c r="H189" i="27"/>
  <c r="H190" i="27"/>
  <c r="H191" i="27"/>
  <c r="H192" i="27"/>
  <c r="H193" i="27"/>
  <c r="H194" i="27"/>
  <c r="H195" i="27"/>
  <c r="H196" i="27"/>
  <c r="H197" i="27"/>
  <c r="H198" i="27"/>
  <c r="H199" i="27"/>
  <c r="H200" i="27"/>
  <c r="H201" i="27"/>
  <c r="H202" i="27"/>
  <c r="H203" i="27"/>
  <c r="H204" i="27"/>
  <c r="H205" i="27"/>
  <c r="H206" i="27"/>
  <c r="H207" i="27"/>
  <c r="Q207" i="27" s="1"/>
  <c r="R207" i="27" s="1"/>
  <c r="H208" i="27"/>
  <c r="H209" i="27"/>
  <c r="H210" i="27"/>
  <c r="H211" i="27"/>
  <c r="H212" i="27"/>
  <c r="H213" i="27"/>
  <c r="H214" i="27"/>
  <c r="H215" i="27"/>
  <c r="H216" i="27"/>
  <c r="H217" i="27"/>
  <c r="H218" i="27"/>
  <c r="H219" i="27"/>
  <c r="H220" i="27"/>
  <c r="Q220" i="27" s="1"/>
  <c r="H221" i="27"/>
  <c r="H222" i="27"/>
  <c r="H223" i="27"/>
  <c r="H224" i="27"/>
  <c r="H225" i="27"/>
  <c r="H226" i="27"/>
  <c r="H227" i="27"/>
  <c r="H228" i="27"/>
  <c r="H229" i="27"/>
  <c r="H230" i="27"/>
  <c r="H231" i="27"/>
  <c r="H232" i="27"/>
  <c r="H233" i="27"/>
  <c r="H234" i="27"/>
  <c r="H235" i="27"/>
  <c r="H236" i="27"/>
  <c r="H237" i="27"/>
  <c r="H238" i="27"/>
  <c r="H239" i="27"/>
  <c r="H240" i="27"/>
  <c r="H241" i="27"/>
  <c r="H242" i="27"/>
  <c r="H243" i="27"/>
  <c r="H244" i="27"/>
  <c r="H245" i="27"/>
  <c r="H246" i="27"/>
  <c r="H247" i="27"/>
  <c r="H248" i="27"/>
  <c r="H249" i="27"/>
  <c r="H250" i="27"/>
  <c r="H251" i="27"/>
  <c r="H252" i="27"/>
  <c r="H253" i="27"/>
  <c r="H254" i="27"/>
  <c r="H255" i="27"/>
  <c r="H256" i="27"/>
  <c r="H257" i="27"/>
  <c r="H258" i="27"/>
  <c r="H259" i="27"/>
  <c r="H260" i="27"/>
  <c r="H261" i="27"/>
  <c r="H262" i="27"/>
  <c r="H263" i="27"/>
  <c r="H264" i="27"/>
  <c r="H265" i="27"/>
  <c r="H266" i="27"/>
  <c r="H267" i="27"/>
  <c r="H268" i="27"/>
  <c r="H269" i="27"/>
  <c r="H270" i="27"/>
  <c r="H271" i="27"/>
  <c r="H272" i="27"/>
  <c r="H273" i="27"/>
  <c r="H274" i="27"/>
  <c r="H275" i="27"/>
  <c r="H276" i="27"/>
  <c r="H277" i="27"/>
  <c r="H278" i="27"/>
  <c r="H279" i="27"/>
  <c r="H280" i="27"/>
  <c r="H281" i="27"/>
  <c r="H282" i="27"/>
  <c r="H283" i="27"/>
  <c r="H284" i="27"/>
  <c r="H285" i="27"/>
  <c r="H286" i="27"/>
  <c r="H287" i="27"/>
  <c r="H288" i="27"/>
  <c r="H289" i="27"/>
  <c r="H290" i="27"/>
  <c r="H291" i="27"/>
  <c r="H292" i="27"/>
  <c r="H293" i="27"/>
  <c r="H294" i="27"/>
  <c r="H295" i="27"/>
  <c r="H296" i="27"/>
  <c r="H297" i="27"/>
  <c r="H298" i="27"/>
  <c r="H299" i="27"/>
  <c r="H300" i="27"/>
  <c r="H301" i="27"/>
  <c r="H302" i="27"/>
  <c r="H303" i="27"/>
  <c r="H304" i="27"/>
  <c r="H305" i="27"/>
  <c r="H306" i="27"/>
  <c r="H307" i="27"/>
  <c r="H308" i="27"/>
  <c r="H309" i="27"/>
  <c r="H310" i="27"/>
  <c r="H311" i="27"/>
  <c r="H312" i="27"/>
  <c r="H313" i="27"/>
  <c r="H314" i="27"/>
  <c r="H315" i="27"/>
  <c r="H316" i="27"/>
  <c r="H317" i="27"/>
  <c r="H318" i="27"/>
  <c r="H319" i="27"/>
  <c r="H320" i="27"/>
  <c r="H321" i="27"/>
  <c r="H322" i="27"/>
  <c r="H323" i="27"/>
  <c r="H324" i="27"/>
  <c r="H325" i="27"/>
  <c r="Q325" i="27" s="1"/>
  <c r="R325" i="27" s="1"/>
  <c r="H326" i="27"/>
  <c r="H327" i="27"/>
  <c r="B92" i="29"/>
  <c r="E52" i="36"/>
  <c r="F55" i="36"/>
  <c r="E55" i="36"/>
  <c r="E53" i="36"/>
  <c r="G113" i="36"/>
  <c r="E113" i="36"/>
  <c r="G112" i="36"/>
  <c r="E112" i="36" s="1"/>
  <c r="G111" i="36"/>
  <c r="E111" i="36" s="1"/>
  <c r="G110" i="36"/>
  <c r="E110" i="36"/>
  <c r="G109" i="36"/>
  <c r="E109" i="36"/>
  <c r="G108" i="36"/>
  <c r="E108" i="36"/>
  <c r="G107" i="36"/>
  <c r="E107" i="36" s="1"/>
  <c r="G106" i="36"/>
  <c r="E106" i="36"/>
  <c r="G105" i="36"/>
  <c r="E105" i="36"/>
  <c r="G104" i="36"/>
  <c r="E104" i="36"/>
  <c r="G103" i="36"/>
  <c r="E103" i="36" s="1"/>
  <c r="G102" i="36"/>
  <c r="E102" i="36"/>
  <c r="G101" i="36"/>
  <c r="E101" i="36" s="1"/>
  <c r="G100" i="36"/>
  <c r="H74" i="36"/>
  <c r="D44" i="36"/>
  <c r="E33" i="36"/>
  <c r="E37" i="36" s="1"/>
  <c r="F33" i="36"/>
  <c r="F37" i="36" s="1"/>
  <c r="G33" i="36"/>
  <c r="B34" i="29" s="1"/>
  <c r="B36" i="29" s="1"/>
  <c r="H33" i="36"/>
  <c r="H37" i="36"/>
  <c r="I33" i="36"/>
  <c r="I37" i="36" s="1"/>
  <c r="J33" i="36"/>
  <c r="J37" i="36"/>
  <c r="D33" i="36"/>
  <c r="D37" i="36" s="1"/>
  <c r="E64" i="36"/>
  <c r="D114" i="36"/>
  <c r="N100" i="36"/>
  <c r="M192" i="4" s="1"/>
  <c r="P192" i="4" s="1"/>
  <c r="I94" i="36"/>
  <c r="E94" i="36" s="1"/>
  <c r="F94" i="36"/>
  <c r="D94" i="36"/>
  <c r="D95" i="36" s="1"/>
  <c r="I93" i="36"/>
  <c r="E93" i="36"/>
  <c r="E95" i="36" s="1"/>
  <c r="F93" i="36"/>
  <c r="D93" i="36"/>
  <c r="G91" i="36"/>
  <c r="G95" i="36" s="1"/>
  <c r="F91" i="36"/>
  <c r="F95" i="36" s="1"/>
  <c r="E91" i="36"/>
  <c r="D91" i="36"/>
  <c r="I90" i="36"/>
  <c r="H90" i="36"/>
  <c r="I89" i="36"/>
  <c r="H89" i="36"/>
  <c r="I88" i="36"/>
  <c r="H88" i="36"/>
  <c r="I87" i="36"/>
  <c r="H87" i="36"/>
  <c r="I86" i="36"/>
  <c r="H86" i="36"/>
  <c r="I85" i="36"/>
  <c r="H85" i="36"/>
  <c r="I84" i="36"/>
  <c r="H84" i="36"/>
  <c r="I83" i="36"/>
  <c r="H83" i="36"/>
  <c r="I82" i="36"/>
  <c r="H82" i="36"/>
  <c r="I81" i="36"/>
  <c r="H81" i="36"/>
  <c r="I80" i="36"/>
  <c r="H80" i="36"/>
  <c r="I79" i="36"/>
  <c r="H79" i="36"/>
  <c r="I78" i="36"/>
  <c r="H78" i="36"/>
  <c r="I77" i="36"/>
  <c r="H77" i="36"/>
  <c r="I76" i="36"/>
  <c r="H76" i="36"/>
  <c r="I75" i="36"/>
  <c r="H75" i="36"/>
  <c r="I74" i="36"/>
  <c r="D64" i="36"/>
  <c r="D63" i="36"/>
  <c r="L61" i="36"/>
  <c r="L65" i="36" s="1"/>
  <c r="D60" i="36"/>
  <c r="D59" i="36"/>
  <c r="D58" i="36"/>
  <c r="D57" i="36"/>
  <c r="D56" i="36"/>
  <c r="D55" i="36"/>
  <c r="D54" i="36"/>
  <c r="D53" i="36"/>
  <c r="D52" i="36"/>
  <c r="D51" i="36"/>
  <c r="D50" i="36"/>
  <c r="D49" i="36"/>
  <c r="D48" i="36"/>
  <c r="D47" i="36"/>
  <c r="D46" i="36"/>
  <c r="D45" i="36"/>
  <c r="E59" i="36"/>
  <c r="E60" i="36"/>
  <c r="G66" i="27"/>
  <c r="Q27" i="27"/>
  <c r="R27" i="27" s="1"/>
  <c r="Q28" i="27"/>
  <c r="R28" i="27"/>
  <c r="Q29" i="27"/>
  <c r="R29" i="27"/>
  <c r="Q34" i="27"/>
  <c r="R34" i="27"/>
  <c r="Q35" i="27"/>
  <c r="R35" i="27"/>
  <c r="Q36" i="27"/>
  <c r="R36" i="27"/>
  <c r="Q37" i="27"/>
  <c r="R37" i="27"/>
  <c r="Q38" i="27"/>
  <c r="R38" i="27" s="1"/>
  <c r="Q39" i="27"/>
  <c r="R39" i="27" s="1"/>
  <c r="Q40" i="27"/>
  <c r="R40" i="27"/>
  <c r="Q41" i="27"/>
  <c r="R41" i="27" s="1"/>
  <c r="Q45" i="27"/>
  <c r="R45" i="27"/>
  <c r="Q46" i="27"/>
  <c r="R46" i="27" s="1"/>
  <c r="Q47" i="27"/>
  <c r="R47" i="27" s="1"/>
  <c r="Q48" i="27"/>
  <c r="R48" i="27"/>
  <c r="Q49" i="27"/>
  <c r="R49" i="27"/>
  <c r="Q50" i="27"/>
  <c r="R50" i="27" s="1"/>
  <c r="Q51" i="27"/>
  <c r="R51" i="27"/>
  <c r="Q52" i="27"/>
  <c r="R52" i="27" s="1"/>
  <c r="Q53" i="27"/>
  <c r="R53" i="27"/>
  <c r="Q54" i="27"/>
  <c r="R54" i="27"/>
  <c r="Q55" i="27"/>
  <c r="R55" i="27"/>
  <c r="Q56" i="27"/>
  <c r="R56" i="27"/>
  <c r="Q57" i="27"/>
  <c r="R57" i="27" s="1"/>
  <c r="Q58" i="27"/>
  <c r="R58" i="27" s="1"/>
  <c r="Q59" i="27"/>
  <c r="R59" i="27"/>
  <c r="Q60" i="27"/>
  <c r="R60" i="27"/>
  <c r="Q61" i="27"/>
  <c r="R61" i="27"/>
  <c r="Q62" i="27"/>
  <c r="R62" i="27" s="1"/>
  <c r="Q63" i="27"/>
  <c r="R63" i="27" s="1"/>
  <c r="Q64" i="27"/>
  <c r="R64" i="27"/>
  <c r="Q65" i="27"/>
  <c r="R65" i="27" s="1"/>
  <c r="Q67" i="27"/>
  <c r="R67" i="27" s="1"/>
  <c r="Q68" i="27"/>
  <c r="R68" i="27"/>
  <c r="Q69" i="27"/>
  <c r="R69" i="27"/>
  <c r="Q71" i="27"/>
  <c r="R71" i="27"/>
  <c r="Q72" i="27"/>
  <c r="R72" i="27"/>
  <c r="Q73" i="27"/>
  <c r="R73" i="27"/>
  <c r="Q78" i="27"/>
  <c r="R78" i="27"/>
  <c r="Q79" i="27"/>
  <c r="R79" i="27"/>
  <c r="Q80" i="27"/>
  <c r="R80" i="27" s="1"/>
  <c r="Q81" i="27"/>
  <c r="R81" i="27"/>
  <c r="Q85" i="27"/>
  <c r="R85" i="27" s="1"/>
  <c r="Q86" i="27"/>
  <c r="R86" i="27"/>
  <c r="Q88" i="27"/>
  <c r="R88" i="27" s="1"/>
  <c r="Q89" i="27"/>
  <c r="R89" i="27" s="1"/>
  <c r="Q90" i="27"/>
  <c r="R90" i="27"/>
  <c r="Q91" i="27"/>
  <c r="R91" i="27" s="1"/>
  <c r="Q92" i="27"/>
  <c r="R92" i="27" s="1"/>
  <c r="Q98" i="27"/>
  <c r="R98" i="27"/>
  <c r="Q99" i="27"/>
  <c r="R99" i="27" s="1"/>
  <c r="Q100" i="27"/>
  <c r="R100" i="27"/>
  <c r="Q101" i="27"/>
  <c r="R101" i="27" s="1"/>
  <c r="Q102" i="27"/>
  <c r="R102" i="27"/>
  <c r="Q103" i="27"/>
  <c r="R103" i="27"/>
  <c r="Q104" i="27"/>
  <c r="R104" i="27"/>
  <c r="Q105" i="27"/>
  <c r="R105" i="27" s="1"/>
  <c r="Q106" i="27"/>
  <c r="R106" i="27"/>
  <c r="Q107" i="27"/>
  <c r="R107" i="27"/>
  <c r="Q108" i="27"/>
  <c r="R108" i="27"/>
  <c r="Q109" i="27"/>
  <c r="R109" i="27"/>
  <c r="Q110" i="27"/>
  <c r="R110" i="27" s="1"/>
  <c r="Q111" i="27"/>
  <c r="R111" i="27"/>
  <c r="Q112" i="27"/>
  <c r="R112" i="27" s="1"/>
  <c r="Q113" i="27"/>
  <c r="R113" i="27" s="1"/>
  <c r="Q114" i="27"/>
  <c r="R114" i="27"/>
  <c r="Q115" i="27"/>
  <c r="R115" i="27" s="1"/>
  <c r="Q116" i="27"/>
  <c r="R116" i="27"/>
  <c r="Q117" i="27"/>
  <c r="R117" i="27"/>
  <c r="Q118" i="27"/>
  <c r="R118" i="27"/>
  <c r="Q119" i="27"/>
  <c r="R119" i="27"/>
  <c r="Q120" i="27"/>
  <c r="R120" i="27"/>
  <c r="Q121" i="27"/>
  <c r="R121" i="27" s="1"/>
  <c r="Q122" i="27"/>
  <c r="R122" i="27"/>
  <c r="Q123" i="27"/>
  <c r="R123" i="27" s="1"/>
  <c r="Q126" i="27"/>
  <c r="R126" i="27"/>
  <c r="Q127" i="27"/>
  <c r="R127" i="27" s="1"/>
  <c r="Q128" i="27"/>
  <c r="R128" i="27"/>
  <c r="Q131" i="27"/>
  <c r="R131" i="27"/>
  <c r="Q132" i="27"/>
  <c r="R132" i="27" s="1"/>
  <c r="Q133" i="27"/>
  <c r="R133" i="27" s="1"/>
  <c r="Q134" i="27"/>
  <c r="R134" i="27"/>
  <c r="Q135" i="27"/>
  <c r="R135" i="27"/>
  <c r="Q136" i="27"/>
  <c r="R136" i="27"/>
  <c r="Q148" i="27"/>
  <c r="R148" i="27" s="1"/>
  <c r="Q150" i="27"/>
  <c r="R150" i="27"/>
  <c r="Q151" i="27"/>
  <c r="R151" i="27"/>
  <c r="Q152" i="27"/>
  <c r="R152" i="27"/>
  <c r="Q153" i="27"/>
  <c r="R153" i="27" s="1"/>
  <c r="Q154" i="27"/>
  <c r="R154" i="27"/>
  <c r="Q155" i="27"/>
  <c r="R155" i="27" s="1"/>
  <c r="Q156" i="27"/>
  <c r="R156" i="27"/>
  <c r="Q157" i="27"/>
  <c r="R157" i="27"/>
  <c r="Q158" i="27"/>
  <c r="R158" i="27" s="1"/>
  <c r="Q160" i="27"/>
  <c r="R160" i="27"/>
  <c r="Q161" i="27"/>
  <c r="R161" i="27" s="1"/>
  <c r="Q162" i="27"/>
  <c r="R162" i="27" s="1"/>
  <c r="Q163" i="27"/>
  <c r="R163" i="27"/>
  <c r="Q165" i="27"/>
  <c r="R165" i="27"/>
  <c r="Q166" i="27"/>
  <c r="R166" i="27"/>
  <c r="Q167" i="27"/>
  <c r="R167" i="27" s="1"/>
  <c r="Q168" i="27"/>
  <c r="R168" i="27" s="1"/>
  <c r="Q169" i="27"/>
  <c r="R169" i="27"/>
  <c r="Q170" i="27"/>
  <c r="R170" i="27" s="1"/>
  <c r="Q171" i="27"/>
  <c r="R171" i="27" s="1"/>
  <c r="Q175" i="27"/>
  <c r="R175" i="27"/>
  <c r="Q176" i="27"/>
  <c r="R176" i="27" s="1"/>
  <c r="Q177" i="27"/>
  <c r="R177" i="27"/>
  <c r="Q178" i="27"/>
  <c r="R178" i="27" s="1"/>
  <c r="Q179" i="27"/>
  <c r="R179" i="27"/>
  <c r="Q180" i="27"/>
  <c r="R180" i="27"/>
  <c r="Q181" i="27"/>
  <c r="R181" i="27"/>
  <c r="Q182" i="27"/>
  <c r="R182" i="27" s="1"/>
  <c r="Q183" i="27"/>
  <c r="R183" i="27"/>
  <c r="Q184" i="27"/>
  <c r="R184" i="27"/>
  <c r="Q186" i="27"/>
  <c r="R186" i="27"/>
  <c r="Q187" i="27"/>
  <c r="R187" i="27"/>
  <c r="Q188" i="27"/>
  <c r="R188" i="27" s="1"/>
  <c r="Q190" i="27"/>
  <c r="R190" i="27"/>
  <c r="Q191" i="27"/>
  <c r="R191" i="27"/>
  <c r="Q192" i="27"/>
  <c r="R192" i="27" s="1"/>
  <c r="Q193" i="27"/>
  <c r="R193" i="27"/>
  <c r="Q194" i="27"/>
  <c r="R194" i="27" s="1"/>
  <c r="Q195" i="27"/>
  <c r="R195" i="27"/>
  <c r="Q196" i="27"/>
  <c r="R196" i="27" s="1"/>
  <c r="Q197" i="27"/>
  <c r="R197" i="27" s="1"/>
  <c r="Q201" i="27"/>
  <c r="R201" i="27"/>
  <c r="Q202" i="27"/>
  <c r="R202" i="27" s="1"/>
  <c r="Q203" i="27"/>
  <c r="R203" i="27" s="1"/>
  <c r="Q204" i="27"/>
  <c r="R204" i="27"/>
  <c r="Q205" i="27"/>
  <c r="R205" i="27"/>
  <c r="Q210" i="27"/>
  <c r="R210" i="27"/>
  <c r="Q211" i="27"/>
  <c r="R211" i="27"/>
  <c r="Q212" i="27"/>
  <c r="R212" i="27"/>
  <c r="Q213" i="27"/>
  <c r="R213" i="27"/>
  <c r="Q214" i="27"/>
  <c r="R214" i="27" s="1"/>
  <c r="Q216" i="27"/>
  <c r="R216" i="27" s="1"/>
  <c r="Q217" i="27"/>
  <c r="R217" i="27"/>
  <c r="Q219" i="27"/>
  <c r="R219" i="27" s="1"/>
  <c r="Q221" i="27"/>
  <c r="R221" i="27"/>
  <c r="Q222" i="27"/>
  <c r="R222" i="27" s="1"/>
  <c r="Q223" i="27"/>
  <c r="R223" i="27" s="1"/>
  <c r="Q224" i="27"/>
  <c r="R224" i="27"/>
  <c r="Q226" i="27"/>
  <c r="R226" i="27"/>
  <c r="Q227" i="27"/>
  <c r="R227" i="27" s="1"/>
  <c r="Q228" i="27"/>
  <c r="R228" i="27"/>
  <c r="Q229" i="27"/>
  <c r="R229" i="27" s="1"/>
  <c r="Q230" i="27"/>
  <c r="R230" i="27"/>
  <c r="Q231" i="27"/>
  <c r="R231" i="27"/>
  <c r="Q232" i="27"/>
  <c r="R232" i="27"/>
  <c r="Q233" i="27"/>
  <c r="R233" i="27"/>
  <c r="Q234" i="27"/>
  <c r="R234" i="27" s="1"/>
  <c r="Q235" i="27"/>
  <c r="R235" i="27" s="1"/>
  <c r="Q236" i="27"/>
  <c r="R236" i="27"/>
  <c r="Q237" i="27"/>
  <c r="R237" i="27"/>
  <c r="Q238" i="27"/>
  <c r="R238" i="27"/>
  <c r="Q239" i="27"/>
  <c r="R239" i="27" s="1"/>
  <c r="Q240" i="27"/>
  <c r="R240" i="27" s="1"/>
  <c r="Q241" i="27"/>
  <c r="R241" i="27"/>
  <c r="Q242" i="27"/>
  <c r="R242" i="27" s="1"/>
  <c r="Q243" i="27"/>
  <c r="R243" i="27" s="1"/>
  <c r="Q244" i="27"/>
  <c r="R244" i="27"/>
  <c r="Q245" i="27"/>
  <c r="R245" i="27"/>
  <c r="Q246" i="27"/>
  <c r="R246" i="27"/>
  <c r="Q248" i="27"/>
  <c r="R248" i="27"/>
  <c r="Q249" i="27"/>
  <c r="R249" i="27"/>
  <c r="Q251" i="27"/>
  <c r="R251" i="27"/>
  <c r="Q252" i="27"/>
  <c r="R252" i="27"/>
  <c r="Q253" i="27"/>
  <c r="R253" i="27" s="1"/>
  <c r="Q254" i="27"/>
  <c r="R254" i="27"/>
  <c r="Q255" i="27"/>
  <c r="R255" i="27" s="1"/>
  <c r="Q256" i="27"/>
  <c r="R256" i="27"/>
  <c r="Q257" i="27"/>
  <c r="R257" i="27" s="1"/>
  <c r="Q258" i="27"/>
  <c r="R258" i="27" s="1"/>
  <c r="Q260" i="27"/>
  <c r="R260" i="27"/>
  <c r="Q261" i="27"/>
  <c r="R261" i="27" s="1"/>
  <c r="Q262" i="27"/>
  <c r="R262" i="27" s="1"/>
  <c r="Q263" i="27"/>
  <c r="R263" i="27"/>
  <c r="Q264" i="27"/>
  <c r="R264" i="27" s="1"/>
  <c r="Q265" i="27"/>
  <c r="R265" i="27"/>
  <c r="Q266" i="27"/>
  <c r="R266" i="27" s="1"/>
  <c r="Q267" i="27"/>
  <c r="R267" i="27"/>
  <c r="Q268" i="27"/>
  <c r="R268" i="27"/>
  <c r="Q269" i="27"/>
  <c r="R269" i="27"/>
  <c r="Q270" i="27"/>
  <c r="R270" i="27" s="1"/>
  <c r="Q271" i="27"/>
  <c r="R271" i="27"/>
  <c r="Q272" i="27"/>
  <c r="R272" i="27"/>
  <c r="Q274" i="27"/>
  <c r="R274" i="27"/>
  <c r="Q277" i="27"/>
  <c r="R277" i="27"/>
  <c r="Q279" i="27"/>
  <c r="R279" i="27" s="1"/>
  <c r="Q280" i="27"/>
  <c r="R280" i="27"/>
  <c r="Q282" i="27"/>
  <c r="R282" i="27" s="1"/>
  <c r="Q283" i="27"/>
  <c r="R283" i="27" s="1"/>
  <c r="Q285" i="27"/>
  <c r="R285" i="27"/>
  <c r="Q288" i="27"/>
  <c r="R288" i="27" s="1"/>
  <c r="Q289" i="27"/>
  <c r="R289" i="27"/>
  <c r="Q290" i="27"/>
  <c r="R290" i="27"/>
  <c r="Q292" i="27"/>
  <c r="R292" i="27"/>
  <c r="Q293" i="27"/>
  <c r="R293" i="27"/>
  <c r="Q294" i="27"/>
  <c r="R294" i="27"/>
  <c r="Q295" i="27"/>
  <c r="R295" i="27" s="1"/>
  <c r="Q296" i="27"/>
  <c r="R296" i="27"/>
  <c r="Q297" i="27"/>
  <c r="R297" i="27" s="1"/>
  <c r="Q298" i="27"/>
  <c r="R298" i="27"/>
  <c r="Q299" i="27"/>
  <c r="R299" i="27" s="1"/>
  <c r="Q300" i="27"/>
  <c r="R300" i="27"/>
  <c r="Q301" i="27"/>
  <c r="R301" i="27"/>
  <c r="Q302" i="27"/>
  <c r="R302" i="27" s="1"/>
  <c r="Q303" i="27"/>
  <c r="R303" i="27" s="1"/>
  <c r="Q304" i="27"/>
  <c r="R304" i="27"/>
  <c r="Q305" i="27"/>
  <c r="R305" i="27"/>
  <c r="Q306" i="27"/>
  <c r="R306" i="27"/>
  <c r="Q308" i="27"/>
  <c r="R308" i="27" s="1"/>
  <c r="Q310" i="27"/>
  <c r="R310" i="27"/>
  <c r="Q311" i="27"/>
  <c r="R311" i="27"/>
  <c r="Q313" i="27"/>
  <c r="R313" i="27"/>
  <c r="Q314" i="27"/>
  <c r="R314" i="27" s="1"/>
  <c r="Q315" i="27"/>
  <c r="R315" i="27"/>
  <c r="Q316" i="27"/>
  <c r="R316" i="27" s="1"/>
  <c r="Q317" i="27"/>
  <c r="R317" i="27"/>
  <c r="Q318" i="27"/>
  <c r="R318" i="27"/>
  <c r="Q319" i="27"/>
  <c r="R319" i="27" s="1"/>
  <c r="Q320" i="27"/>
  <c r="R320" i="27"/>
  <c r="Q321" i="27"/>
  <c r="R321" i="27" s="1"/>
  <c r="Q322" i="27"/>
  <c r="R322" i="27" s="1"/>
  <c r="Q323" i="27"/>
  <c r="R323" i="27"/>
  <c r="Q324" i="27"/>
  <c r="R324" i="27"/>
  <c r="Q327" i="27"/>
  <c r="R327" i="27"/>
  <c r="R12" i="27"/>
  <c r="Q13" i="27"/>
  <c r="R13" i="27" s="1"/>
  <c r="Q14" i="27"/>
  <c r="R14" i="27" s="1"/>
  <c r="Q15" i="27"/>
  <c r="R15" i="27"/>
  <c r="Q16" i="27"/>
  <c r="R16" i="27" s="1"/>
  <c r="Q17" i="27"/>
  <c r="R17" i="27" s="1"/>
  <c r="Q18" i="27"/>
  <c r="R18" i="27" s="1"/>
  <c r="Q19" i="27"/>
  <c r="R19" i="27"/>
  <c r="Q20" i="27"/>
  <c r="R20" i="27"/>
  <c r="Q21" i="27"/>
  <c r="R21" i="27" s="1"/>
  <c r="Q22" i="27"/>
  <c r="R22" i="27" s="1"/>
  <c r="Q23" i="27"/>
  <c r="R23" i="27"/>
  <c r="Q24" i="27"/>
  <c r="R24" i="27" s="1"/>
  <c r="Q25" i="27"/>
  <c r="R25" i="27"/>
  <c r="G17" i="27"/>
  <c r="G12" i="27"/>
  <c r="B84" i="29"/>
  <c r="B15" i="29"/>
  <c r="B20" i="29"/>
  <c r="B57" i="29" s="1"/>
  <c r="B58" i="29" s="1"/>
  <c r="B63" i="29" s="1"/>
  <c r="B14" i="29"/>
  <c r="T10" i="38"/>
  <c r="B10" i="29"/>
  <c r="B13" i="29" s="1"/>
  <c r="T9" i="38" s="1"/>
  <c r="D24" i="8"/>
  <c r="D27" i="8"/>
  <c r="J15" i="8"/>
  <c r="J17" i="8"/>
  <c r="B22" i="29"/>
  <c r="J13" i="8"/>
  <c r="M13" i="8" s="1"/>
  <c r="N13" i="8" s="1"/>
  <c r="J7" i="8"/>
  <c r="J6" i="8"/>
  <c r="M6" i="8"/>
  <c r="N6" i="8" s="1"/>
  <c r="J5" i="8"/>
  <c r="M5" i="8"/>
  <c r="G20" i="8"/>
  <c r="J20" i="8" s="1"/>
  <c r="G25" i="8"/>
  <c r="N7" i="15"/>
  <c r="D37" i="16"/>
  <c r="F5" i="16"/>
  <c r="H5" i="16" s="1"/>
  <c r="J5" i="16" s="1"/>
  <c r="D39" i="16"/>
  <c r="C26" i="16" s="1"/>
  <c r="D36" i="16"/>
  <c r="G5" i="16"/>
  <c r="I5" i="16"/>
  <c r="P5" i="16"/>
  <c r="L11" i="16"/>
  <c r="M11" i="16" s="1"/>
  <c r="L10" i="16"/>
  <c r="L9" i="16"/>
  <c r="L7" i="16"/>
  <c r="L6" i="16"/>
  <c r="L5" i="16"/>
  <c r="B17" i="29"/>
  <c r="E84" i="7"/>
  <c r="F84" i="7"/>
  <c r="H79" i="7" s="1"/>
  <c r="D68" i="7"/>
  <c r="L195" i="4"/>
  <c r="O7" i="15"/>
  <c r="N8" i="15"/>
  <c r="O8" i="15"/>
  <c r="N9" i="15"/>
  <c r="P9" i="15" s="1"/>
  <c r="O9" i="15"/>
  <c r="N10" i="15"/>
  <c r="O10" i="15"/>
  <c r="O11" i="15"/>
  <c r="N12" i="15"/>
  <c r="O12" i="15"/>
  <c r="B28" i="4"/>
  <c r="Z25" i="4"/>
  <c r="O26" i="27"/>
  <c r="P26" i="27" s="1"/>
  <c r="B20" i="4"/>
  <c r="E55" i="16"/>
  <c r="C57" i="16" s="1"/>
  <c r="P217" i="4"/>
  <c r="P218" i="4"/>
  <c r="P219" i="4"/>
  <c r="P216" i="4"/>
  <c r="O13" i="32"/>
  <c r="O15" i="32"/>
  <c r="O17" i="32" s="1"/>
  <c r="H4" i="32"/>
  <c r="H5" i="32"/>
  <c r="H6" i="32"/>
  <c r="H7" i="32"/>
  <c r="I7" i="32"/>
  <c r="H8" i="32"/>
  <c r="I8" i="32"/>
  <c r="H9" i="32"/>
  <c r="I9" i="32"/>
  <c r="H10" i="32"/>
  <c r="I10" i="32" s="1"/>
  <c r="H11" i="32"/>
  <c r="I11" i="32"/>
  <c r="H12" i="32"/>
  <c r="I12" i="32" s="1"/>
  <c r="H13" i="32"/>
  <c r="I13" i="32"/>
  <c r="H14" i="32"/>
  <c r="I14" i="32"/>
  <c r="H15" i="32"/>
  <c r="I15" i="32" s="1"/>
  <c r="H16" i="32"/>
  <c r="I16" i="32"/>
  <c r="H17" i="32"/>
  <c r="I17" i="32" s="1"/>
  <c r="H18" i="32"/>
  <c r="I18" i="32" s="1"/>
  <c r="H19" i="32"/>
  <c r="I19" i="32"/>
  <c r="H20" i="32"/>
  <c r="I20" i="32"/>
  <c r="H21" i="32"/>
  <c r="I21" i="32"/>
  <c r="H22" i="32"/>
  <c r="I22" i="32" s="1"/>
  <c r="H23" i="32"/>
  <c r="I23" i="32" s="1"/>
  <c r="H24" i="32"/>
  <c r="I24" i="32"/>
  <c r="H25" i="32"/>
  <c r="I25" i="32" s="1"/>
  <c r="H26" i="32"/>
  <c r="I26" i="32" s="1"/>
  <c r="H27" i="32"/>
  <c r="I27" i="32"/>
  <c r="H28" i="32"/>
  <c r="I28" i="32" s="1"/>
  <c r="H29" i="32"/>
  <c r="I29" i="32"/>
  <c r="H30" i="32"/>
  <c r="I30" i="32" s="1"/>
  <c r="H31" i="32"/>
  <c r="I31" i="32"/>
  <c r="H33" i="32"/>
  <c r="I33" i="32"/>
  <c r="H34" i="32"/>
  <c r="I34" i="32"/>
  <c r="H35" i="32"/>
  <c r="I35" i="32" s="1"/>
  <c r="H36" i="32"/>
  <c r="I36" i="32"/>
  <c r="H37" i="32"/>
  <c r="I37" i="32"/>
  <c r="H38" i="32"/>
  <c r="I38" i="32"/>
  <c r="H39" i="32"/>
  <c r="I39" i="32"/>
  <c r="H40" i="32"/>
  <c r="I40" i="32" s="1"/>
  <c r="H41" i="32"/>
  <c r="I41" i="32"/>
  <c r="H42" i="32"/>
  <c r="I42" i="32"/>
  <c r="H43" i="32"/>
  <c r="I43" i="32" s="1"/>
  <c r="H44" i="32"/>
  <c r="I44" i="32"/>
  <c r="H45" i="32"/>
  <c r="I45" i="32" s="1"/>
  <c r="H46" i="32"/>
  <c r="I46" i="32"/>
  <c r="H47" i="32"/>
  <c r="I47" i="32" s="1"/>
  <c r="H48" i="32"/>
  <c r="I48" i="32" s="1"/>
  <c r="H49" i="32"/>
  <c r="I49" i="32"/>
  <c r="H50" i="32"/>
  <c r="I50" i="32" s="1"/>
  <c r="H51" i="32"/>
  <c r="I51" i="32" s="1"/>
  <c r="O5" i="16"/>
  <c r="P8" i="32"/>
  <c r="Z126" i="4" s="1"/>
  <c r="B126" i="4" s="1"/>
  <c r="P7" i="32"/>
  <c r="Z125" i="4" s="1"/>
  <c r="B125" i="4" s="1"/>
  <c r="P5" i="32"/>
  <c r="Z123" i="4"/>
  <c r="B123" i="4" s="1"/>
  <c r="P6" i="32"/>
  <c r="Z124" i="4" s="1"/>
  <c r="B124" i="4" s="1"/>
  <c r="O7" i="32"/>
  <c r="L51" i="32"/>
  <c r="L50" i="32"/>
  <c r="L48" i="32"/>
  <c r="L47" i="32"/>
  <c r="L46" i="32"/>
  <c r="L45" i="32"/>
  <c r="L44" i="32"/>
  <c r="L43" i="32"/>
  <c r="L42" i="32"/>
  <c r="L41" i="32"/>
  <c r="L40" i="32"/>
  <c r="L39" i="32"/>
  <c r="L38" i="32"/>
  <c r="L37" i="32"/>
  <c r="L36" i="32"/>
  <c r="L35" i="32"/>
  <c r="L34" i="32"/>
  <c r="L31" i="32"/>
  <c r="L28" i="32"/>
  <c r="L27" i="32"/>
  <c r="L24" i="32"/>
  <c r="L20" i="32"/>
  <c r="L19" i="32"/>
  <c r="L18" i="32"/>
  <c r="L17" i="32"/>
  <c r="L16" i="32"/>
  <c r="L15" i="32"/>
  <c r="L14" i="32"/>
  <c r="L13" i="32"/>
  <c r="L9" i="32"/>
  <c r="L8" i="32"/>
  <c r="L7" i="32"/>
  <c r="D159" i="12"/>
  <c r="D160" i="12"/>
  <c r="D161" i="12"/>
  <c r="E13" i="15"/>
  <c r="B29" i="4"/>
  <c r="K11" i="15"/>
  <c r="G75" i="27"/>
  <c r="D39" i="15"/>
  <c r="B59" i="15"/>
  <c r="B56" i="15"/>
  <c r="B62" i="15" s="1"/>
  <c r="C59" i="15"/>
  <c r="C56" i="15"/>
  <c r="H7" i="15"/>
  <c r="K7" i="15"/>
  <c r="G6" i="16"/>
  <c r="I6" i="16" s="1"/>
  <c r="K6" i="16" s="1"/>
  <c r="N6" i="16" s="1"/>
  <c r="J23" i="16" s="1"/>
  <c r="L30" i="16"/>
  <c r="K30" i="16"/>
  <c r="P6" i="16"/>
  <c r="P7" i="16"/>
  <c r="P8" i="16"/>
  <c r="P9" i="16"/>
  <c r="P10" i="16"/>
  <c r="P11" i="16"/>
  <c r="O6" i="16"/>
  <c r="O7" i="16"/>
  <c r="O8" i="16"/>
  <c r="O9" i="16"/>
  <c r="O10" i="16"/>
  <c r="O11" i="16"/>
  <c r="F55" i="16"/>
  <c r="G7" i="16"/>
  <c r="I7" i="16" s="1"/>
  <c r="K7" i="16" s="1"/>
  <c r="N7" i="16" s="1"/>
  <c r="J24" i="16" s="1"/>
  <c r="G8" i="16"/>
  <c r="I8" i="16" s="1"/>
  <c r="K8" i="16" s="1"/>
  <c r="N8" i="16" s="1"/>
  <c r="J25" i="16" s="1"/>
  <c r="G9" i="16"/>
  <c r="I9" i="16"/>
  <c r="G10" i="16"/>
  <c r="I10" i="16" s="1"/>
  <c r="K10" i="16" s="1"/>
  <c r="N10" i="16" s="1"/>
  <c r="J27" i="16" s="1"/>
  <c r="G11" i="16"/>
  <c r="I11" i="16" s="1"/>
  <c r="F6" i="16"/>
  <c r="H6" i="16"/>
  <c r="F7" i="16"/>
  <c r="H7" i="16" s="1"/>
  <c r="J7" i="16" s="1"/>
  <c r="M7" i="16" s="1"/>
  <c r="I24" i="16" s="1"/>
  <c r="F8" i="16"/>
  <c r="H8" i="16" s="1"/>
  <c r="F9" i="16"/>
  <c r="H9" i="16" s="1"/>
  <c r="J9" i="16"/>
  <c r="M9" i="16" s="1"/>
  <c r="I26" i="16" s="1"/>
  <c r="F10" i="16"/>
  <c r="H10" i="16" s="1"/>
  <c r="J10" i="16" s="1"/>
  <c r="M10" i="16" s="1"/>
  <c r="I27" i="16"/>
  <c r="F11" i="16"/>
  <c r="H11" i="16" s="1"/>
  <c r="J11" i="16" s="1"/>
  <c r="I28" i="16"/>
  <c r="B25" i="22"/>
  <c r="B26" i="22" s="1"/>
  <c r="B24" i="22"/>
  <c r="L16" i="22" s="1"/>
  <c r="F15" i="22"/>
  <c r="D16" i="22"/>
  <c r="G16" i="22"/>
  <c r="E32" i="12"/>
  <c r="N37" i="12" s="1"/>
  <c r="O37" i="12" s="1"/>
  <c r="P37" i="12" s="1"/>
  <c r="E20" i="12"/>
  <c r="N24" i="12" s="1"/>
  <c r="G19" i="27"/>
  <c r="H6" i="8"/>
  <c r="I6" i="8" s="1"/>
  <c r="K6" i="8"/>
  <c r="D79" i="7"/>
  <c r="F79" i="7"/>
  <c r="F82" i="7"/>
  <c r="F27" i="7"/>
  <c r="D34" i="7"/>
  <c r="D35" i="7" s="1"/>
  <c r="L14" i="22"/>
  <c r="B214" i="4"/>
  <c r="J10" i="22"/>
  <c r="J8" i="22"/>
  <c r="J11" i="22" s="1"/>
  <c r="J65" i="4"/>
  <c r="B65" i="4"/>
  <c r="B112" i="4"/>
  <c r="B99" i="4"/>
  <c r="B100" i="4"/>
  <c r="I209" i="27"/>
  <c r="K209" i="27"/>
  <c r="G209" i="27"/>
  <c r="I208" i="27"/>
  <c r="K208" i="27" s="1"/>
  <c r="G208" i="27"/>
  <c r="I207" i="27"/>
  <c r="K207" i="27" s="1"/>
  <c r="G207" i="27"/>
  <c r="B86" i="4"/>
  <c r="B90" i="4"/>
  <c r="B88" i="4"/>
  <c r="B87" i="4"/>
  <c r="B89" i="4"/>
  <c r="B85" i="4"/>
  <c r="G84" i="27"/>
  <c r="G83" i="27"/>
  <c r="B83" i="4"/>
  <c r="N200" i="27"/>
  <c r="AA82" i="4"/>
  <c r="B82" i="4" s="1"/>
  <c r="B84" i="4"/>
  <c r="G97" i="27"/>
  <c r="G96" i="27"/>
  <c r="B80" i="4"/>
  <c r="B79" i="4"/>
  <c r="B78" i="4"/>
  <c r="G33" i="27"/>
  <c r="B77" i="4"/>
  <c r="G95" i="27"/>
  <c r="B74" i="4"/>
  <c r="G199" i="27"/>
  <c r="B72" i="4"/>
  <c r="B71" i="4"/>
  <c r="B70" i="4"/>
  <c r="B69" i="4"/>
  <c r="B68" i="4"/>
  <c r="G200" i="27"/>
  <c r="D106" i="12"/>
  <c r="D105" i="12"/>
  <c r="E102" i="12"/>
  <c r="N106" i="12" s="1"/>
  <c r="O106" i="12" s="1"/>
  <c r="P106" i="12" s="1"/>
  <c r="B66" i="4"/>
  <c r="Z63" i="4"/>
  <c r="B63" i="4"/>
  <c r="G276" i="27"/>
  <c r="I145" i="27"/>
  <c r="K145" i="27" s="1"/>
  <c r="G145" i="27"/>
  <c r="I144" i="27"/>
  <c r="K144" i="27" s="1"/>
  <c r="G144" i="27"/>
  <c r="R144" i="27" s="1"/>
  <c r="I143" i="27"/>
  <c r="K143" i="27" s="1"/>
  <c r="G143" i="27"/>
  <c r="I142" i="27"/>
  <c r="K142" i="27"/>
  <c r="G142" i="27"/>
  <c r="I141" i="27"/>
  <c r="K141" i="27" s="1"/>
  <c r="G141" i="27"/>
  <c r="I140" i="27"/>
  <c r="K140" i="27" s="1"/>
  <c r="G140" i="27"/>
  <c r="I139" i="27"/>
  <c r="K139" i="27"/>
  <c r="G139" i="27"/>
  <c r="I138" i="27"/>
  <c r="K138" i="27" s="1"/>
  <c r="G138" i="27"/>
  <c r="B52" i="4"/>
  <c r="B57" i="4"/>
  <c r="B56" i="4"/>
  <c r="B55" i="4"/>
  <c r="B54" i="4"/>
  <c r="B53" i="4"/>
  <c r="B51" i="4"/>
  <c r="B50" i="4"/>
  <c r="B49" i="4"/>
  <c r="G32" i="27"/>
  <c r="G31" i="27"/>
  <c r="B45" i="4"/>
  <c r="G77" i="27"/>
  <c r="G76" i="27"/>
  <c r="B39" i="4"/>
  <c r="B38" i="4"/>
  <c r="B37" i="4"/>
  <c r="Z36" i="4"/>
  <c r="O93" i="27" s="1"/>
  <c r="B36" i="4"/>
  <c r="J19" i="8"/>
  <c r="J18" i="8"/>
  <c r="D17" i="22"/>
  <c r="J7" i="22"/>
  <c r="J17" i="22"/>
  <c r="J5" i="22"/>
  <c r="N6" i="22"/>
  <c r="O6" i="22"/>
  <c r="Z129" i="4"/>
  <c r="N9" i="22"/>
  <c r="O9" i="22" s="1"/>
  <c r="J12" i="22"/>
  <c r="Z131" i="4"/>
  <c r="K12" i="22"/>
  <c r="N13" i="22"/>
  <c r="O13" i="22" s="1"/>
  <c r="N14" i="22"/>
  <c r="O14" i="22" s="1"/>
  <c r="N15" i="22"/>
  <c r="O15" i="22"/>
  <c r="N16" i="22"/>
  <c r="O16" i="22" s="1"/>
  <c r="Z134" i="4"/>
  <c r="K10" i="22"/>
  <c r="H4" i="13"/>
  <c r="E113" i="7"/>
  <c r="E114" i="7" s="1"/>
  <c r="E100" i="7"/>
  <c r="E101" i="7"/>
  <c r="D89" i="7"/>
  <c r="D73" i="7"/>
  <c r="D72" i="7"/>
  <c r="D60" i="7"/>
  <c r="E67" i="12"/>
  <c r="D71" i="12"/>
  <c r="D72" i="12"/>
  <c r="D73" i="12"/>
  <c r="D74" i="12"/>
  <c r="D70" i="12"/>
  <c r="N43" i="27"/>
  <c r="N159" i="27"/>
  <c r="D47" i="7"/>
  <c r="D48" i="7" s="1"/>
  <c r="B105" i="4"/>
  <c r="B40" i="4"/>
  <c r="G327" i="27"/>
  <c r="G326" i="27"/>
  <c r="I325" i="27"/>
  <c r="K325" i="27" s="1"/>
  <c r="G325" i="27"/>
  <c r="G324" i="27"/>
  <c r="G323" i="27"/>
  <c r="G322" i="27"/>
  <c r="G321" i="27"/>
  <c r="G320" i="27"/>
  <c r="G319" i="27"/>
  <c r="G318" i="27"/>
  <c r="G317" i="27"/>
  <c r="G316" i="27"/>
  <c r="G315" i="27"/>
  <c r="G314" i="27"/>
  <c r="G313" i="27"/>
  <c r="G312" i="27"/>
  <c r="G311" i="27"/>
  <c r="G310" i="27"/>
  <c r="G309" i="27"/>
  <c r="G308" i="27"/>
  <c r="G307" i="27"/>
  <c r="G306" i="27"/>
  <c r="G305" i="27"/>
  <c r="G304" i="27"/>
  <c r="G303" i="27"/>
  <c r="G302" i="27"/>
  <c r="G301" i="27"/>
  <c r="G300" i="27"/>
  <c r="G299" i="27"/>
  <c r="I298" i="27"/>
  <c r="K298" i="27" s="1"/>
  <c r="G298" i="27"/>
  <c r="G297" i="27"/>
  <c r="G296" i="27"/>
  <c r="G295" i="27"/>
  <c r="G294" i="27"/>
  <c r="G293" i="27"/>
  <c r="G292" i="27"/>
  <c r="G291" i="27"/>
  <c r="G290" i="27"/>
  <c r="G289" i="27"/>
  <c r="G288" i="27"/>
  <c r="G287" i="27"/>
  <c r="G286" i="27"/>
  <c r="G285" i="27"/>
  <c r="G284" i="27"/>
  <c r="G283" i="27"/>
  <c r="G282" i="27"/>
  <c r="G281" i="27"/>
  <c r="G280" i="27"/>
  <c r="G279" i="27"/>
  <c r="G278" i="27"/>
  <c r="G277" i="27"/>
  <c r="G275" i="27"/>
  <c r="G274" i="27"/>
  <c r="G273" i="27"/>
  <c r="G272" i="27"/>
  <c r="G271" i="27"/>
  <c r="G270" i="27"/>
  <c r="G269" i="27"/>
  <c r="G268" i="27"/>
  <c r="G267" i="27"/>
  <c r="G266" i="27"/>
  <c r="G265" i="27"/>
  <c r="G264" i="27"/>
  <c r="G263" i="27"/>
  <c r="G262" i="27"/>
  <c r="G261" i="27"/>
  <c r="G260" i="27"/>
  <c r="G259" i="27"/>
  <c r="G258" i="27"/>
  <c r="G257" i="27"/>
  <c r="G256" i="27"/>
  <c r="G255" i="27"/>
  <c r="G254" i="27"/>
  <c r="G253" i="27"/>
  <c r="G252" i="27"/>
  <c r="G251" i="27"/>
  <c r="G250" i="27"/>
  <c r="G249" i="27"/>
  <c r="G248" i="27"/>
  <c r="G247" i="27"/>
  <c r="G246" i="27"/>
  <c r="G245" i="27"/>
  <c r="G244" i="27"/>
  <c r="G243" i="27"/>
  <c r="G242" i="27"/>
  <c r="G241" i="27"/>
  <c r="G240" i="27"/>
  <c r="G239" i="27"/>
  <c r="G238" i="27"/>
  <c r="G237" i="27"/>
  <c r="G236" i="27"/>
  <c r="G235" i="27"/>
  <c r="G234" i="27"/>
  <c r="G233" i="27"/>
  <c r="G232" i="27"/>
  <c r="G231" i="27"/>
  <c r="G230" i="27"/>
  <c r="G229" i="27"/>
  <c r="G228" i="27"/>
  <c r="G227" i="27"/>
  <c r="G226" i="27"/>
  <c r="G225" i="27"/>
  <c r="G224" i="27"/>
  <c r="G223" i="27"/>
  <c r="G222" i="27"/>
  <c r="G221" i="27"/>
  <c r="G220" i="27"/>
  <c r="G219" i="27"/>
  <c r="G218" i="27"/>
  <c r="G217" i="27"/>
  <c r="G216" i="27"/>
  <c r="G215" i="27"/>
  <c r="G214" i="27"/>
  <c r="G213" i="27"/>
  <c r="G212" i="27"/>
  <c r="G211" i="27"/>
  <c r="G210" i="27"/>
  <c r="I206" i="27"/>
  <c r="K206" i="27"/>
  <c r="G206" i="27"/>
  <c r="G205" i="27"/>
  <c r="G204" i="27"/>
  <c r="G203" i="27"/>
  <c r="G202" i="27"/>
  <c r="G201" i="27"/>
  <c r="G198" i="27"/>
  <c r="G197" i="27"/>
  <c r="G196" i="27"/>
  <c r="G195" i="27"/>
  <c r="G194" i="27"/>
  <c r="G193" i="27"/>
  <c r="G192" i="27"/>
  <c r="G191" i="27"/>
  <c r="E190" i="27"/>
  <c r="G189" i="27"/>
  <c r="G188" i="27"/>
  <c r="G187" i="27"/>
  <c r="G186" i="27"/>
  <c r="G185" i="27"/>
  <c r="G184" i="27"/>
  <c r="G183" i="27"/>
  <c r="G182" i="27"/>
  <c r="I181" i="27"/>
  <c r="K181" i="27" s="1"/>
  <c r="G181" i="27"/>
  <c r="G180" i="27"/>
  <c r="G179" i="27"/>
  <c r="G178" i="27"/>
  <c r="G177" i="27"/>
  <c r="G176" i="27"/>
  <c r="G175" i="27"/>
  <c r="G174" i="27"/>
  <c r="G172" i="27"/>
  <c r="G171" i="27"/>
  <c r="G170" i="27"/>
  <c r="G169" i="27"/>
  <c r="G168" i="27"/>
  <c r="I167" i="27"/>
  <c r="K167" i="27"/>
  <c r="G167" i="27"/>
  <c r="G166" i="27"/>
  <c r="G165" i="27"/>
  <c r="G164" i="27"/>
  <c r="G163" i="27"/>
  <c r="G162" i="27"/>
  <c r="G161" i="27"/>
  <c r="G160" i="27"/>
  <c r="G159" i="27"/>
  <c r="G158" i="27"/>
  <c r="G157" i="27"/>
  <c r="G156" i="27"/>
  <c r="G155" i="27"/>
  <c r="E154" i="27"/>
  <c r="G153" i="27"/>
  <c r="G152" i="27"/>
  <c r="G151" i="27"/>
  <c r="G150" i="27"/>
  <c r="G149" i="27"/>
  <c r="G148" i="27"/>
  <c r="G147" i="27"/>
  <c r="G146" i="27"/>
  <c r="I137" i="27"/>
  <c r="K137" i="27"/>
  <c r="G137" i="27"/>
  <c r="G136" i="27"/>
  <c r="G135" i="27"/>
  <c r="G134" i="27"/>
  <c r="G133" i="27"/>
  <c r="G132" i="27"/>
  <c r="G131" i="27"/>
  <c r="G130" i="27"/>
  <c r="G129" i="27"/>
  <c r="G128" i="27"/>
  <c r="G127" i="27"/>
  <c r="G126" i="27"/>
  <c r="G125" i="27"/>
  <c r="G124" i="27"/>
  <c r="G123" i="27"/>
  <c r="G122" i="27"/>
  <c r="G121" i="27"/>
  <c r="G120" i="27"/>
  <c r="G119" i="27"/>
  <c r="G118" i="27"/>
  <c r="G117" i="27"/>
  <c r="G116" i="27"/>
  <c r="G115" i="27"/>
  <c r="G114" i="27"/>
  <c r="G113" i="27"/>
  <c r="G112" i="27"/>
  <c r="G111" i="27"/>
  <c r="G110" i="27"/>
  <c r="G109" i="27"/>
  <c r="G108" i="27"/>
  <c r="G107" i="27"/>
  <c r="G106" i="27"/>
  <c r="G105" i="27"/>
  <c r="G104" i="27"/>
  <c r="G103" i="27"/>
  <c r="G102" i="27"/>
  <c r="G101" i="27"/>
  <c r="G100" i="27"/>
  <c r="G99" i="27"/>
  <c r="I98" i="27"/>
  <c r="G98" i="27"/>
  <c r="G94" i="27"/>
  <c r="G93" i="27"/>
  <c r="G92" i="27"/>
  <c r="G91" i="27"/>
  <c r="G90" i="27"/>
  <c r="G89" i="27"/>
  <c r="G88" i="27"/>
  <c r="G86" i="27"/>
  <c r="G85" i="27"/>
  <c r="G82" i="27"/>
  <c r="G81" i="27"/>
  <c r="G80" i="27"/>
  <c r="G79" i="27"/>
  <c r="G78" i="27"/>
  <c r="G74" i="27"/>
  <c r="G73" i="27"/>
  <c r="G72" i="27"/>
  <c r="G71" i="27"/>
  <c r="G70" i="27"/>
  <c r="G69" i="27"/>
  <c r="G68" i="27"/>
  <c r="G67" i="27"/>
  <c r="G65" i="27"/>
  <c r="G64" i="27"/>
  <c r="G63" i="27"/>
  <c r="G62" i="27"/>
  <c r="G61" i="27"/>
  <c r="G60" i="27"/>
  <c r="G59" i="27"/>
  <c r="G58" i="27"/>
  <c r="G57" i="27"/>
  <c r="G56" i="27"/>
  <c r="G55" i="27"/>
  <c r="G54" i="27"/>
  <c r="G53" i="27"/>
  <c r="G52" i="27"/>
  <c r="G51" i="27"/>
  <c r="G50" i="27"/>
  <c r="G49" i="27"/>
  <c r="G48" i="27"/>
  <c r="G47" i="27"/>
  <c r="G46" i="27"/>
  <c r="G45" i="27"/>
  <c r="G44" i="27"/>
  <c r="G43" i="27"/>
  <c r="G42" i="27"/>
  <c r="G41" i="27"/>
  <c r="G40" i="27"/>
  <c r="G39" i="27"/>
  <c r="G38" i="27"/>
  <c r="G37" i="27"/>
  <c r="G36" i="27"/>
  <c r="G35" i="27"/>
  <c r="G34" i="27"/>
  <c r="G30" i="27"/>
  <c r="G29" i="27"/>
  <c r="G28" i="27"/>
  <c r="G27" i="27"/>
  <c r="G26" i="27"/>
  <c r="G25" i="27"/>
  <c r="G24" i="27"/>
  <c r="G23" i="27"/>
  <c r="G22" i="27"/>
  <c r="G21" i="27"/>
  <c r="G20" i="27"/>
  <c r="G18" i="27"/>
  <c r="G16" i="27"/>
  <c r="G15" i="27"/>
  <c r="G14" i="27"/>
  <c r="G13" i="27"/>
  <c r="Y199" i="4"/>
  <c r="Y205" i="4"/>
  <c r="D88" i="7"/>
  <c r="D81" i="7"/>
  <c r="D53" i="7"/>
  <c r="F53" i="7"/>
  <c r="D54" i="7"/>
  <c r="D56" i="7"/>
  <c r="D46" i="7"/>
  <c r="W3" i="4"/>
  <c r="O126" i="4"/>
  <c r="O125" i="4"/>
  <c r="P155" i="4"/>
  <c r="P153" i="4"/>
  <c r="P149" i="4"/>
  <c r="P148" i="4"/>
  <c r="P147" i="4"/>
  <c r="P146" i="4"/>
  <c r="P145" i="4"/>
  <c r="P144" i="4"/>
  <c r="P143" i="4"/>
  <c r="P142" i="4"/>
  <c r="P136" i="4"/>
  <c r="O214" i="4"/>
  <c r="O213" i="4"/>
  <c r="O212" i="4"/>
  <c r="O211" i="4"/>
  <c r="O210" i="4"/>
  <c r="O209" i="4"/>
  <c r="O208" i="4"/>
  <c r="P5" i="4"/>
  <c r="P7" i="4"/>
  <c r="L4" i="4"/>
  <c r="O4" i="4" s="1"/>
  <c r="W4" i="4"/>
  <c r="P4" i="4"/>
  <c r="P10" i="4"/>
  <c r="P9" i="4"/>
  <c r="P6" i="4"/>
  <c r="P3" i="4"/>
  <c r="O3" i="4"/>
  <c r="O205" i="4"/>
  <c r="O204" i="4"/>
  <c r="P203" i="4"/>
  <c r="P202" i="4"/>
  <c r="P201" i="4"/>
  <c r="P200" i="4"/>
  <c r="P199" i="4"/>
  <c r="P134" i="4"/>
  <c r="P131" i="4"/>
  <c r="J8" i="8"/>
  <c r="M8" i="8" s="1"/>
  <c r="N8" i="8" s="1"/>
  <c r="F65" i="7"/>
  <c r="F40" i="7"/>
  <c r="L5" i="4"/>
  <c r="O5" i="4" s="1"/>
  <c r="W5" i="4"/>
  <c r="D108" i="7"/>
  <c r="F108" i="7"/>
  <c r="H108" i="7" s="1"/>
  <c r="D110" i="7"/>
  <c r="F94" i="7"/>
  <c r="H94" i="7"/>
  <c r="H11" i="15"/>
  <c r="M195" i="4"/>
  <c r="D33" i="7"/>
  <c r="E146" i="12"/>
  <c r="J16" i="8"/>
  <c r="E135" i="12"/>
  <c r="E123" i="12"/>
  <c r="F35" i="13"/>
  <c r="J14" i="8"/>
  <c r="Z132" i="4"/>
  <c r="B132" i="4" s="1"/>
  <c r="B104" i="4"/>
  <c r="B103" i="4"/>
  <c r="B101" i="4"/>
  <c r="B98" i="4"/>
  <c r="B97" i="4"/>
  <c r="B96" i="4"/>
  <c r="B95" i="4"/>
  <c r="B93" i="4"/>
  <c r="B92" i="4"/>
  <c r="B91" i="4"/>
  <c r="B94" i="4"/>
  <c r="B81" i="4"/>
  <c r="B76" i="4"/>
  <c r="B75" i="4"/>
  <c r="B73" i="4"/>
  <c r="B67" i="4"/>
  <c r="B64" i="4"/>
  <c r="B62" i="4"/>
  <c r="B61" i="4"/>
  <c r="B60" i="4"/>
  <c r="B58" i="4"/>
  <c r="B48" i="4"/>
  <c r="B47" i="4"/>
  <c r="B46" i="4"/>
  <c r="B44" i="4"/>
  <c r="B43" i="4"/>
  <c r="B42" i="4"/>
  <c r="B35" i="4"/>
  <c r="B34" i="4"/>
  <c r="B33" i="4"/>
  <c r="B32" i="4"/>
  <c r="B30" i="4"/>
  <c r="B27" i="4"/>
  <c r="B24" i="4"/>
  <c r="B128" i="4"/>
  <c r="Z130" i="4"/>
  <c r="B130" i="4"/>
  <c r="Z133" i="4"/>
  <c r="B133" i="4"/>
  <c r="M132" i="4"/>
  <c r="O132" i="4" s="1"/>
  <c r="M133" i="4"/>
  <c r="O133" i="4"/>
  <c r="M130" i="4"/>
  <c r="P130" i="4" s="1"/>
  <c r="M129" i="4"/>
  <c r="O129" i="4"/>
  <c r="Z17" i="4"/>
  <c r="B17" i="4" s="1"/>
  <c r="Z14" i="4"/>
  <c r="B14" i="4" s="1"/>
  <c r="Z13" i="4"/>
  <c r="B13" i="4" s="1"/>
  <c r="D12" i="16"/>
  <c r="E12" i="16"/>
  <c r="H8" i="15"/>
  <c r="K8" i="15"/>
  <c r="K13" i="15" s="1"/>
  <c r="H9" i="15"/>
  <c r="K9" i="15"/>
  <c r="H10" i="15"/>
  <c r="K10" i="15"/>
  <c r="H12" i="15"/>
  <c r="K12" i="15"/>
  <c r="F81" i="13"/>
  <c r="F80" i="13"/>
  <c r="F79" i="13"/>
  <c r="F78" i="13"/>
  <c r="F77" i="13"/>
  <c r="F76" i="13"/>
  <c r="F75" i="13"/>
  <c r="F74" i="13"/>
  <c r="F73" i="13"/>
  <c r="F72" i="13"/>
  <c r="F71" i="13"/>
  <c r="F70" i="13"/>
  <c r="F69" i="13"/>
  <c r="F68" i="13"/>
  <c r="F67" i="13"/>
  <c r="F66" i="13"/>
  <c r="F65" i="13"/>
  <c r="F64" i="13"/>
  <c r="F63" i="13"/>
  <c r="F62" i="13"/>
  <c r="F61" i="13"/>
  <c r="F60" i="13"/>
  <c r="F59" i="13"/>
  <c r="F58" i="13"/>
  <c r="F57" i="13"/>
  <c r="F56" i="13"/>
  <c r="F55" i="13"/>
  <c r="F54" i="13"/>
  <c r="F53" i="13"/>
  <c r="F52" i="13"/>
  <c r="F51" i="13"/>
  <c r="F50" i="13"/>
  <c r="F49" i="13"/>
  <c r="F48" i="13"/>
  <c r="F47" i="13"/>
  <c r="F46" i="13"/>
  <c r="F45" i="13"/>
  <c r="F44" i="13"/>
  <c r="F43" i="13"/>
  <c r="F42" i="13"/>
  <c r="F41" i="13"/>
  <c r="F40" i="13"/>
  <c r="F39" i="13"/>
  <c r="F38" i="13"/>
  <c r="F37" i="13"/>
  <c r="F36" i="13"/>
  <c r="F34" i="13"/>
  <c r="F33" i="13"/>
  <c r="F32" i="13"/>
  <c r="F31" i="13"/>
  <c r="F30" i="13"/>
  <c r="F29" i="13"/>
  <c r="F28" i="13"/>
  <c r="F27" i="13"/>
  <c r="F26" i="13"/>
  <c r="F25" i="13"/>
  <c r="F24" i="13"/>
  <c r="F23" i="13"/>
  <c r="F22" i="13"/>
  <c r="F21" i="13"/>
  <c r="F20" i="13"/>
  <c r="F19" i="13"/>
  <c r="F18" i="13"/>
  <c r="F17" i="13"/>
  <c r="F16" i="13"/>
  <c r="F15" i="13"/>
  <c r="F14" i="13"/>
  <c r="F13" i="13"/>
  <c r="F12" i="13"/>
  <c r="F11" i="13"/>
  <c r="F10" i="13"/>
  <c r="F9" i="13"/>
  <c r="F8" i="13"/>
  <c r="F7" i="13"/>
  <c r="F6" i="13"/>
  <c r="F5" i="13"/>
  <c r="E112" i="12"/>
  <c r="N115" i="12"/>
  <c r="O115" i="12"/>
  <c r="G25" i="12"/>
  <c r="G24" i="12"/>
  <c r="Z21" i="4"/>
  <c r="B21" i="4"/>
  <c r="Z19" i="4"/>
  <c r="B19" i="4" s="1"/>
  <c r="Z18" i="4"/>
  <c r="B18" i="4"/>
  <c r="Z16" i="4"/>
  <c r="B16" i="4" s="1"/>
  <c r="Z15" i="4"/>
  <c r="B15" i="4" s="1"/>
  <c r="J31" i="4"/>
  <c r="B31" i="4" s="1"/>
  <c r="B59" i="4"/>
  <c r="P197" i="4"/>
  <c r="O196" i="4"/>
  <c r="B48" i="29"/>
  <c r="B79" i="29"/>
  <c r="B81" i="29" s="1"/>
  <c r="L11" i="4" s="1"/>
  <c r="O11" i="4" s="1"/>
  <c r="D30" i="38"/>
  <c r="D32" i="38"/>
  <c r="B43" i="29"/>
  <c r="B44" i="29" s="1"/>
  <c r="I4" i="32"/>
  <c r="B37" i="29"/>
  <c r="E17" i="7" s="1"/>
  <c r="F17" i="7" s="1"/>
  <c r="G37" i="36"/>
  <c r="I8" i="39"/>
  <c r="I5" i="39"/>
  <c r="N5" i="39"/>
  <c r="I12" i="8"/>
  <c r="K12" i="8" s="1"/>
  <c r="I10" i="8"/>
  <c r="I7" i="39"/>
  <c r="N7" i="39"/>
  <c r="I11" i="8"/>
  <c r="K11" i="8" s="1"/>
  <c r="I6" i="39"/>
  <c r="B73" i="29"/>
  <c r="B74" i="29"/>
  <c r="B85" i="29"/>
  <c r="D56" i="16"/>
  <c r="F56" i="16"/>
  <c r="I15" i="8"/>
  <c r="K15" i="8"/>
  <c r="I25" i="8"/>
  <c r="I16" i="8"/>
  <c r="K16" i="8" s="1"/>
  <c r="I8" i="8"/>
  <c r="K8" i="8"/>
  <c r="I19" i="8"/>
  <c r="I9" i="8"/>
  <c r="I20" i="8"/>
  <c r="K20" i="8"/>
  <c r="I18" i="8"/>
  <c r="K18" i="8"/>
  <c r="I13" i="8"/>
  <c r="K13" i="8" s="1"/>
  <c r="C56" i="16"/>
  <c r="E56" i="16"/>
  <c r="I14" i="8"/>
  <c r="I24" i="8"/>
  <c r="I22" i="8"/>
  <c r="I21" i="8"/>
  <c r="K21" i="8" s="1"/>
  <c r="I23" i="8"/>
  <c r="K23" i="8" s="1"/>
  <c r="I7" i="8"/>
  <c r="I17" i="8"/>
  <c r="K17" i="8"/>
  <c r="B131" i="4"/>
  <c r="J24" i="8"/>
  <c r="K24" i="8" s="1"/>
  <c r="B25" i="4"/>
  <c r="O278" i="27"/>
  <c r="O147" i="27"/>
  <c r="P147" i="27"/>
  <c r="K190" i="27"/>
  <c r="G29" i="37"/>
  <c r="J29" i="37"/>
  <c r="G48" i="37"/>
  <c r="J48" i="37" s="1"/>
  <c r="G79" i="37"/>
  <c r="J79" i="37" s="1"/>
  <c r="G18" i="37"/>
  <c r="J18" i="37"/>
  <c r="J19" i="37" s="1"/>
  <c r="K16" i="37" s="1"/>
  <c r="L16" i="37" s="1"/>
  <c r="F36" i="12"/>
  <c r="M36" i="12" s="1"/>
  <c r="N36" i="12"/>
  <c r="O36" i="12" s="1"/>
  <c r="O24" i="12"/>
  <c r="N25" i="12"/>
  <c r="O25" i="12"/>
  <c r="P25" i="12" s="1"/>
  <c r="P93" i="27"/>
  <c r="P87" i="27"/>
  <c r="Q87" i="27" s="1"/>
  <c r="Q32" i="27"/>
  <c r="R32" i="27" s="1"/>
  <c r="G87" i="27"/>
  <c r="K87" i="27"/>
  <c r="N87" i="27"/>
  <c r="G7" i="22"/>
  <c r="H7" i="22" s="1"/>
  <c r="K5" i="8"/>
  <c r="C27" i="16"/>
  <c r="E58" i="36"/>
  <c r="E46" i="36"/>
  <c r="E54" i="36"/>
  <c r="F63" i="36"/>
  <c r="E50" i="36"/>
  <c r="E51" i="36"/>
  <c r="E63" i="36"/>
  <c r="E49" i="36"/>
  <c r="E57" i="36"/>
  <c r="E47" i="36"/>
  <c r="F60" i="36"/>
  <c r="F56" i="36"/>
  <c r="F45" i="36"/>
  <c r="F53" i="36"/>
  <c r="F64" i="36"/>
  <c r="F44" i="36"/>
  <c r="E56" i="36"/>
  <c r="F48" i="36"/>
  <c r="E45" i="36"/>
  <c r="E44" i="36"/>
  <c r="F52" i="36"/>
  <c r="E48" i="36"/>
  <c r="F46" i="36"/>
  <c r="F51" i="36"/>
  <c r="F49" i="36"/>
  <c r="F58" i="36"/>
  <c r="F47" i="36"/>
  <c r="F59" i="36"/>
  <c r="F57" i="36"/>
  <c r="F54" i="36"/>
  <c r="F50" i="36"/>
  <c r="R138" i="27"/>
  <c r="Q95" i="27"/>
  <c r="R95" i="27" s="1"/>
  <c r="R220" i="27"/>
  <c r="Q144" i="27"/>
  <c r="Q273" i="27"/>
  <c r="R273" i="27" s="1"/>
  <c r="Q146" i="27"/>
  <c r="R146" i="27" s="1"/>
  <c r="R159" i="27"/>
  <c r="Q250" i="27"/>
  <c r="R250" i="27"/>
  <c r="O83" i="27"/>
  <c r="P83" i="27"/>
  <c r="Q83" i="27" s="1"/>
  <c r="R83" i="27" s="1"/>
  <c r="Q66" i="27"/>
  <c r="R66" i="27"/>
  <c r="G190" i="27"/>
  <c r="O275" i="27"/>
  <c r="O84" i="27"/>
  <c r="P84" i="27" s="1"/>
  <c r="Q84" i="27" s="1"/>
  <c r="R84" i="27" s="1"/>
  <c r="O198" i="27"/>
  <c r="P198" i="27"/>
  <c r="Q198" i="27" s="1"/>
  <c r="E107" i="12"/>
  <c r="I106" i="12" s="1"/>
  <c r="I107" i="12" s="1"/>
  <c r="I105" i="12"/>
  <c r="K22" i="8"/>
  <c r="K5" i="39"/>
  <c r="K8" i="39"/>
  <c r="K6" i="39"/>
  <c r="N6" i="39"/>
  <c r="K10" i="8"/>
  <c r="O72" i="12"/>
  <c r="P72" i="12" s="1"/>
  <c r="G150" i="12"/>
  <c r="N71" i="12"/>
  <c r="O71" i="12" s="1"/>
  <c r="P71" i="12" s="1"/>
  <c r="D28" i="8"/>
  <c r="E28" i="7"/>
  <c r="F28" i="7" s="1"/>
  <c r="E110" i="7"/>
  <c r="F110" i="7" s="1"/>
  <c r="H110" i="7"/>
  <c r="E66" i="7"/>
  <c r="F66" i="7" s="1"/>
  <c r="Q172" i="27"/>
  <c r="R172" i="27" s="1"/>
  <c r="Q185" i="27"/>
  <c r="R185" i="27" s="1"/>
  <c r="Q142" i="27"/>
  <c r="R142" i="27" s="1"/>
  <c r="R286" i="27"/>
  <c r="Q208" i="27"/>
  <c r="R208" i="27" s="1"/>
  <c r="Q200" i="27"/>
  <c r="R200" i="27" s="1"/>
  <c r="Q31" i="27"/>
  <c r="R31" i="27" s="1"/>
  <c r="Q218" i="27"/>
  <c r="R218" i="27" s="1"/>
  <c r="Q124" i="27"/>
  <c r="R124" i="27" s="1"/>
  <c r="Q259" i="27"/>
  <c r="R259" i="27" s="1"/>
  <c r="Q215" i="27"/>
  <c r="N83" i="27"/>
  <c r="Q137" i="27"/>
  <c r="Q33" i="27"/>
  <c r="R33" i="27" s="1"/>
  <c r="Q125" i="27"/>
  <c r="R125" i="27" s="1"/>
  <c r="R74" i="27"/>
  <c r="Q199" i="27"/>
  <c r="Q326" i="27"/>
  <c r="R326" i="27" s="1"/>
  <c r="R198" i="27"/>
  <c r="G72" i="12"/>
  <c r="G71" i="12"/>
  <c r="G37" i="12"/>
  <c r="N150" i="12"/>
  <c r="O150" i="12" s="1"/>
  <c r="N73" i="12"/>
  <c r="O73" i="12"/>
  <c r="P73" i="12" s="1"/>
  <c r="N74" i="12"/>
  <c r="O74" i="12"/>
  <c r="P74" i="12"/>
  <c r="G105" i="12"/>
  <c r="G115" i="12"/>
  <c r="G129" i="12"/>
  <c r="E14" i="8"/>
  <c r="E18" i="8"/>
  <c r="E8" i="8"/>
  <c r="E9" i="8"/>
  <c r="E17" i="8"/>
  <c r="E6" i="8"/>
  <c r="F10" i="8"/>
  <c r="F6" i="8"/>
  <c r="F9" i="8"/>
  <c r="F11" i="8"/>
  <c r="F8" i="8"/>
  <c r="R87" i="27"/>
  <c r="R215" i="27"/>
  <c r="R199" i="27"/>
  <c r="R137" i="27"/>
  <c r="G127" i="12"/>
  <c r="G91" i="12"/>
  <c r="O124" i="4"/>
  <c r="G73" i="12"/>
  <c r="G74" i="12"/>
  <c r="G149" i="12"/>
  <c r="G94" i="12"/>
  <c r="G49" i="12"/>
  <c r="G92" i="12"/>
  <c r="G126" i="12"/>
  <c r="G95" i="12"/>
  <c r="H64" i="36"/>
  <c r="O122" i="4"/>
  <c r="O123" i="4"/>
  <c r="H59" i="36"/>
  <c r="H47" i="36"/>
  <c r="H48" i="36"/>
  <c r="H49" i="36"/>
  <c r="H46" i="36"/>
  <c r="H63" i="36"/>
  <c r="H55" i="36"/>
  <c r="H52" i="36"/>
  <c r="H54" i="36"/>
  <c r="H45" i="36"/>
  <c r="H51" i="36"/>
  <c r="H57" i="36"/>
  <c r="H44" i="36"/>
  <c r="H53" i="36"/>
  <c r="H50" i="36"/>
  <c r="H58" i="36"/>
  <c r="H60" i="36"/>
  <c r="H56" i="36"/>
  <c r="O102" i="4"/>
  <c r="P178" i="4"/>
  <c r="E100" i="36"/>
  <c r="H36" i="12"/>
  <c r="P36" i="12"/>
  <c r="G36" i="12"/>
  <c r="H139" i="12"/>
  <c r="I139" i="12"/>
  <c r="I140" i="12"/>
  <c r="G139" i="12"/>
  <c r="L50" i="37"/>
  <c r="P207" i="27"/>
  <c r="L4" i="27"/>
  <c r="E85" i="7"/>
  <c r="F85" i="7" s="1"/>
  <c r="E169" i="12"/>
  <c r="I25" i="12"/>
  <c r="C8" i="16"/>
  <c r="P44" i="27"/>
  <c r="Q44" i="27"/>
  <c r="R44" i="27" s="1"/>
  <c r="M106" i="12"/>
  <c r="G106" i="12"/>
  <c r="M96" i="12"/>
  <c r="G96" i="12"/>
  <c r="N21" i="8"/>
  <c r="B52" i="29" s="1"/>
  <c r="L20" i="4"/>
  <c r="D26" i="16"/>
  <c r="K9" i="16"/>
  <c r="N9" i="16" s="1"/>
  <c r="J26" i="16" s="1"/>
  <c r="I95" i="12"/>
  <c r="L15" i="22"/>
  <c r="F61" i="36"/>
  <c r="F65" i="36" s="1"/>
  <c r="E50" i="12"/>
  <c r="I48" i="12" s="1"/>
  <c r="J111" i="37"/>
  <c r="K105" i="37" s="1"/>
  <c r="I32" i="32"/>
  <c r="G32" i="32"/>
  <c r="I93" i="12"/>
  <c r="H151" i="12"/>
  <c r="E152" i="12"/>
  <c r="I149" i="12" s="1"/>
  <c r="G151" i="12"/>
  <c r="M116" i="12"/>
  <c r="N116" i="12"/>
  <c r="O116" i="12" s="1"/>
  <c r="P116" i="12" s="1"/>
  <c r="G116" i="12"/>
  <c r="K110" i="37"/>
  <c r="L110" i="37" s="1"/>
  <c r="N58" i="12"/>
  <c r="O58" i="12" s="1"/>
  <c r="P58" i="12" s="1"/>
  <c r="N139" i="12"/>
  <c r="O139" i="12" s="1"/>
  <c r="P139" i="12" s="1"/>
  <c r="C22" i="16"/>
  <c r="C28" i="16"/>
  <c r="D27" i="16"/>
  <c r="I91" i="12"/>
  <c r="M24" i="8"/>
  <c r="N24" i="8" s="1"/>
  <c r="P195" i="4"/>
  <c r="O195" i="4"/>
  <c r="R195" i="4"/>
  <c r="L4" i="22"/>
  <c r="L11" i="22"/>
  <c r="L5" i="22"/>
  <c r="D7" i="22"/>
  <c r="F19" i="22" s="1"/>
  <c r="E12" i="22" s="1"/>
  <c r="M12" i="22" s="1"/>
  <c r="L7" i="22"/>
  <c r="M7" i="22" s="1"/>
  <c r="L12" i="22"/>
  <c r="D31" i="38"/>
  <c r="D29" i="38"/>
  <c r="I5" i="32"/>
  <c r="F18" i="8"/>
  <c r="F20" i="8"/>
  <c r="F17" i="8"/>
  <c r="F16" i="8"/>
  <c r="F19" i="8"/>
  <c r="F12" i="8"/>
  <c r="F13" i="8"/>
  <c r="F7" i="8"/>
  <c r="Q26" i="27"/>
  <c r="R26" i="27" s="1"/>
  <c r="D21" i="38"/>
  <c r="D24" i="38"/>
  <c r="B134" i="4"/>
  <c r="K17" i="22"/>
  <c r="L17" i="22"/>
  <c r="K7" i="39"/>
  <c r="R82" i="27"/>
  <c r="H13" i="15"/>
  <c r="M23" i="12"/>
  <c r="N23" i="12" s="1"/>
  <c r="O23" i="12" s="1"/>
  <c r="P23" i="12" s="1"/>
  <c r="G23" i="12"/>
  <c r="D6" i="36"/>
  <c r="B41" i="29"/>
  <c r="L10" i="22"/>
  <c r="N105" i="12"/>
  <c r="O105" i="12" s="1"/>
  <c r="P105" i="12" s="1"/>
  <c r="D25" i="16"/>
  <c r="N11" i="8"/>
  <c r="E88" i="12"/>
  <c r="N96" i="12" s="1"/>
  <c r="O96" i="12" s="1"/>
  <c r="D23" i="16"/>
  <c r="M5" i="16"/>
  <c r="I22" i="16" s="1"/>
  <c r="N70" i="12"/>
  <c r="O70" i="12" s="1"/>
  <c r="P70" i="12"/>
  <c r="D24" i="16"/>
  <c r="T168" i="27"/>
  <c r="N83" i="12"/>
  <c r="O83" i="12" s="1"/>
  <c r="O159" i="12"/>
  <c r="P159" i="12" s="1"/>
  <c r="K109" i="37"/>
  <c r="L109" i="37"/>
  <c r="H159" i="12"/>
  <c r="F19" i="37"/>
  <c r="T237" i="27"/>
  <c r="E38" i="12"/>
  <c r="A19" i="28"/>
  <c r="A20" i="28" s="1"/>
  <c r="A21" i="28"/>
  <c r="A22" i="28"/>
  <c r="A23" i="28"/>
  <c r="A24" i="28" s="1"/>
  <c r="A25" i="28"/>
  <c r="A26" i="28" s="1"/>
  <c r="A27" i="28"/>
  <c r="A28" i="28" s="1"/>
  <c r="A29" i="28" s="1"/>
  <c r="A30" i="28" s="1"/>
  <c r="A31" i="28" s="1"/>
  <c r="A32" i="28" s="1"/>
  <c r="A33" i="28" s="1"/>
  <c r="A34" i="28" s="1"/>
  <c r="A35" i="28" s="1"/>
  <c r="A36" i="28" s="1"/>
  <c r="A37" i="28" s="1"/>
  <c r="A38" i="28" s="1"/>
  <c r="A39" i="28" s="1"/>
  <c r="A40" i="28" s="1"/>
  <c r="A41" i="28" s="1"/>
  <c r="A42" i="28"/>
  <c r="A43" i="28" s="1"/>
  <c r="A44" i="28" s="1"/>
  <c r="A45" i="28" s="1"/>
  <c r="A46" i="28" s="1"/>
  <c r="A47" i="28"/>
  <c r="A48" i="28" s="1"/>
  <c r="A49" i="28" s="1"/>
  <c r="A50" i="28" s="1"/>
  <c r="A51" i="28" s="1"/>
  <c r="A52" i="28" s="1"/>
  <c r="A53" i="28"/>
  <c r="A54" i="28" s="1"/>
  <c r="A55" i="28" s="1"/>
  <c r="A56" i="28" s="1"/>
  <c r="A57" i="28" s="1"/>
  <c r="A58" i="28" s="1"/>
  <c r="A59" i="28" s="1"/>
  <c r="A60" i="28" s="1"/>
  <c r="A61" i="28" s="1"/>
  <c r="A62" i="28" s="1"/>
  <c r="A63" i="28" s="1"/>
  <c r="A64" i="28" s="1"/>
  <c r="A65" i="28" s="1"/>
  <c r="A66" i="28" s="1"/>
  <c r="A67" i="28" s="1"/>
  <c r="A68" i="28" s="1"/>
  <c r="A69" i="28" s="1"/>
  <c r="A70" i="28" s="1"/>
  <c r="A71" i="28" s="1"/>
  <c r="E63" i="12"/>
  <c r="I59" i="12" s="1"/>
  <c r="M61" i="12"/>
  <c r="M59" i="12"/>
  <c r="N59" i="12"/>
  <c r="O59" i="12"/>
  <c r="E84" i="12"/>
  <c r="I83" i="12" s="1"/>
  <c r="H138" i="12"/>
  <c r="N61" i="12"/>
  <c r="O61" i="12" s="1"/>
  <c r="P61" i="12" s="1"/>
  <c r="D83" i="7"/>
  <c r="M207" i="4"/>
  <c r="O207" i="4" s="1"/>
  <c r="D18" i="7"/>
  <c r="J24" i="39"/>
  <c r="H60" i="12"/>
  <c r="D30" i="7"/>
  <c r="G60" i="12"/>
  <c r="D19" i="22"/>
  <c r="K14" i="37"/>
  <c r="L14" i="37" s="1"/>
  <c r="K43" i="37"/>
  <c r="L43" i="37" s="1"/>
  <c r="K44" i="37"/>
  <c r="L44" i="37"/>
  <c r="K48" i="37"/>
  <c r="L48" i="37" s="1"/>
  <c r="K47" i="37"/>
  <c r="L47" i="37"/>
  <c r="K42" i="37"/>
  <c r="L42" i="37" s="1"/>
  <c r="K45" i="37"/>
  <c r="L45" i="37"/>
  <c r="K51" i="37"/>
  <c r="L51" i="37" s="1"/>
  <c r="N91" i="12"/>
  <c r="O91" i="12" s="1"/>
  <c r="N92" i="12"/>
  <c r="O92" i="12" s="1"/>
  <c r="N95" i="12"/>
  <c r="O95" i="12"/>
  <c r="P95" i="12" s="1"/>
  <c r="N94" i="12"/>
  <c r="O94" i="12" s="1"/>
  <c r="P94" i="12" s="1"/>
  <c r="K108" i="37"/>
  <c r="L108" i="37" s="1"/>
  <c r="O20" i="4"/>
  <c r="X20" i="4"/>
  <c r="I49" i="12"/>
  <c r="B64" i="29"/>
  <c r="E69" i="7"/>
  <c r="E109" i="7"/>
  <c r="F109" i="7" s="1"/>
  <c r="H109" i="7" s="1"/>
  <c r="E116" i="7" s="1"/>
  <c r="E30" i="7"/>
  <c r="F30" i="7" s="1"/>
  <c r="E18" i="7"/>
  <c r="L9" i="4"/>
  <c r="E83" i="7"/>
  <c r="F83" i="7" s="1"/>
  <c r="E43" i="7"/>
  <c r="F43" i="7" s="1"/>
  <c r="K18" i="37"/>
  <c r="L18" i="37" s="1"/>
  <c r="H5" i="22"/>
  <c r="I5" i="22"/>
  <c r="H4" i="22"/>
  <c r="I4" i="22"/>
  <c r="H14" i="22"/>
  <c r="I14" i="22" s="1"/>
  <c r="H16" i="22"/>
  <c r="I16" i="22" s="1"/>
  <c r="H8" i="22"/>
  <c r="I8" i="22" s="1"/>
  <c r="I82" i="12"/>
  <c r="B49" i="29"/>
  <c r="L8" i="4" s="1"/>
  <c r="O8" i="4" s="1"/>
  <c r="B80" i="29"/>
  <c r="D33" i="38"/>
  <c r="I50" i="12"/>
  <c r="K103" i="37"/>
  <c r="L103" i="37"/>
  <c r="P307" i="27"/>
  <c r="Q307" i="27"/>
  <c r="R307" i="27" s="1"/>
  <c r="F18" i="7"/>
  <c r="K107" i="37"/>
  <c r="L107" i="37" s="1"/>
  <c r="I62" i="12"/>
  <c r="M63" i="12" s="1"/>
  <c r="I58" i="12"/>
  <c r="I61" i="12"/>
  <c r="I35" i="12"/>
  <c r="G63" i="36"/>
  <c r="G53" i="36"/>
  <c r="G59" i="36"/>
  <c r="G64" i="36"/>
  <c r="G56" i="36"/>
  <c r="G58" i="36"/>
  <c r="G55" i="36"/>
  <c r="G57" i="36"/>
  <c r="G45" i="36"/>
  <c r="G46" i="36"/>
  <c r="G44" i="36"/>
  <c r="G47" i="36"/>
  <c r="G54" i="36"/>
  <c r="G50" i="36"/>
  <c r="G51" i="36"/>
  <c r="G49" i="36"/>
  <c r="G52" i="36"/>
  <c r="G60" i="36"/>
  <c r="G48" i="36"/>
  <c r="I60" i="12"/>
  <c r="L105" i="37"/>
  <c r="I151" i="12"/>
  <c r="K49" i="37"/>
  <c r="L49" i="37"/>
  <c r="E14" i="22"/>
  <c r="M14" i="22" s="1"/>
  <c r="E6" i="22"/>
  <c r="E16" i="22"/>
  <c r="M16" i="22"/>
  <c r="E10" i="22"/>
  <c r="M10" i="22" s="1"/>
  <c r="E15" i="22"/>
  <c r="M15" i="22"/>
  <c r="B69" i="29"/>
  <c r="L23" i="8"/>
  <c r="M23" i="8"/>
  <c r="N23" i="8"/>
  <c r="L20" i="8"/>
  <c r="M20" i="8"/>
  <c r="N20" i="8"/>
  <c r="L18" i="8"/>
  <c r="M18" i="8" s="1"/>
  <c r="L19" i="8"/>
  <c r="M19" i="8" s="1"/>
  <c r="L15" i="8"/>
  <c r="M15" i="8"/>
  <c r="N15" i="8" s="1"/>
  <c r="L17" i="8"/>
  <c r="M17" i="8"/>
  <c r="N17" i="8"/>
  <c r="L16" i="8"/>
  <c r="M16" i="8"/>
  <c r="B70" i="29"/>
  <c r="B75" i="29"/>
  <c r="E7" i="22"/>
  <c r="W8" i="4"/>
  <c r="E67" i="7"/>
  <c r="F67" i="7"/>
  <c r="D9" i="36"/>
  <c r="D10" i="36"/>
  <c r="J63" i="36" s="1"/>
  <c r="E29" i="7"/>
  <c r="F29" i="7"/>
  <c r="F33" i="7" s="1"/>
  <c r="E35" i="7" s="1"/>
  <c r="E5" i="7" s="1"/>
  <c r="L10" i="4"/>
  <c r="N16" i="8"/>
  <c r="L15" i="4"/>
  <c r="L14" i="4"/>
  <c r="X14" i="4" s="1"/>
  <c r="J55" i="36"/>
  <c r="J45" i="36"/>
  <c r="K45" i="36" s="1"/>
  <c r="P75" i="36" s="1"/>
  <c r="J56" i="36"/>
  <c r="J54" i="36"/>
  <c r="J52" i="36"/>
  <c r="J58" i="36"/>
  <c r="J51" i="36"/>
  <c r="K51" i="36" s="1"/>
  <c r="J49" i="36"/>
  <c r="J48" i="36"/>
  <c r="J60" i="36"/>
  <c r="J57" i="36"/>
  <c r="J53" i="36"/>
  <c r="J47" i="36"/>
  <c r="J44" i="36"/>
  <c r="J61" i="36" s="1"/>
  <c r="J46" i="36"/>
  <c r="K46" i="36" s="1"/>
  <c r="J50" i="36"/>
  <c r="J59" i="36"/>
  <c r="J64" i="36"/>
  <c r="E33" i="7"/>
  <c r="C5" i="7" s="1"/>
  <c r="E34" i="7"/>
  <c r="D5" i="7" s="1"/>
  <c r="I49" i="36"/>
  <c r="K49" i="36"/>
  <c r="I60" i="36"/>
  <c r="K60" i="36" s="1"/>
  <c r="I53" i="36"/>
  <c r="K53" i="36"/>
  <c r="P83" i="36" s="1"/>
  <c r="I63" i="36"/>
  <c r="I59" i="36"/>
  <c r="K59" i="36"/>
  <c r="P89" i="36" s="1"/>
  <c r="N89" i="36" s="1"/>
  <c r="I44" i="36"/>
  <c r="I61" i="36" s="1"/>
  <c r="I65" i="36" s="1"/>
  <c r="I47" i="36"/>
  <c r="K47" i="36"/>
  <c r="P77" i="36" s="1"/>
  <c r="L77" i="36" s="1"/>
  <c r="I45" i="36"/>
  <c r="I58" i="36"/>
  <c r="K58" i="36"/>
  <c r="P88" i="36" s="1"/>
  <c r="I57" i="36"/>
  <c r="K57" i="36"/>
  <c r="P87" i="36" s="1"/>
  <c r="F113" i="36" s="1"/>
  <c r="I113" i="36" s="1"/>
  <c r="J113" i="36" s="1"/>
  <c r="L191" i="4" s="1"/>
  <c r="I64" i="36"/>
  <c r="K64" i="36"/>
  <c r="I46" i="36"/>
  <c r="I52" i="36"/>
  <c r="K52" i="36"/>
  <c r="I50" i="36"/>
  <c r="K50" i="36"/>
  <c r="M50" i="36" s="1"/>
  <c r="L142" i="4" s="1"/>
  <c r="I48" i="36"/>
  <c r="K48" i="36"/>
  <c r="P78" i="36" s="1"/>
  <c r="F104" i="36" s="1"/>
  <c r="I51" i="36"/>
  <c r="I55" i="36"/>
  <c r="K55" i="36"/>
  <c r="M55" i="36" s="1"/>
  <c r="L147" i="4" s="1"/>
  <c r="I56" i="36"/>
  <c r="K56" i="36"/>
  <c r="M56" i="36" s="1"/>
  <c r="L148" i="4" s="1"/>
  <c r="I54" i="36"/>
  <c r="K54" i="36" s="1"/>
  <c r="O15" i="4"/>
  <c r="X15" i="4"/>
  <c r="W10" i="4"/>
  <c r="O10" i="4"/>
  <c r="P85" i="36"/>
  <c r="F111" i="36" s="1"/>
  <c r="I111" i="36" s="1"/>
  <c r="J111" i="36" s="1"/>
  <c r="L189" i="4" s="1"/>
  <c r="M47" i="36"/>
  <c r="L139" i="4"/>
  <c r="U139" i="4" s="1"/>
  <c r="P81" i="36"/>
  <c r="F107" i="36" s="1"/>
  <c r="M51" i="36"/>
  <c r="L143" i="4" s="1"/>
  <c r="M48" i="36"/>
  <c r="L140" i="4" s="1"/>
  <c r="U140" i="4" s="1"/>
  <c r="K44" i="36"/>
  <c r="P74" i="36" s="1"/>
  <c r="P82" i="36"/>
  <c r="F108" i="36" s="1"/>
  <c r="I108" i="36" s="1"/>
  <c r="J108" i="36" s="1"/>
  <c r="L186" i="4" s="1"/>
  <c r="M52" i="36"/>
  <c r="L144" i="4" s="1"/>
  <c r="U144" i="4" s="1"/>
  <c r="K63" i="36"/>
  <c r="M63" i="36" s="1"/>
  <c r="L153" i="4" s="1"/>
  <c r="M53" i="36"/>
  <c r="L145" i="4" s="1"/>
  <c r="P86" i="36"/>
  <c r="N86" i="36" s="1"/>
  <c r="J65" i="36"/>
  <c r="I104" i="36"/>
  <c r="J104" i="36" s="1"/>
  <c r="L182" i="4" s="1"/>
  <c r="N78" i="36"/>
  <c r="L78" i="36"/>
  <c r="O143" i="4"/>
  <c r="U143" i="4"/>
  <c r="N81" i="36"/>
  <c r="I107" i="36"/>
  <c r="J107" i="36" s="1"/>
  <c r="L185" i="4" s="1"/>
  <c r="L81" i="36"/>
  <c r="N77" i="36"/>
  <c r="F103" i="36"/>
  <c r="I103" i="36" s="1"/>
  <c r="J103" i="36" s="1"/>
  <c r="L181" i="4" s="1"/>
  <c r="U145" i="4"/>
  <c r="O145" i="4"/>
  <c r="L88" i="36"/>
  <c r="M88" i="36" s="1"/>
  <c r="N88" i="36"/>
  <c r="O81" i="36"/>
  <c r="L165" i="4" s="1"/>
  <c r="O165" i="4" s="1"/>
  <c r="M81" i="36"/>
  <c r="M78" i="36"/>
  <c r="O78" i="36"/>
  <c r="L162" i="4"/>
  <c r="O162" i="4"/>
  <c r="O77" i="36"/>
  <c r="L161" i="4" s="1"/>
  <c r="O161" i="4" s="1"/>
  <c r="M77" i="36"/>
  <c r="N75" i="36" l="1"/>
  <c r="L75" i="36"/>
  <c r="F101" i="36"/>
  <c r="I101" i="36" s="1"/>
  <c r="J101" i="36" s="1"/>
  <c r="L179" i="4" s="1"/>
  <c r="P186" i="4"/>
  <c r="L207" i="4"/>
  <c r="R186" i="4"/>
  <c r="M46" i="36"/>
  <c r="L138" i="4" s="1"/>
  <c r="P76" i="36"/>
  <c r="O142" i="4"/>
  <c r="U142" i="4"/>
  <c r="O185" i="4"/>
  <c r="R185" i="4"/>
  <c r="L83" i="36"/>
  <c r="N83" i="36"/>
  <c r="F109" i="36"/>
  <c r="I109" i="36" s="1"/>
  <c r="J109" i="36" s="1"/>
  <c r="L187" i="4" s="1"/>
  <c r="R189" i="4"/>
  <c r="O189" i="4"/>
  <c r="L74" i="36"/>
  <c r="F100" i="36"/>
  <c r="I100" i="36" s="1"/>
  <c r="J100" i="36" s="1"/>
  <c r="N74" i="36"/>
  <c r="P90" i="36"/>
  <c r="M60" i="36"/>
  <c r="L152" i="4" s="1"/>
  <c r="O181" i="4"/>
  <c r="R181" i="4"/>
  <c r="R182" i="4"/>
  <c r="O182" i="4"/>
  <c r="R191" i="4"/>
  <c r="P191" i="4"/>
  <c r="M54" i="36"/>
  <c r="L146" i="4" s="1"/>
  <c r="P84" i="36"/>
  <c r="O148" i="4"/>
  <c r="U148" i="4"/>
  <c r="U153" i="4"/>
  <c r="O153" i="4"/>
  <c r="O147" i="4"/>
  <c r="U147" i="4"/>
  <c r="N87" i="36"/>
  <c r="L87" i="36"/>
  <c r="O144" i="4"/>
  <c r="N85" i="36"/>
  <c r="L82" i="36"/>
  <c r="P93" i="36"/>
  <c r="L85" i="36"/>
  <c r="N82" i="36"/>
  <c r="M59" i="36"/>
  <c r="L151" i="4" s="1"/>
  <c r="P80" i="36"/>
  <c r="D11" i="7"/>
  <c r="L204" i="4"/>
  <c r="L17" i="4"/>
  <c r="N19" i="8"/>
  <c r="O139" i="4"/>
  <c r="L86" i="36"/>
  <c r="O140" i="4"/>
  <c r="M45" i="36"/>
  <c r="L137" i="4" s="1"/>
  <c r="L16" i="4"/>
  <c r="N18" i="8"/>
  <c r="O88" i="36"/>
  <c r="L172" i="4" s="1"/>
  <c r="O172" i="4" s="1"/>
  <c r="M44" i="36"/>
  <c r="F112" i="36"/>
  <c r="I112" i="36" s="1"/>
  <c r="J112" i="36" s="1"/>
  <c r="L190" i="4" s="1"/>
  <c r="L89" i="36"/>
  <c r="M57" i="36"/>
  <c r="L149" i="4" s="1"/>
  <c r="L199" i="4"/>
  <c r="M58" i="36"/>
  <c r="L150" i="4" s="1"/>
  <c r="M64" i="36"/>
  <c r="P94" i="36"/>
  <c r="M49" i="36"/>
  <c r="L141" i="4" s="1"/>
  <c r="P79" i="36"/>
  <c r="M38" i="12"/>
  <c r="I36" i="12"/>
  <c r="I37" i="12"/>
  <c r="P278" i="27"/>
  <c r="Q278" i="27"/>
  <c r="R278" i="27" s="1"/>
  <c r="K5" i="16"/>
  <c r="N5" i="16" s="1"/>
  <c r="J22" i="16" s="1"/>
  <c r="D22" i="16"/>
  <c r="H160" i="12"/>
  <c r="P160" i="12" s="1"/>
  <c r="E162" i="12"/>
  <c r="I160" i="12" s="1"/>
  <c r="G160" i="12"/>
  <c r="M128" i="12"/>
  <c r="N128" i="12" s="1"/>
  <c r="O128" i="12" s="1"/>
  <c r="P128" i="12" s="1"/>
  <c r="G128" i="12"/>
  <c r="O9" i="4"/>
  <c r="W9" i="4"/>
  <c r="I63" i="12"/>
  <c r="B129" i="4"/>
  <c r="K8" i="22"/>
  <c r="L8" i="22" s="1"/>
  <c r="M8" i="22" s="1"/>
  <c r="I38" i="12"/>
  <c r="G61" i="36"/>
  <c r="G65" i="36" s="1"/>
  <c r="E27" i="16"/>
  <c r="G27" i="16" s="1"/>
  <c r="K27" i="16" s="1"/>
  <c r="E26" i="16"/>
  <c r="G26" i="16" s="1"/>
  <c r="K26" i="16" s="1"/>
  <c r="E28" i="16"/>
  <c r="G28" i="16" s="1"/>
  <c r="K28" i="16" s="1"/>
  <c r="E22" i="16"/>
  <c r="G22" i="16" s="1"/>
  <c r="K22" i="16" s="1"/>
  <c r="E25" i="16"/>
  <c r="G25" i="16" s="1"/>
  <c r="K25" i="16" s="1"/>
  <c r="P209" i="27"/>
  <c r="Q209" i="27" s="1"/>
  <c r="R209" i="27" s="1"/>
  <c r="P164" i="27"/>
  <c r="Q164" i="27" s="1"/>
  <c r="R164" i="27" s="1"/>
  <c r="P130" i="27"/>
  <c r="Q130" i="27" s="1"/>
  <c r="R130" i="27" s="1"/>
  <c r="C6" i="16"/>
  <c r="C7" i="16"/>
  <c r="C11" i="16"/>
  <c r="C9" i="16"/>
  <c r="C5" i="16"/>
  <c r="C10" i="16"/>
  <c r="W11" i="4"/>
  <c r="P77" i="27"/>
  <c r="Q77" i="27" s="1"/>
  <c r="R77" i="27" s="1"/>
  <c r="M14" i="8"/>
  <c r="N14" i="8" s="1"/>
  <c r="K14" i="8"/>
  <c r="F19" i="7"/>
  <c r="E22" i="7" s="1"/>
  <c r="D4" i="7" s="1"/>
  <c r="L203" i="4" s="1"/>
  <c r="I6" i="32"/>
  <c r="O21" i="32" s="1"/>
  <c r="O23" i="32" s="1"/>
  <c r="O22" i="32"/>
  <c r="O24" i="32" s="1"/>
  <c r="M7" i="8"/>
  <c r="K7" i="8"/>
  <c r="L22" i="4"/>
  <c r="E81" i="7"/>
  <c r="F81" i="7" s="1"/>
  <c r="E42" i="7"/>
  <c r="F42" i="7" s="1"/>
  <c r="K98" i="27"/>
  <c r="L5" i="27"/>
  <c r="L6" i="27" s="1"/>
  <c r="Q11" i="15"/>
  <c r="P94" i="27"/>
  <c r="Q94" i="27" s="1"/>
  <c r="R94" i="27" s="1"/>
  <c r="E61" i="36"/>
  <c r="E65" i="36" s="1"/>
  <c r="Q147" i="27"/>
  <c r="R147" i="27" s="1"/>
  <c r="D57" i="16"/>
  <c r="G154" i="27"/>
  <c r="G64" i="37"/>
  <c r="J64" i="37" s="1"/>
  <c r="F35" i="12"/>
  <c r="M35" i="12" s="1"/>
  <c r="N35" i="12" s="1"/>
  <c r="O35" i="12" s="1"/>
  <c r="O276" i="27"/>
  <c r="P206" i="27"/>
  <c r="Q206" i="27" s="1"/>
  <c r="R206" i="27" s="1"/>
  <c r="E11" i="22"/>
  <c r="M11" i="22" s="1"/>
  <c r="G19" i="22"/>
  <c r="M128" i="4" s="1"/>
  <c r="E96" i="7"/>
  <c r="F96" i="7" s="1"/>
  <c r="H96" i="7" s="1"/>
  <c r="E55" i="7"/>
  <c r="K154" i="27"/>
  <c r="P30" i="27"/>
  <c r="Q30" i="27"/>
  <c r="R30" i="27" s="1"/>
  <c r="H117" i="12"/>
  <c r="P117" i="12" s="1"/>
  <c r="E118" i="12"/>
  <c r="G117" i="12"/>
  <c r="M82" i="12"/>
  <c r="M84" i="12" s="1"/>
  <c r="G82" i="12"/>
  <c r="E5" i="22"/>
  <c r="M5" i="22" s="1"/>
  <c r="R312" i="27"/>
  <c r="P76" i="27"/>
  <c r="Q76" i="27" s="1"/>
  <c r="R76" i="27" s="1"/>
  <c r="I23" i="12"/>
  <c r="I24" i="12"/>
  <c r="B46" i="29"/>
  <c r="K104" i="37"/>
  <c r="L104" i="37" s="1"/>
  <c r="P275" i="27"/>
  <c r="Q275" i="27" s="1"/>
  <c r="R275" i="27" s="1"/>
  <c r="N126" i="12"/>
  <c r="O126" i="12" s="1"/>
  <c r="P126" i="12" s="1"/>
  <c r="N129" i="12"/>
  <c r="O129" i="12" s="1"/>
  <c r="P129" i="12" s="1"/>
  <c r="N127" i="12"/>
  <c r="O127" i="12" s="1"/>
  <c r="C25" i="16"/>
  <c r="J8" i="16"/>
  <c r="M8" i="16" s="1"/>
  <c r="I25" i="16" s="1"/>
  <c r="P143" i="27"/>
  <c r="Q143" i="27" s="1"/>
  <c r="R143" i="27" s="1"/>
  <c r="H35" i="12"/>
  <c r="G35" i="12"/>
  <c r="H83" i="12"/>
  <c r="P83" i="12" s="1"/>
  <c r="G83" i="12"/>
  <c r="G9" i="8"/>
  <c r="Q7" i="15"/>
  <c r="E15" i="8"/>
  <c r="E13" i="8"/>
  <c r="E10" i="8"/>
  <c r="E25" i="8"/>
  <c r="E12" i="8"/>
  <c r="E7" i="8"/>
  <c r="E20" i="8"/>
  <c r="E19" i="8"/>
  <c r="E11" i="8"/>
  <c r="E16" i="8"/>
  <c r="E5" i="8"/>
  <c r="P189" i="27"/>
  <c r="Q189" i="27"/>
  <c r="R189" i="27" s="1"/>
  <c r="P10" i="15"/>
  <c r="P8" i="15"/>
  <c r="Q75" i="27"/>
  <c r="R75" i="27" s="1"/>
  <c r="E8" i="22"/>
  <c r="H61" i="36"/>
  <c r="H65" i="36" s="1"/>
  <c r="N151" i="12"/>
  <c r="O151" i="12" s="1"/>
  <c r="P151" i="12" s="1"/>
  <c r="N149" i="12"/>
  <c r="O149" i="12" s="1"/>
  <c r="P149" i="12" s="1"/>
  <c r="Q225" i="27"/>
  <c r="R225" i="27" s="1"/>
  <c r="P225" i="27"/>
  <c r="E17" i="22"/>
  <c r="M17" i="22" s="1"/>
  <c r="C24" i="16"/>
  <c r="E24" i="16" s="1"/>
  <c r="G24" i="16" s="1"/>
  <c r="K24" i="16" s="1"/>
  <c r="J6" i="16"/>
  <c r="M6" i="16" s="1"/>
  <c r="I23" i="16" s="1"/>
  <c r="C23" i="16"/>
  <c r="E23" i="16" s="1"/>
  <c r="G23" i="16" s="1"/>
  <c r="K23" i="16" s="1"/>
  <c r="D22" i="38"/>
  <c r="D25" i="38" s="1"/>
  <c r="D23" i="38"/>
  <c r="Q291" i="27"/>
  <c r="R291" i="27" s="1"/>
  <c r="P291" i="27"/>
  <c r="P97" i="27"/>
  <c r="Q97" i="27"/>
  <c r="R97" i="27" s="1"/>
  <c r="J96" i="37"/>
  <c r="J69" i="37"/>
  <c r="K61" i="37" s="1"/>
  <c r="L61" i="37" s="1"/>
  <c r="E4" i="22"/>
  <c r="M4" i="22" s="1"/>
  <c r="K19" i="8"/>
  <c r="P11" i="15"/>
  <c r="J25" i="8"/>
  <c r="M21" i="4"/>
  <c r="P287" i="27"/>
  <c r="Q287" i="27" s="1"/>
  <c r="R287" i="27" s="1"/>
  <c r="K11" i="16"/>
  <c r="N11" i="16" s="1"/>
  <c r="J28" i="16" s="1"/>
  <c r="D28" i="16"/>
  <c r="K173" i="27"/>
  <c r="N173" i="27"/>
  <c r="G173" i="27"/>
  <c r="Q96" i="27"/>
  <c r="R96" i="27" s="1"/>
  <c r="Q70" i="27"/>
  <c r="R70" i="27" s="1"/>
  <c r="P70" i="27"/>
  <c r="B86" i="29"/>
  <c r="B87" i="29" s="1"/>
  <c r="T11" i="38"/>
  <c r="D61" i="36"/>
  <c r="D65" i="36" s="1"/>
  <c r="H11" i="22"/>
  <c r="I11" i="22" s="1"/>
  <c r="H15" i="22"/>
  <c r="I15" i="22" s="1"/>
  <c r="H10" i="22"/>
  <c r="I10" i="22" s="1"/>
  <c r="I19" i="22" s="1"/>
  <c r="O19" i="22" s="1"/>
  <c r="F69" i="37"/>
  <c r="K106" i="37"/>
  <c r="L106" i="37" s="1"/>
  <c r="K15" i="37"/>
  <c r="L15" i="37" s="1"/>
  <c r="K46" i="37"/>
  <c r="L46" i="37" s="1"/>
  <c r="F96" i="37"/>
  <c r="F111" i="37"/>
  <c r="N12" i="8"/>
  <c r="M107" i="12"/>
  <c r="E54" i="7"/>
  <c r="F54" i="7" s="1"/>
  <c r="E80" i="7"/>
  <c r="F80" i="7" s="1"/>
  <c r="F88" i="7" s="1"/>
  <c r="R43" i="27"/>
  <c r="P284" i="27"/>
  <c r="Q284" i="27" s="1"/>
  <c r="R284" i="27" s="1"/>
  <c r="Q129" i="27"/>
  <c r="R129" i="27" s="1"/>
  <c r="H96" i="12"/>
  <c r="P96" i="12" s="1"/>
  <c r="I96" i="12"/>
  <c r="M48" i="12"/>
  <c r="N48" i="12" s="1"/>
  <c r="O48" i="12" s="1"/>
  <c r="P48" i="12" s="1"/>
  <c r="G48" i="12"/>
  <c r="F25" i="8"/>
  <c r="F14" i="8"/>
  <c r="F15" i="8"/>
  <c r="E130" i="12"/>
  <c r="H127" i="12"/>
  <c r="G93" i="12"/>
  <c r="M93" i="12"/>
  <c r="N93" i="12" s="1"/>
  <c r="O93" i="12" s="1"/>
  <c r="P93" i="12" s="1"/>
  <c r="M138" i="12"/>
  <c r="N138" i="12" s="1"/>
  <c r="O138" i="12" s="1"/>
  <c r="P138" i="12" s="1"/>
  <c r="G138" i="12"/>
  <c r="J34" i="37"/>
  <c r="N84" i="27"/>
  <c r="P7" i="15"/>
  <c r="E95" i="7"/>
  <c r="F95" i="7" s="1"/>
  <c r="H95" i="7" s="1"/>
  <c r="P12" i="15"/>
  <c r="J84" i="37"/>
  <c r="N82" i="12"/>
  <c r="O82" i="12" s="1"/>
  <c r="P82" i="12" s="1"/>
  <c r="H150" i="12"/>
  <c r="P150" i="12" s="1"/>
  <c r="I150" i="12"/>
  <c r="K102" i="37"/>
  <c r="L102" i="37" s="1"/>
  <c r="L6" i="4"/>
  <c r="Q93" i="27"/>
  <c r="R93" i="27" s="1"/>
  <c r="G114" i="36"/>
  <c r="O100" i="36" s="1"/>
  <c r="P309" i="27"/>
  <c r="Q309" i="27" s="1"/>
  <c r="R309" i="27" s="1"/>
  <c r="H92" i="12"/>
  <c r="P92" i="12" s="1"/>
  <c r="I92" i="12"/>
  <c r="I97" i="12" s="1"/>
  <c r="Q140" i="27"/>
  <c r="R140" i="27" s="1"/>
  <c r="G161" i="12"/>
  <c r="O161" i="12"/>
  <c r="P161" i="12" s="1"/>
  <c r="K17" i="37"/>
  <c r="L17" i="37" s="1"/>
  <c r="N60" i="12"/>
  <c r="O60" i="12" s="1"/>
  <c r="P60" i="12" s="1"/>
  <c r="E41" i="7"/>
  <c r="F41" i="7" s="1"/>
  <c r="F46" i="7" s="1"/>
  <c r="B45" i="29"/>
  <c r="L7" i="4" s="1"/>
  <c r="C62" i="15"/>
  <c r="Q8" i="15" s="1"/>
  <c r="Q139" i="27"/>
  <c r="R139" i="27" s="1"/>
  <c r="T324" i="27"/>
  <c r="H115" i="12"/>
  <c r="P115" i="12" s="1"/>
  <c r="I115" i="12"/>
  <c r="N62" i="12"/>
  <c r="O62" i="12" s="1"/>
  <c r="P62" i="12" s="1"/>
  <c r="C17" i="38"/>
  <c r="H59" i="12"/>
  <c r="P59" i="12" s="1"/>
  <c r="M14" i="4"/>
  <c r="G58" i="12"/>
  <c r="G70" i="12"/>
  <c r="H91" i="12"/>
  <c r="P91" i="12" s="1"/>
  <c r="D55" i="7"/>
  <c r="D69" i="7"/>
  <c r="F69" i="7" s="1"/>
  <c r="E75" i="12"/>
  <c r="L67" i="27" l="1"/>
  <c r="T67" i="27" s="1"/>
  <c r="L228" i="27"/>
  <c r="T228" i="27" s="1"/>
  <c r="L120" i="27"/>
  <c r="T120" i="27" s="1"/>
  <c r="L24" i="27"/>
  <c r="T24" i="27" s="1"/>
  <c r="L240" i="27"/>
  <c r="T240" i="27" s="1"/>
  <c r="L309" i="27"/>
  <c r="L112" i="27"/>
  <c r="T112" i="27" s="1"/>
  <c r="L232" i="27"/>
  <c r="T232" i="27" s="1"/>
  <c r="L225" i="27"/>
  <c r="L117" i="27"/>
  <c r="T117" i="27" s="1"/>
  <c r="L135" i="27"/>
  <c r="T135" i="27" s="1"/>
  <c r="L121" i="27"/>
  <c r="T121" i="27" s="1"/>
  <c r="L99" i="27"/>
  <c r="T99" i="27" s="1"/>
  <c r="L69" i="27"/>
  <c r="L102" i="27"/>
  <c r="L52" i="27"/>
  <c r="T52" i="27" s="1"/>
  <c r="L125" i="27"/>
  <c r="L17" i="27"/>
  <c r="T17" i="27" s="1"/>
  <c r="L128" i="27"/>
  <c r="T128" i="27" s="1"/>
  <c r="L56" i="27"/>
  <c r="T56" i="27" s="1"/>
  <c r="L169" i="27"/>
  <c r="T169" i="27" s="1"/>
  <c r="L220" i="27"/>
  <c r="L259" i="27"/>
  <c r="L187" i="27"/>
  <c r="T187" i="27" s="1"/>
  <c r="L131" i="27"/>
  <c r="L123" i="27"/>
  <c r="L158" i="27"/>
  <c r="T158" i="27" s="1"/>
  <c r="L34" i="27"/>
  <c r="T34" i="27" s="1"/>
  <c r="L126" i="27"/>
  <c r="T126" i="27" s="1"/>
  <c r="L153" i="27"/>
  <c r="T153" i="27" s="1"/>
  <c r="L87" i="27"/>
  <c r="L94" i="27"/>
  <c r="L161" i="27"/>
  <c r="L103" i="27"/>
  <c r="T103" i="27" s="1"/>
  <c r="L129" i="27"/>
  <c r="L229" i="27"/>
  <c r="T229" i="27" s="1"/>
  <c r="L150" i="27"/>
  <c r="T150" i="27" s="1"/>
  <c r="L35" i="27"/>
  <c r="T35" i="27" s="1"/>
  <c r="L91" i="4" s="1"/>
  <c r="L319" i="27"/>
  <c r="T319" i="27" s="1"/>
  <c r="L57" i="27"/>
  <c r="T57" i="27" s="1"/>
  <c r="L160" i="27"/>
  <c r="T160" i="27" s="1"/>
  <c r="L80" i="27"/>
  <c r="T80" i="27" s="1"/>
  <c r="L49" i="27"/>
  <c r="T49" i="27" s="1"/>
  <c r="L217" i="27"/>
  <c r="T217" i="27" s="1"/>
  <c r="L32" i="27"/>
  <c r="L282" i="27"/>
  <c r="T282" i="27" s="1"/>
  <c r="L14" i="27"/>
  <c r="T14" i="27" s="1"/>
  <c r="L233" i="27"/>
  <c r="T233" i="27" s="1"/>
  <c r="L93" i="27"/>
  <c r="L43" i="27"/>
  <c r="L206" i="27"/>
  <c r="L216" i="27"/>
  <c r="L274" i="27"/>
  <c r="T274" i="27" s="1"/>
  <c r="L118" i="27"/>
  <c r="T118" i="27" s="1"/>
  <c r="L300" i="27"/>
  <c r="T300" i="27" s="1"/>
  <c r="L20" i="27"/>
  <c r="T20" i="27" s="1"/>
  <c r="L186" i="27"/>
  <c r="T186" i="27" s="1"/>
  <c r="L12" i="27"/>
  <c r="L175" i="27"/>
  <c r="T175" i="27" s="1"/>
  <c r="L105" i="27"/>
  <c r="T105" i="27" s="1"/>
  <c r="L305" i="27"/>
  <c r="T305" i="27" s="1"/>
  <c r="L132" i="27"/>
  <c r="T132" i="27" s="1"/>
  <c r="L294" i="27"/>
  <c r="T294" i="27" s="1"/>
  <c r="L171" i="27"/>
  <c r="T171" i="27" s="1"/>
  <c r="L74" i="27"/>
  <c r="L16" i="27"/>
  <c r="L284" i="27"/>
  <c r="L260" i="27"/>
  <c r="L287" i="27"/>
  <c r="L182" i="27"/>
  <c r="T182" i="27" s="1"/>
  <c r="L296" i="27"/>
  <c r="T296" i="27" s="1"/>
  <c r="L163" i="27"/>
  <c r="T163" i="27" s="1"/>
  <c r="L321" i="27"/>
  <c r="L314" i="27"/>
  <c r="T314" i="27" s="1"/>
  <c r="L265" i="27"/>
  <c r="T265" i="27" s="1"/>
  <c r="L167" i="27"/>
  <c r="T167" i="27" s="1"/>
  <c r="L97" i="27"/>
  <c r="L188" i="27"/>
  <c r="T188" i="27" s="1"/>
  <c r="L316" i="27"/>
  <c r="T316" i="27" s="1"/>
  <c r="L104" i="27"/>
  <c r="T104" i="27" s="1"/>
  <c r="L262" i="27"/>
  <c r="T262" i="27" s="1"/>
  <c r="L211" i="27"/>
  <c r="T211" i="27" s="1"/>
  <c r="L301" i="27"/>
  <c r="T301" i="27" s="1"/>
  <c r="L246" i="27"/>
  <c r="T246" i="27" s="1"/>
  <c r="L270" i="27"/>
  <c r="T270" i="27" s="1"/>
  <c r="L36" i="27"/>
  <c r="L152" i="27"/>
  <c r="T152" i="27" s="1"/>
  <c r="L236" i="27"/>
  <c r="T236" i="27" s="1"/>
  <c r="L195" i="27"/>
  <c r="T195" i="27" s="1"/>
  <c r="L60" i="27"/>
  <c r="T60" i="27" s="1"/>
  <c r="L101" i="27"/>
  <c r="T101" i="27" s="1"/>
  <c r="L155" i="27"/>
  <c r="T155" i="27" s="1"/>
  <c r="L61" i="27"/>
  <c r="T61" i="27" s="1"/>
  <c r="L130" i="27"/>
  <c r="L143" i="27"/>
  <c r="L269" i="27"/>
  <c r="T269" i="27" s="1"/>
  <c r="L227" i="27"/>
  <c r="T227" i="27" s="1"/>
  <c r="L15" i="27"/>
  <c r="T15" i="27" s="1"/>
  <c r="L23" i="27"/>
  <c r="T23" i="27" s="1"/>
  <c r="L231" i="27"/>
  <c r="T231" i="27" s="1"/>
  <c r="L192" i="27"/>
  <c r="T192" i="27" s="1"/>
  <c r="L281" i="27"/>
  <c r="L245" i="27"/>
  <c r="T245" i="27" s="1"/>
  <c r="L164" i="27"/>
  <c r="L47" i="27"/>
  <c r="T47" i="27" s="1"/>
  <c r="L306" i="27"/>
  <c r="T306" i="27" s="1"/>
  <c r="L256" i="27"/>
  <c r="T256" i="27" s="1"/>
  <c r="L230" i="27"/>
  <c r="L91" i="27"/>
  <c r="T91" i="27" s="1"/>
  <c r="L196" i="27"/>
  <c r="T196" i="27" s="1"/>
  <c r="L268" i="27"/>
  <c r="L308" i="27"/>
  <c r="T308" i="27" s="1"/>
  <c r="L322" i="27"/>
  <c r="T322" i="27" s="1"/>
  <c r="L258" i="27"/>
  <c r="T258" i="27" s="1"/>
  <c r="L83" i="27"/>
  <c r="L77" i="27"/>
  <c r="L189" i="27"/>
  <c r="L89" i="27"/>
  <c r="L30" i="27"/>
  <c r="L275" i="27"/>
  <c r="L210" i="27"/>
  <c r="T210" i="27" s="1"/>
  <c r="L58" i="27"/>
  <c r="T58" i="27" s="1"/>
  <c r="L64" i="27"/>
  <c r="T64" i="27" s="1"/>
  <c r="L178" i="27"/>
  <c r="T178" i="27" s="1"/>
  <c r="L119" i="27"/>
  <c r="T119" i="27" s="1"/>
  <c r="L292" i="27"/>
  <c r="T292" i="27" s="1"/>
  <c r="L114" i="27"/>
  <c r="L106" i="27"/>
  <c r="T106" i="27" s="1"/>
  <c r="L53" i="27"/>
  <c r="T53" i="27" s="1"/>
  <c r="L276" i="27"/>
  <c r="L203" i="27"/>
  <c r="T203" i="27" s="1"/>
  <c r="L323" i="27"/>
  <c r="T323" i="27" s="1"/>
  <c r="L315" i="27"/>
  <c r="T315" i="27" s="1"/>
  <c r="L109" i="27"/>
  <c r="T109" i="27" s="1"/>
  <c r="L183" i="27"/>
  <c r="T183" i="27" s="1"/>
  <c r="L113" i="27"/>
  <c r="T113" i="27" s="1"/>
  <c r="L261" i="27"/>
  <c r="T261" i="27" s="1"/>
  <c r="L299" i="27"/>
  <c r="T299" i="27" s="1"/>
  <c r="L162" i="27"/>
  <c r="T162" i="27" s="1"/>
  <c r="L133" i="27"/>
  <c r="T133" i="27" s="1"/>
  <c r="L297" i="27"/>
  <c r="T297" i="27" s="1"/>
  <c r="L136" i="27"/>
  <c r="T136" i="27" s="1"/>
  <c r="L71" i="27"/>
  <c r="T71" i="27" s="1"/>
  <c r="L59" i="27"/>
  <c r="T59" i="27" s="1"/>
  <c r="L25" i="27"/>
  <c r="T25" i="27" s="1"/>
  <c r="L27" i="27"/>
  <c r="T27" i="27" s="1"/>
  <c r="L90" i="27"/>
  <c r="T90" i="27" s="1"/>
  <c r="L243" i="27"/>
  <c r="T243" i="27" s="1"/>
  <c r="L318" i="27"/>
  <c r="T318" i="27" s="1"/>
  <c r="L223" i="27"/>
  <c r="T223" i="27" s="1"/>
  <c r="L303" i="27"/>
  <c r="T303" i="27" s="1"/>
  <c r="L31" i="27"/>
  <c r="L157" i="27"/>
  <c r="T157" i="27" s="1"/>
  <c r="L283" i="27"/>
  <c r="T283" i="27" s="1"/>
  <c r="L76" i="27"/>
  <c r="L78" i="27"/>
  <c r="T78" i="27" s="1"/>
  <c r="L248" i="27"/>
  <c r="T248" i="27" s="1"/>
  <c r="L312" i="27"/>
  <c r="L307" i="27"/>
  <c r="L44" i="27"/>
  <c r="L156" i="27"/>
  <c r="T156" i="27" s="1"/>
  <c r="L252" i="27"/>
  <c r="T252" i="27" s="1"/>
  <c r="L147" i="27"/>
  <c r="L273" i="27"/>
  <c r="L55" i="27"/>
  <c r="L111" i="27"/>
  <c r="T111" i="27" s="1"/>
  <c r="L100" i="27"/>
  <c r="L310" i="27"/>
  <c r="T310" i="27" s="1"/>
  <c r="L110" i="27"/>
  <c r="L238" i="27"/>
  <c r="T238" i="27" s="1"/>
  <c r="L278" i="27"/>
  <c r="L138" i="27"/>
  <c r="L179" i="27"/>
  <c r="T179" i="27" s="1"/>
  <c r="L159" i="27"/>
  <c r="L50" i="27"/>
  <c r="T50" i="27" s="1"/>
  <c r="L45" i="27"/>
  <c r="L63" i="27"/>
  <c r="T63" i="27" s="1"/>
  <c r="L254" i="27"/>
  <c r="L134" i="27"/>
  <c r="T134" i="27" s="1"/>
  <c r="L279" i="27"/>
  <c r="T279" i="27" s="1"/>
  <c r="L48" i="27"/>
  <c r="T48" i="27" s="1"/>
  <c r="L88" i="27"/>
  <c r="T88" i="27" s="1"/>
  <c r="L263" i="27"/>
  <c r="T263" i="27" s="1"/>
  <c r="L26" i="27"/>
  <c r="L255" i="27"/>
  <c r="T255" i="27" s="1"/>
  <c r="L85" i="27"/>
  <c r="T85" i="27" s="1"/>
  <c r="L304" i="27"/>
  <c r="T304" i="27" s="1"/>
  <c r="L320" i="27"/>
  <c r="T320" i="27" s="1"/>
  <c r="L177" i="27"/>
  <c r="T177" i="27" s="1"/>
  <c r="L174" i="27"/>
  <c r="L151" i="27"/>
  <c r="T151" i="27" s="1"/>
  <c r="L290" i="27"/>
  <c r="T290" i="27" s="1"/>
  <c r="L62" i="27"/>
  <c r="T62" i="27" s="1"/>
  <c r="L185" i="27"/>
  <c r="L250" i="27"/>
  <c r="L253" i="27"/>
  <c r="L264" i="27"/>
  <c r="T264" i="27" s="1"/>
  <c r="L172" i="27"/>
  <c r="L327" i="27"/>
  <c r="T327" i="27" s="1"/>
  <c r="L84" i="27"/>
  <c r="L286" i="27"/>
  <c r="L165" i="27"/>
  <c r="T165" i="27" s="1"/>
  <c r="L209" i="27"/>
  <c r="L33" i="27"/>
  <c r="L22" i="27"/>
  <c r="T22" i="27" s="1"/>
  <c r="L201" i="27"/>
  <c r="L81" i="27"/>
  <c r="T81" i="27" s="1"/>
  <c r="L325" i="27"/>
  <c r="L137" i="27"/>
  <c r="L224" i="27"/>
  <c r="L82" i="27"/>
  <c r="L288" i="27"/>
  <c r="T288" i="27" s="1"/>
  <c r="L127" i="27"/>
  <c r="T127" i="27" s="1"/>
  <c r="L115" i="27"/>
  <c r="T115" i="27" s="1"/>
  <c r="L37" i="27"/>
  <c r="T37" i="27" s="1"/>
  <c r="L197" i="27"/>
  <c r="T197" i="27" s="1"/>
  <c r="L148" i="27"/>
  <c r="T148" i="27" s="1"/>
  <c r="L40" i="27"/>
  <c r="T40" i="27" s="1"/>
  <c r="L193" i="27"/>
  <c r="T193" i="27" s="1"/>
  <c r="L277" i="27"/>
  <c r="L218" i="27"/>
  <c r="L176" i="27"/>
  <c r="T176" i="27" s="1"/>
  <c r="L191" i="27"/>
  <c r="T191" i="27" s="1"/>
  <c r="L73" i="27"/>
  <c r="T73" i="27" s="1"/>
  <c r="L208" i="27"/>
  <c r="L42" i="27"/>
  <c r="L65" i="27"/>
  <c r="T65" i="27" s="1"/>
  <c r="L326" i="27"/>
  <c r="L214" i="27"/>
  <c r="T214" i="27" s="1"/>
  <c r="L139" i="27"/>
  <c r="L51" i="27"/>
  <c r="T51" i="27" s="1"/>
  <c r="L215" i="27"/>
  <c r="L146" i="27"/>
  <c r="L72" i="27"/>
  <c r="T72" i="27" s="1"/>
  <c r="L96" i="27"/>
  <c r="L144" i="27"/>
  <c r="L190" i="27"/>
  <c r="L199" i="27"/>
  <c r="L28" i="27"/>
  <c r="L19" i="27"/>
  <c r="L219" i="27"/>
  <c r="T219" i="27" s="1"/>
  <c r="L198" i="27"/>
  <c r="L122" i="27"/>
  <c r="T122" i="27" s="1"/>
  <c r="L247" i="27"/>
  <c r="L317" i="27"/>
  <c r="T317" i="27" s="1"/>
  <c r="L204" i="27"/>
  <c r="L29" i="27"/>
  <c r="T29" i="27" s="1"/>
  <c r="L107" i="27"/>
  <c r="T107" i="27" s="1"/>
  <c r="L21" i="27"/>
  <c r="T21" i="27" s="1"/>
  <c r="L200" i="27"/>
  <c r="L222" i="27"/>
  <c r="T222" i="27" s="1"/>
  <c r="L249" i="27"/>
  <c r="T249" i="27" s="1"/>
  <c r="L313" i="27"/>
  <c r="T313" i="27" s="1"/>
  <c r="L141" i="27"/>
  <c r="L46" i="27"/>
  <c r="T46" i="27" s="1"/>
  <c r="L242" i="27"/>
  <c r="T242" i="27" s="1"/>
  <c r="L68" i="27"/>
  <c r="L41" i="27"/>
  <c r="T41" i="27" s="1"/>
  <c r="L180" i="27"/>
  <c r="T180" i="27" s="1"/>
  <c r="L241" i="27"/>
  <c r="T241" i="27" s="1"/>
  <c r="L272" i="27"/>
  <c r="T272" i="27" s="1"/>
  <c r="L289" i="27"/>
  <c r="T289" i="27" s="1"/>
  <c r="L239" i="27"/>
  <c r="T239" i="27" s="1"/>
  <c r="L13" i="27"/>
  <c r="T13" i="27" s="1"/>
  <c r="L149" i="27"/>
  <c r="L311" i="27"/>
  <c r="T311" i="27" s="1"/>
  <c r="L234" i="27"/>
  <c r="T234" i="27" s="1"/>
  <c r="L293" i="27"/>
  <c r="T293" i="27" s="1"/>
  <c r="L95" i="27"/>
  <c r="L266" i="27"/>
  <c r="T266" i="27" s="1"/>
  <c r="L181" i="27"/>
  <c r="T181" i="27" s="1"/>
  <c r="L298" i="27"/>
  <c r="T298" i="27" s="1"/>
  <c r="U298" i="27" s="1"/>
  <c r="L98" i="4" s="1"/>
  <c r="L194" i="27"/>
  <c r="T194" i="27" s="1"/>
  <c r="L280" i="27"/>
  <c r="L244" i="27"/>
  <c r="L170" i="27"/>
  <c r="T170" i="27" s="1"/>
  <c r="L116" i="27"/>
  <c r="L291" i="27"/>
  <c r="L212" i="27"/>
  <c r="T212" i="27" s="1"/>
  <c r="L257" i="27"/>
  <c r="T257" i="27" s="1"/>
  <c r="L202" i="27"/>
  <c r="L75" i="27"/>
  <c r="L295" i="27"/>
  <c r="T295" i="27" s="1"/>
  <c r="L79" i="27"/>
  <c r="T79" i="27" s="1"/>
  <c r="L302" i="27"/>
  <c r="T302" i="27" s="1"/>
  <c r="L39" i="27"/>
  <c r="T39" i="27" s="1"/>
  <c r="L205" i="27"/>
  <c r="T205" i="27" s="1"/>
  <c r="L66" i="27"/>
  <c r="L251" i="27"/>
  <c r="T251" i="27" s="1"/>
  <c r="L86" i="27"/>
  <c r="T86" i="27" s="1"/>
  <c r="L38" i="27"/>
  <c r="T38" i="27" s="1"/>
  <c r="L145" i="27"/>
  <c r="L235" i="27"/>
  <c r="L70" i="27"/>
  <c r="L166" i="27"/>
  <c r="T166" i="27" s="1"/>
  <c r="L221" i="27"/>
  <c r="T221" i="27" s="1"/>
  <c r="L184" i="27"/>
  <c r="L54" i="27"/>
  <c r="T54" i="27" s="1"/>
  <c r="L124" i="27"/>
  <c r="L18" i="27"/>
  <c r="T18" i="27" s="1"/>
  <c r="L108" i="27"/>
  <c r="T108" i="27" s="1"/>
  <c r="L140" i="27"/>
  <c r="L267" i="27"/>
  <c r="T267" i="27" s="1"/>
  <c r="L142" i="27"/>
  <c r="L207" i="27"/>
  <c r="J4" i="32"/>
  <c r="L4" i="32" s="1"/>
  <c r="J42" i="32"/>
  <c r="J5" i="32"/>
  <c r="L5" i="32" s="1"/>
  <c r="J31" i="32"/>
  <c r="J43" i="32"/>
  <c r="J18" i="32"/>
  <c r="J35" i="32"/>
  <c r="J26" i="32"/>
  <c r="J30" i="32"/>
  <c r="L30" i="32" s="1"/>
  <c r="J34" i="32"/>
  <c r="J7" i="32"/>
  <c r="Q8" i="32" s="1"/>
  <c r="L126" i="4" s="1"/>
  <c r="J44" i="32"/>
  <c r="J9" i="32"/>
  <c r="J48" i="32"/>
  <c r="J25" i="32"/>
  <c r="L25" i="32" s="1"/>
  <c r="J33" i="32"/>
  <c r="L33" i="32" s="1"/>
  <c r="J40" i="32"/>
  <c r="J46" i="32"/>
  <c r="J47" i="32"/>
  <c r="J10" i="32"/>
  <c r="L10" i="32" s="1"/>
  <c r="J24" i="32"/>
  <c r="J41" i="32"/>
  <c r="J17" i="32"/>
  <c r="J51" i="32"/>
  <c r="J15" i="32"/>
  <c r="J8" i="32"/>
  <c r="J14" i="32"/>
  <c r="J32" i="32"/>
  <c r="J23" i="32"/>
  <c r="L23" i="32" s="1"/>
  <c r="J38" i="32"/>
  <c r="J50" i="32"/>
  <c r="J37" i="32"/>
  <c r="J11" i="32"/>
  <c r="L11" i="32" s="1"/>
  <c r="J21" i="32"/>
  <c r="L21" i="32" s="1"/>
  <c r="J36" i="32"/>
  <c r="J28" i="32"/>
  <c r="J49" i="32"/>
  <c r="L49" i="32" s="1"/>
  <c r="J13" i="32"/>
  <c r="J20" i="32"/>
  <c r="J29" i="32"/>
  <c r="L29" i="32" s="1"/>
  <c r="J12" i="32"/>
  <c r="L12" i="32" s="1"/>
  <c r="J27" i="32"/>
  <c r="J45" i="32"/>
  <c r="J22" i="32"/>
  <c r="L22" i="32" s="1"/>
  <c r="J39" i="32"/>
  <c r="J16" i="32"/>
  <c r="J6" i="32"/>
  <c r="J19" i="32"/>
  <c r="L128" i="4"/>
  <c r="Q128" i="4" s="1"/>
  <c r="N10" i="22"/>
  <c r="O10" i="22" s="1"/>
  <c r="N12" i="22"/>
  <c r="O12" i="22" s="1"/>
  <c r="L131" i="4" s="1"/>
  <c r="N7" i="22"/>
  <c r="O7" i="22" s="1"/>
  <c r="N8" i="22"/>
  <c r="O8" i="22" s="1"/>
  <c r="L129" i="4" s="1"/>
  <c r="N4" i="22"/>
  <c r="O4" i="22" s="1"/>
  <c r="L132" i="4" s="1"/>
  <c r="N11" i="22"/>
  <c r="O11" i="22" s="1"/>
  <c r="L130" i="4" s="1"/>
  <c r="N17" i="22"/>
  <c r="O17" i="22" s="1"/>
  <c r="L134" i="4" s="1"/>
  <c r="N5" i="22"/>
  <c r="O5" i="22" s="1"/>
  <c r="L133" i="4" s="1"/>
  <c r="M50" i="12"/>
  <c r="P21" i="4"/>
  <c r="K24" i="37"/>
  <c r="L24" i="37" s="1"/>
  <c r="K31" i="37"/>
  <c r="L31" i="37" s="1"/>
  <c r="K27" i="37"/>
  <c r="L27" i="37" s="1"/>
  <c r="K25" i="37"/>
  <c r="L25" i="37" s="1"/>
  <c r="K30" i="37"/>
  <c r="L30" i="37" s="1"/>
  <c r="K28" i="37"/>
  <c r="L28" i="37" s="1"/>
  <c r="K26" i="37"/>
  <c r="L26" i="37" s="1"/>
  <c r="K33" i="37"/>
  <c r="L33" i="37" s="1"/>
  <c r="K29" i="37"/>
  <c r="L29" i="37" s="1"/>
  <c r="K25" i="8"/>
  <c r="M25" i="8"/>
  <c r="R187" i="4"/>
  <c r="O187" i="4"/>
  <c r="L93" i="36"/>
  <c r="N93" i="36"/>
  <c r="O146" i="4"/>
  <c r="U146" i="4"/>
  <c r="P14" i="4"/>
  <c r="O14" i="4"/>
  <c r="M26" i="12"/>
  <c r="I26" i="12"/>
  <c r="I129" i="12"/>
  <c r="I128" i="12"/>
  <c r="I126" i="12"/>
  <c r="K94" i="37"/>
  <c r="L94" i="37" s="1"/>
  <c r="K91" i="37"/>
  <c r="L91" i="37" s="1"/>
  <c r="K90" i="37"/>
  <c r="L90" i="37" s="1"/>
  <c r="K95" i="37"/>
  <c r="L95" i="37" s="1"/>
  <c r="K89" i="37"/>
  <c r="L89" i="37" s="1"/>
  <c r="K92" i="37"/>
  <c r="L92" i="37" s="1"/>
  <c r="K93" i="37"/>
  <c r="L93" i="37" s="1"/>
  <c r="P276" i="27"/>
  <c r="Q276" i="27"/>
  <c r="R276" i="27" s="1"/>
  <c r="N276" i="27"/>
  <c r="O22" i="4"/>
  <c r="X22" i="4"/>
  <c r="X16" i="4"/>
  <c r="O16" i="4"/>
  <c r="O82" i="36"/>
  <c r="L166" i="4" s="1"/>
  <c r="O166" i="4" s="1"/>
  <c r="M82" i="36"/>
  <c r="O83" i="36"/>
  <c r="L167" i="4" s="1"/>
  <c r="O167" i="4" s="1"/>
  <c r="M83" i="36"/>
  <c r="D27" i="15"/>
  <c r="F27" i="15" s="1"/>
  <c r="R11" i="15"/>
  <c r="C27" i="15"/>
  <c r="E27" i="15" s="1"/>
  <c r="K62" i="37"/>
  <c r="L62" i="37" s="1"/>
  <c r="K63" i="37"/>
  <c r="L63" i="37" s="1"/>
  <c r="K66" i="37"/>
  <c r="L66" i="37" s="1"/>
  <c r="K68" i="37"/>
  <c r="L68" i="37" s="1"/>
  <c r="K65" i="37"/>
  <c r="L65" i="37" s="1"/>
  <c r="K67" i="37"/>
  <c r="L67" i="37" s="1"/>
  <c r="K60" i="37"/>
  <c r="L60" i="37" s="1"/>
  <c r="K59" i="37"/>
  <c r="L59" i="37" s="1"/>
  <c r="M85" i="36"/>
  <c r="O85" i="36"/>
  <c r="L169" i="4" s="1"/>
  <c r="O169" i="4" s="1"/>
  <c r="N84" i="36"/>
  <c r="L84" i="36"/>
  <c r="F110" i="36"/>
  <c r="I110" i="36" s="1"/>
  <c r="J110" i="36" s="1"/>
  <c r="L188" i="4" s="1"/>
  <c r="O6" i="4"/>
  <c r="W6" i="4"/>
  <c r="Q12" i="15"/>
  <c r="R12" i="15" s="1"/>
  <c r="Q10" i="15"/>
  <c r="Q9" i="15"/>
  <c r="O173" i="27"/>
  <c r="M140" i="12"/>
  <c r="P127" i="12"/>
  <c r="P35" i="12"/>
  <c r="K32" i="16"/>
  <c r="K29" i="16"/>
  <c r="O137" i="4"/>
  <c r="U137" i="4"/>
  <c r="L173" i="27"/>
  <c r="K64" i="37"/>
  <c r="L64" i="37" s="1"/>
  <c r="L18" i="4"/>
  <c r="N7" i="8"/>
  <c r="I159" i="12"/>
  <c r="I161" i="12"/>
  <c r="F115" i="37"/>
  <c r="F119" i="37" s="1"/>
  <c r="N79" i="36"/>
  <c r="L79" i="36"/>
  <c r="L91" i="36" s="1"/>
  <c r="L95" i="36" s="1"/>
  <c r="F105" i="36"/>
  <c r="I105" i="36" s="1"/>
  <c r="J105" i="36" s="1"/>
  <c r="L183" i="4" s="1"/>
  <c r="W7" i="4"/>
  <c r="O7" i="4"/>
  <c r="I152" i="12"/>
  <c r="M152" i="12"/>
  <c r="I70" i="12"/>
  <c r="I74" i="12"/>
  <c r="I72" i="12"/>
  <c r="I73" i="12"/>
  <c r="I71" i="12"/>
  <c r="E47" i="7"/>
  <c r="E46" i="7"/>
  <c r="C6" i="7" s="1"/>
  <c r="E48" i="7"/>
  <c r="E6" i="7" s="1"/>
  <c r="M97" i="12"/>
  <c r="I117" i="12"/>
  <c r="I118" i="12" s="1"/>
  <c r="I116" i="12"/>
  <c r="O141" i="4"/>
  <c r="U141" i="4"/>
  <c r="O86" i="36"/>
  <c r="L170" i="4" s="1"/>
  <c r="O170" i="4" s="1"/>
  <c r="M86" i="36"/>
  <c r="F25" i="16"/>
  <c r="H25" i="16" s="1"/>
  <c r="L25" i="16" s="1"/>
  <c r="F24" i="16"/>
  <c r="H24" i="16" s="1"/>
  <c r="L24" i="16" s="1"/>
  <c r="F22" i="16"/>
  <c r="H22" i="16" s="1"/>
  <c r="L22" i="16" s="1"/>
  <c r="F23" i="16"/>
  <c r="H23" i="16" s="1"/>
  <c r="L23" i="16" s="1"/>
  <c r="F27" i="16"/>
  <c r="H27" i="16" s="1"/>
  <c r="L27" i="16" s="1"/>
  <c r="F26" i="16"/>
  <c r="H26" i="16" s="1"/>
  <c r="L26" i="16" s="1"/>
  <c r="F28" i="16"/>
  <c r="H28" i="16" s="1"/>
  <c r="L28" i="16" s="1"/>
  <c r="N94" i="36"/>
  <c r="L94" i="36"/>
  <c r="O87" i="36"/>
  <c r="L171" i="4" s="1"/>
  <c r="O171" i="4" s="1"/>
  <c r="M87" i="36"/>
  <c r="L76" i="36"/>
  <c r="F102" i="36"/>
  <c r="I102" i="36" s="1"/>
  <c r="J102" i="36" s="1"/>
  <c r="L180" i="4" s="1"/>
  <c r="N76" i="36"/>
  <c r="K75" i="37"/>
  <c r="L75" i="37" s="1"/>
  <c r="K76" i="37"/>
  <c r="L76" i="37" s="1"/>
  <c r="K83" i="37"/>
  <c r="L83" i="37" s="1"/>
  <c r="K78" i="37"/>
  <c r="L78" i="37" s="1"/>
  <c r="K81" i="37"/>
  <c r="L81" i="37" s="1"/>
  <c r="K77" i="37"/>
  <c r="L77" i="37" s="1"/>
  <c r="K80" i="37"/>
  <c r="L80" i="37" s="1"/>
  <c r="K82" i="37"/>
  <c r="L82" i="37" s="1"/>
  <c r="R8" i="15"/>
  <c r="D24" i="15"/>
  <c r="F24" i="15" s="1"/>
  <c r="C24" i="15"/>
  <c r="E24" i="15" s="1"/>
  <c r="R203" i="4"/>
  <c r="O203" i="4"/>
  <c r="U150" i="4"/>
  <c r="O150" i="4"/>
  <c r="L13" i="4"/>
  <c r="X17" i="4"/>
  <c r="O17" i="4"/>
  <c r="U152" i="4"/>
  <c r="O152" i="4"/>
  <c r="O138" i="4"/>
  <c r="U138" i="4"/>
  <c r="O199" i="4"/>
  <c r="R199" i="4"/>
  <c r="L90" i="36"/>
  <c r="N90" i="36"/>
  <c r="F55" i="7"/>
  <c r="C28" i="15"/>
  <c r="E28" i="15" s="1"/>
  <c r="K79" i="37"/>
  <c r="L79" i="37" s="1"/>
  <c r="D26" i="15"/>
  <c r="F26" i="15" s="1"/>
  <c r="C26" i="15"/>
  <c r="E26" i="15" s="1"/>
  <c r="R10" i="15"/>
  <c r="M19" i="4"/>
  <c r="J9" i="8"/>
  <c r="I127" i="12"/>
  <c r="R7" i="15"/>
  <c r="D23" i="15"/>
  <c r="F23" i="15" s="1"/>
  <c r="C23" i="15"/>
  <c r="E23" i="15" s="1"/>
  <c r="K32" i="37"/>
  <c r="L32" i="37" s="1"/>
  <c r="L154" i="27"/>
  <c r="O149" i="4"/>
  <c r="U149" i="4"/>
  <c r="S207" i="4"/>
  <c r="P207" i="4"/>
  <c r="O89" i="36"/>
  <c r="L173" i="4" s="1"/>
  <c r="O173" i="4" s="1"/>
  <c r="M89" i="36"/>
  <c r="P204" i="4"/>
  <c r="R204" i="4"/>
  <c r="L178" i="4"/>
  <c r="M74" i="36"/>
  <c r="O74" i="36"/>
  <c r="O179" i="4"/>
  <c r="R179" i="4"/>
  <c r="D13" i="38"/>
  <c r="D16" i="38"/>
  <c r="C6" i="38" s="1"/>
  <c r="C39" i="38" s="1"/>
  <c r="D15" i="38"/>
  <c r="C5" i="38" s="1"/>
  <c r="C38" i="38" s="1"/>
  <c r="D14" i="38"/>
  <c r="C8" i="38" s="1"/>
  <c r="C41" i="38" s="1"/>
  <c r="P128" i="4"/>
  <c r="O128" i="4"/>
  <c r="L136" i="4"/>
  <c r="P45" i="36"/>
  <c r="P44" i="36"/>
  <c r="P46" i="36"/>
  <c r="F106" i="36"/>
  <c r="I106" i="36" s="1"/>
  <c r="J106" i="36" s="1"/>
  <c r="N80" i="36"/>
  <c r="L80" i="36"/>
  <c r="P91" i="36"/>
  <c r="P95" i="36" s="1"/>
  <c r="O75" i="36"/>
  <c r="L159" i="4" s="1"/>
  <c r="O159" i="4" s="1"/>
  <c r="M75" i="36"/>
  <c r="O190" i="4"/>
  <c r="R190" i="4"/>
  <c r="E88" i="7"/>
  <c r="C9" i="7" s="1"/>
  <c r="E89" i="7"/>
  <c r="L98" i="27"/>
  <c r="T98" i="27" s="1"/>
  <c r="O151" i="4"/>
  <c r="U151" i="4"/>
  <c r="I130" i="12" l="1"/>
  <c r="M130" i="12"/>
  <c r="T224" i="27"/>
  <c r="J126" i="12"/>
  <c r="J106" i="12"/>
  <c r="T254" i="27"/>
  <c r="V98" i="4"/>
  <c r="P98" i="4"/>
  <c r="J151" i="12"/>
  <c r="T19" i="27"/>
  <c r="J161" i="12"/>
  <c r="T45" i="27"/>
  <c r="J128" i="12"/>
  <c r="J139" i="12"/>
  <c r="L29" i="16"/>
  <c r="L32" i="16"/>
  <c r="P173" i="27"/>
  <c r="Q173" i="27"/>
  <c r="R173" i="27" s="1"/>
  <c r="S4" i="27"/>
  <c r="S5" i="27" s="1"/>
  <c r="S6" i="27" s="1"/>
  <c r="N25" i="8"/>
  <c r="L21" i="4"/>
  <c r="L32" i="32"/>
  <c r="Q7" i="32"/>
  <c r="L125" i="4" s="1"/>
  <c r="I78" i="37"/>
  <c r="I62" i="37"/>
  <c r="I104" i="37"/>
  <c r="T28" i="27"/>
  <c r="I45" i="37"/>
  <c r="I94" i="37"/>
  <c r="I24" i="37"/>
  <c r="I109" i="37"/>
  <c r="T114" i="27"/>
  <c r="J91" i="12"/>
  <c r="T268" i="27"/>
  <c r="J37" i="12"/>
  <c r="I117" i="37"/>
  <c r="T102" i="27"/>
  <c r="P126" i="4"/>
  <c r="V126" i="4"/>
  <c r="T201" i="27"/>
  <c r="J138" i="12"/>
  <c r="J127" i="12"/>
  <c r="J23" i="12"/>
  <c r="J83" i="12"/>
  <c r="T69" i="27"/>
  <c r="D28" i="15"/>
  <c r="F28" i="15" s="1"/>
  <c r="D6" i="7"/>
  <c r="L200" i="4"/>
  <c r="C25" i="15"/>
  <c r="E25" i="15" s="1"/>
  <c r="D25" i="15"/>
  <c r="F25" i="15" s="1"/>
  <c r="R9" i="15"/>
  <c r="Q133" i="4"/>
  <c r="P133" i="4"/>
  <c r="T190" i="27"/>
  <c r="I79" i="37"/>
  <c r="J36" i="12"/>
  <c r="I48" i="37"/>
  <c r="I29" i="37"/>
  <c r="I18" i="37"/>
  <c r="D17" i="38"/>
  <c r="C7" i="38"/>
  <c r="C40" i="38" s="1"/>
  <c r="I37" i="38" s="1" a="1"/>
  <c r="O13" i="4"/>
  <c r="X13" i="4"/>
  <c r="P18" i="4"/>
  <c r="X18" i="4"/>
  <c r="Q134" i="4"/>
  <c r="O134" i="4"/>
  <c r="J96" i="12"/>
  <c r="T277" i="27"/>
  <c r="T230" i="27"/>
  <c r="J49" i="12"/>
  <c r="M118" i="12"/>
  <c r="Q132" i="4"/>
  <c r="P132" i="4"/>
  <c r="J73" i="12"/>
  <c r="T12" i="27"/>
  <c r="J61" i="12"/>
  <c r="I27" i="37"/>
  <c r="T123" i="27"/>
  <c r="I46" i="37"/>
  <c r="Q129" i="4"/>
  <c r="P129" i="4"/>
  <c r="Q6" i="32"/>
  <c r="L124" i="4" s="1"/>
  <c r="J116" i="12"/>
  <c r="T184" i="27"/>
  <c r="T202" i="27"/>
  <c r="J160" i="12"/>
  <c r="T110" i="27"/>
  <c r="J24" i="12"/>
  <c r="I26" i="37"/>
  <c r="T321" i="27"/>
  <c r="T131" i="27"/>
  <c r="J48" i="12"/>
  <c r="I118" i="37"/>
  <c r="I75" i="37"/>
  <c r="I31" i="37"/>
  <c r="I93" i="37"/>
  <c r="I42" i="37"/>
  <c r="I61" i="37"/>
  <c r="I107" i="37"/>
  <c r="T16" i="27"/>
  <c r="I43" i="37"/>
  <c r="I28" i="37"/>
  <c r="I60" i="37"/>
  <c r="I95" i="37"/>
  <c r="I108" i="37"/>
  <c r="I77" i="37"/>
  <c r="G115" i="37"/>
  <c r="J115" i="37" s="1"/>
  <c r="I162" i="12"/>
  <c r="I75" i="12"/>
  <c r="M75" i="12"/>
  <c r="R188" i="4"/>
  <c r="P188" i="4"/>
  <c r="J115" i="12"/>
  <c r="I82" i="37"/>
  <c r="I66" i="37"/>
  <c r="I50" i="37"/>
  <c r="I30" i="37"/>
  <c r="Q4" i="32"/>
  <c r="L122" i="4" s="1"/>
  <c r="L6" i="32"/>
  <c r="J60" i="12"/>
  <c r="T280" i="27"/>
  <c r="J72" i="12"/>
  <c r="D9" i="7"/>
  <c r="L202" i="4"/>
  <c r="L26" i="32"/>
  <c r="Q5" i="32"/>
  <c r="L123" i="4" s="1"/>
  <c r="M80" i="36"/>
  <c r="O80" i="36"/>
  <c r="L164" i="4" s="1"/>
  <c r="O164" i="4" s="1"/>
  <c r="F29" i="15"/>
  <c r="F30" i="15" s="1"/>
  <c r="M76" i="36"/>
  <c r="O76" i="36"/>
  <c r="L160" i="4" s="1"/>
  <c r="O160" i="4" s="1"/>
  <c r="L158" i="4"/>
  <c r="O158" i="4" s="1"/>
  <c r="M84" i="36"/>
  <c r="O84" i="36"/>
  <c r="L168" i="4" s="1"/>
  <c r="O168" i="4" s="1"/>
  <c r="O93" i="36"/>
  <c r="L175" i="4" s="1"/>
  <c r="O175" i="4" s="1"/>
  <c r="M93" i="36"/>
  <c r="O131" i="4"/>
  <c r="Q131" i="4"/>
  <c r="I63" i="37"/>
  <c r="I17" i="37"/>
  <c r="I49" i="37"/>
  <c r="T100" i="27"/>
  <c r="I80" i="37"/>
  <c r="J149" i="12"/>
  <c r="I51" i="37"/>
  <c r="I33" i="37"/>
  <c r="I83" i="37"/>
  <c r="J117" i="12"/>
  <c r="I67" i="37"/>
  <c r="O136" i="4"/>
  <c r="U136" i="4"/>
  <c r="M79" i="36"/>
  <c r="O79" i="36"/>
  <c r="L163" i="4" s="1"/>
  <c r="O163" i="4" s="1"/>
  <c r="I64" i="37"/>
  <c r="J35" i="12"/>
  <c r="T154" i="27"/>
  <c r="O130" i="4"/>
  <c r="Q130" i="4"/>
  <c r="O180" i="4"/>
  <c r="R180" i="4"/>
  <c r="L184" i="4"/>
  <c r="M90" i="36"/>
  <c r="O90" i="36"/>
  <c r="L174" i="4" s="1"/>
  <c r="O174" i="4" s="1"/>
  <c r="I90" i="37"/>
  <c r="T204" i="27"/>
  <c r="I92" i="37"/>
  <c r="I106" i="37"/>
  <c r="T89" i="27"/>
  <c r="I105" i="37"/>
  <c r="J62" i="12"/>
  <c r="T36" i="27"/>
  <c r="J74" i="12"/>
  <c r="P91" i="4"/>
  <c r="V91" i="4"/>
  <c r="J94" i="12"/>
  <c r="J82" i="12"/>
  <c r="E29" i="15"/>
  <c r="E30" i="15" s="1"/>
  <c r="E31" i="15" s="1"/>
  <c r="E32" i="15" s="1"/>
  <c r="L213" i="4" s="1"/>
  <c r="L156" i="4"/>
  <c r="Q46" i="36"/>
  <c r="M100" i="36"/>
  <c r="L192" i="4" s="1"/>
  <c r="K9" i="8"/>
  <c r="M9" i="8"/>
  <c r="O94" i="36"/>
  <c r="M94" i="36"/>
  <c r="L208" i="4"/>
  <c r="L209" i="4"/>
  <c r="K31" i="16"/>
  <c r="T235" i="27"/>
  <c r="J150" i="12"/>
  <c r="I47" i="37"/>
  <c r="I65" i="37"/>
  <c r="I25" i="37"/>
  <c r="T116" i="27"/>
  <c r="I81" i="37"/>
  <c r="J25" i="12"/>
  <c r="T55" i="27"/>
  <c r="J92" i="12"/>
  <c r="I15" i="37"/>
  <c r="J95" i="12"/>
  <c r="M101" i="36"/>
  <c r="L193" i="4" s="1"/>
  <c r="L154" i="4"/>
  <c r="Q44" i="36"/>
  <c r="R178" i="4"/>
  <c r="O178" i="4"/>
  <c r="O19" i="4"/>
  <c r="J105" i="12"/>
  <c r="T253" i="27"/>
  <c r="J129" i="12"/>
  <c r="J59" i="12"/>
  <c r="T260" i="27"/>
  <c r="J71" i="12"/>
  <c r="T216" i="27"/>
  <c r="J159" i="12"/>
  <c r="I14" i="37"/>
  <c r="I91" i="37"/>
  <c r="I110" i="37"/>
  <c r="Q45" i="36"/>
  <c r="L155" i="4"/>
  <c r="R183" i="4"/>
  <c r="O183" i="4"/>
  <c r="T244" i="27"/>
  <c r="J70" i="12"/>
  <c r="J58" i="12"/>
  <c r="I116" i="37"/>
  <c r="I59" i="37"/>
  <c r="I89" i="37"/>
  <c r="I76" i="37"/>
  <c r="I16" i="37"/>
  <c r="I44" i="37"/>
  <c r="I32" i="37"/>
  <c r="I103" i="37"/>
  <c r="T68" i="27"/>
  <c r="J93" i="12"/>
  <c r="T161" i="27"/>
  <c r="I102" i="37"/>
  <c r="I39" i="38" l="1"/>
  <c r="I40" i="38"/>
  <c r="I41" i="38"/>
  <c r="I37" i="38"/>
  <c r="I38" i="38"/>
  <c r="P125" i="4"/>
  <c r="V125" i="4"/>
  <c r="F31" i="15"/>
  <c r="F32" i="15" s="1"/>
  <c r="L212" i="4" s="1"/>
  <c r="L214" i="4"/>
  <c r="I96" i="37"/>
  <c r="J107" i="12"/>
  <c r="L19" i="4"/>
  <c r="N9" i="8"/>
  <c r="O184" i="4"/>
  <c r="R184" i="4"/>
  <c r="I52" i="37"/>
  <c r="X21" i="4"/>
  <c r="O21" i="4"/>
  <c r="I69" i="37"/>
  <c r="J26" i="12"/>
  <c r="S33" i="27"/>
  <c r="T33" i="27" s="1"/>
  <c r="U33" i="27" s="1"/>
  <c r="L79" i="4" s="1"/>
  <c r="S95" i="27"/>
  <c r="T95" i="27" s="1"/>
  <c r="U95" i="27" s="1"/>
  <c r="L77" i="4" s="1"/>
  <c r="S326" i="27"/>
  <c r="T326" i="27" s="1"/>
  <c r="U326" i="27" s="1"/>
  <c r="S141" i="27"/>
  <c r="T141" i="27" s="1"/>
  <c r="S309" i="27"/>
  <c r="T309" i="27" s="1"/>
  <c r="U309" i="27" s="1"/>
  <c r="S220" i="27"/>
  <c r="T220" i="27" s="1"/>
  <c r="L75" i="4" s="1"/>
  <c r="S207" i="27"/>
  <c r="T207" i="27" s="1"/>
  <c r="U207" i="27" s="1"/>
  <c r="L88" i="4" s="1"/>
  <c r="S144" i="27"/>
  <c r="T144" i="27" s="1"/>
  <c r="S325" i="27"/>
  <c r="T325" i="27" s="1"/>
  <c r="S30" i="27"/>
  <c r="T30" i="27" s="1"/>
  <c r="U30" i="27" s="1"/>
  <c r="L78" i="4" s="1"/>
  <c r="S83" i="27"/>
  <c r="T83" i="27" s="1"/>
  <c r="U83" i="27" s="1"/>
  <c r="L83" i="4" s="1"/>
  <c r="S129" i="27"/>
  <c r="T129" i="27" s="1"/>
  <c r="U129" i="27" s="1"/>
  <c r="L47" i="4" s="1"/>
  <c r="S200" i="27"/>
  <c r="T200" i="27" s="1"/>
  <c r="U200" i="27" s="1"/>
  <c r="L82" i="4" s="1"/>
  <c r="S76" i="27"/>
  <c r="T76" i="27" s="1"/>
  <c r="U76" i="27" s="1"/>
  <c r="L39" i="4" s="1"/>
  <c r="S138" i="27"/>
  <c r="T138" i="27" s="1"/>
  <c r="S137" i="27"/>
  <c r="T137" i="27" s="1"/>
  <c r="S124" i="27"/>
  <c r="T124" i="27" s="1"/>
  <c r="U124" i="27" s="1"/>
  <c r="L96" i="4" s="1"/>
  <c r="S259" i="27"/>
  <c r="T259" i="27" s="1"/>
  <c r="U259" i="27" s="1"/>
  <c r="L100" i="4" s="1"/>
  <c r="S286" i="27"/>
  <c r="T286" i="27" s="1"/>
  <c r="L94" i="4" s="1"/>
  <c r="S284" i="27"/>
  <c r="S291" i="27"/>
  <c r="T291" i="27" s="1"/>
  <c r="U291" i="27" s="1"/>
  <c r="L97" i="4" s="1"/>
  <c r="S189" i="27"/>
  <c r="T189" i="27" s="1"/>
  <c r="L66" i="4" s="1"/>
  <c r="S93" i="27"/>
  <c r="T93" i="27" s="1"/>
  <c r="S75" i="27"/>
  <c r="T75" i="27" s="1"/>
  <c r="U75" i="27" s="1"/>
  <c r="L38" i="4" s="1"/>
  <c r="S198" i="27"/>
  <c r="T198" i="27" s="1"/>
  <c r="U198" i="27" s="1"/>
  <c r="S174" i="27"/>
  <c r="T174" i="27" s="1"/>
  <c r="L62" i="4" s="1"/>
  <c r="S147" i="27"/>
  <c r="T147" i="27" s="1"/>
  <c r="U147" i="27" s="1"/>
  <c r="L30" i="4" s="1"/>
  <c r="S145" i="27"/>
  <c r="T145" i="27" s="1"/>
  <c r="S143" i="27"/>
  <c r="T143" i="27" s="1"/>
  <c r="S199" i="27"/>
  <c r="T199" i="27" s="1"/>
  <c r="U199" i="27" s="1"/>
  <c r="L72" i="4" s="1"/>
  <c r="S146" i="27"/>
  <c r="T146" i="27" s="1"/>
  <c r="S275" i="27"/>
  <c r="T275" i="27" s="1"/>
  <c r="U275" i="27" s="1"/>
  <c r="L104" i="4" s="1"/>
  <c r="S206" i="27"/>
  <c r="T206" i="27" s="1"/>
  <c r="U206" i="27" s="1"/>
  <c r="L87" i="4" s="1"/>
  <c r="S250" i="27"/>
  <c r="T250" i="27" s="1"/>
  <c r="S139" i="27"/>
  <c r="T139" i="27" s="1"/>
  <c r="S32" i="27"/>
  <c r="T32" i="27" s="1"/>
  <c r="U32" i="27" s="1"/>
  <c r="L45" i="4" s="1"/>
  <c r="S96" i="27"/>
  <c r="T96" i="27" s="1"/>
  <c r="U96" i="27" s="1"/>
  <c r="L80" i="4" s="1"/>
  <c r="S312" i="27"/>
  <c r="T312" i="27" s="1"/>
  <c r="L103" i="4" s="1"/>
  <c r="S281" i="27"/>
  <c r="T281" i="27" s="1"/>
  <c r="S142" i="27"/>
  <c r="T142" i="27" s="1"/>
  <c r="S43" i="27"/>
  <c r="T43" i="27" s="1"/>
  <c r="S307" i="27"/>
  <c r="T307" i="27" s="1"/>
  <c r="S140" i="27"/>
  <c r="T140" i="27" s="1"/>
  <c r="S31" i="27"/>
  <c r="T31" i="27" s="1"/>
  <c r="U31" i="27" s="1"/>
  <c r="L44" i="4" s="1"/>
  <c r="S273" i="27"/>
  <c r="T273" i="27" s="1"/>
  <c r="L33" i="4" s="1"/>
  <c r="S82" i="27"/>
  <c r="T82" i="27" s="1"/>
  <c r="U82" i="27" s="1"/>
  <c r="L32" i="4" s="1"/>
  <c r="S26" i="27"/>
  <c r="T26" i="27" s="1"/>
  <c r="L25" i="4" s="1"/>
  <c r="S66" i="27"/>
  <c r="T66" i="27" s="1"/>
  <c r="S287" i="27"/>
  <c r="T287" i="27" s="1"/>
  <c r="L95" i="4" s="1"/>
  <c r="S74" i="27"/>
  <c r="T74" i="27" s="1"/>
  <c r="U74" i="27" s="1"/>
  <c r="L37" i="4" s="1"/>
  <c r="S44" i="27"/>
  <c r="T44" i="27" s="1"/>
  <c r="U44" i="27" s="1"/>
  <c r="L42" i="4" s="1"/>
  <c r="S87" i="27"/>
  <c r="T87" i="27" s="1"/>
  <c r="U87" i="27" s="1"/>
  <c r="L34" i="4" s="1"/>
  <c r="S130" i="27"/>
  <c r="T130" i="27" s="1"/>
  <c r="U130" i="27" s="1"/>
  <c r="L64" i="4" s="1"/>
  <c r="S125" i="27"/>
  <c r="T125" i="27" s="1"/>
  <c r="L46" i="4" s="1"/>
  <c r="S208" i="27"/>
  <c r="T208" i="27" s="1"/>
  <c r="U208" i="27" s="1"/>
  <c r="L89" i="4" s="1"/>
  <c r="S159" i="27"/>
  <c r="T159" i="27" s="1"/>
  <c r="U159" i="27" s="1"/>
  <c r="S218" i="27"/>
  <c r="T218" i="27" s="1"/>
  <c r="L92" i="4" s="1"/>
  <c r="S97" i="27"/>
  <c r="T97" i="27" s="1"/>
  <c r="U97" i="27" s="1"/>
  <c r="L81" i="4" s="1"/>
  <c r="S215" i="27"/>
  <c r="T215" i="27" s="1"/>
  <c r="S172" i="27"/>
  <c r="T172" i="27" s="1"/>
  <c r="L61" i="4" s="1"/>
  <c r="S247" i="27"/>
  <c r="T247" i="27" s="1"/>
  <c r="U247" i="27" s="1"/>
  <c r="J3" i="12"/>
  <c r="S84" i="27"/>
  <c r="T84" i="27" s="1"/>
  <c r="U84" i="27" s="1"/>
  <c r="L84" i="4" s="1"/>
  <c r="S185" i="27"/>
  <c r="T185" i="27" s="1"/>
  <c r="U185" i="27" s="1"/>
  <c r="L35" i="4" s="1"/>
  <c r="S42" i="27"/>
  <c r="T42" i="27" s="1"/>
  <c r="L105" i="4" s="1"/>
  <c r="S149" i="27"/>
  <c r="T149" i="27" s="1"/>
  <c r="L58" i="4" s="1"/>
  <c r="S225" i="27"/>
  <c r="T225" i="27" s="1"/>
  <c r="L43" i="4" s="1"/>
  <c r="S209" i="27"/>
  <c r="T209" i="27" s="1"/>
  <c r="U209" i="27" s="1"/>
  <c r="L90" i="4" s="1"/>
  <c r="S278" i="27"/>
  <c r="T278" i="27" s="1"/>
  <c r="U278" i="27" s="1"/>
  <c r="L65" i="4" s="1"/>
  <c r="S164" i="27"/>
  <c r="T164" i="27" s="1"/>
  <c r="U164" i="27" s="1"/>
  <c r="L99" i="4" s="1"/>
  <c r="S77" i="27"/>
  <c r="T77" i="27" s="1"/>
  <c r="U77" i="27" s="1"/>
  <c r="L40" i="4" s="1"/>
  <c r="S94" i="27"/>
  <c r="T94" i="27" s="1"/>
  <c r="U94" i="27" s="1"/>
  <c r="L76" i="4" s="1"/>
  <c r="S70" i="27"/>
  <c r="T70" i="27" s="1"/>
  <c r="U70" i="27" s="1"/>
  <c r="S276" i="27"/>
  <c r="T276" i="27" s="1"/>
  <c r="U276" i="27" s="1"/>
  <c r="L59" i="4" s="1"/>
  <c r="J118" i="12"/>
  <c r="J119" i="37"/>
  <c r="K115" i="37"/>
  <c r="L115" i="37" s="1"/>
  <c r="J140" i="12"/>
  <c r="S173" i="27"/>
  <c r="T173" i="27" s="1"/>
  <c r="O202" i="4"/>
  <c r="R202" i="4"/>
  <c r="J75" i="12"/>
  <c r="J162" i="12"/>
  <c r="V123" i="4"/>
  <c r="P123" i="4"/>
  <c r="J97" i="12"/>
  <c r="I34" i="37"/>
  <c r="R192" i="4"/>
  <c r="O192" i="4"/>
  <c r="J50" i="12"/>
  <c r="O200" i="4"/>
  <c r="R200" i="4"/>
  <c r="L201" i="4"/>
  <c r="L210" i="4"/>
  <c r="L31" i="16"/>
  <c r="L211" i="4"/>
  <c r="J130" i="12"/>
  <c r="U156" i="4"/>
  <c r="O156" i="4"/>
  <c r="I19" i="37"/>
  <c r="J84" i="12"/>
  <c r="E56" i="7"/>
  <c r="F56" i="7" s="1"/>
  <c r="F58" i="7" s="1"/>
  <c r="E60" i="7" s="1"/>
  <c r="D7" i="7" s="1"/>
  <c r="I84" i="37"/>
  <c r="J63" i="12"/>
  <c r="P213" i="4"/>
  <c r="S213" i="4"/>
  <c r="U154" i="4"/>
  <c r="O154" i="4"/>
  <c r="O193" i="4"/>
  <c r="R193" i="4"/>
  <c r="S74" i="36"/>
  <c r="L176" i="4" s="1"/>
  <c r="O176" i="4" s="1"/>
  <c r="V124" i="4"/>
  <c r="P124" i="4"/>
  <c r="J38" i="12"/>
  <c r="J152" i="12"/>
  <c r="I119" i="37"/>
  <c r="I111" i="37"/>
  <c r="S209" i="4"/>
  <c r="P209" i="4"/>
  <c r="E97" i="7"/>
  <c r="F97" i="7" s="1"/>
  <c r="H97" i="7" s="1"/>
  <c r="E103" i="7" s="1"/>
  <c r="D10" i="7" s="1"/>
  <c r="L205" i="4" s="1"/>
  <c r="U155" i="4"/>
  <c r="O155" i="4"/>
  <c r="S208" i="4"/>
  <c r="P208" i="4"/>
  <c r="P122" i="4"/>
  <c r="V122" i="4"/>
  <c r="P100" i="4" l="1"/>
  <c r="V100" i="4"/>
  <c r="V77" i="4"/>
  <c r="P77" i="4"/>
  <c r="V37" i="4"/>
  <c r="P37" i="4"/>
  <c r="L118" i="4"/>
  <c r="L119" i="4"/>
  <c r="P105" i="4"/>
  <c r="V105" i="4"/>
  <c r="V87" i="4"/>
  <c r="P87" i="4"/>
  <c r="V79" i="4"/>
  <c r="P79" i="4"/>
  <c r="V35" i="4"/>
  <c r="P35" i="4"/>
  <c r="V104" i="4"/>
  <c r="P104" i="4"/>
  <c r="U137" i="27"/>
  <c r="L49" i="4"/>
  <c r="V58" i="4"/>
  <c r="P58" i="4"/>
  <c r="L29" i="4"/>
  <c r="U173" i="27"/>
  <c r="P95" i="4"/>
  <c r="V95" i="4"/>
  <c r="P96" i="4"/>
  <c r="V96" i="4"/>
  <c r="X19" i="4"/>
  <c r="P19" i="4"/>
  <c r="S211" i="4"/>
  <c r="P211" i="4"/>
  <c r="V84" i="4"/>
  <c r="P84" i="4"/>
  <c r="P25" i="4"/>
  <c r="V25" i="4"/>
  <c r="U138" i="27"/>
  <c r="L50" i="4"/>
  <c r="P32" i="4"/>
  <c r="V32" i="4"/>
  <c r="V39" i="4"/>
  <c r="P39" i="4"/>
  <c r="P210" i="4"/>
  <c r="S210" i="4"/>
  <c r="K118" i="37"/>
  <c r="L118" i="37" s="1"/>
  <c r="M118" i="37" s="1"/>
  <c r="K116" i="37"/>
  <c r="L116" i="37" s="1"/>
  <c r="M116" i="37" s="1"/>
  <c r="K117" i="37"/>
  <c r="L117" i="37" s="1"/>
  <c r="M117" i="37" s="1"/>
  <c r="V33" i="4"/>
  <c r="P33" i="4"/>
  <c r="U143" i="27"/>
  <c r="L55" i="4"/>
  <c r="P82" i="4"/>
  <c r="V82" i="4"/>
  <c r="T26" i="12"/>
  <c r="S214" i="4"/>
  <c r="P214" i="4"/>
  <c r="M115" i="37"/>
  <c r="M119" i="37" s="1"/>
  <c r="N119" i="37" s="1"/>
  <c r="Q74" i="12"/>
  <c r="S74" i="12" s="1"/>
  <c r="M10" i="37"/>
  <c r="Q70" i="12"/>
  <c r="S70" i="12" s="1"/>
  <c r="Q61" i="12"/>
  <c r="S61" i="12" s="1"/>
  <c r="Q25" i="12"/>
  <c r="S25" i="12" s="1"/>
  <c r="Q71" i="12"/>
  <c r="S71" i="12" s="1"/>
  <c r="Q73" i="12"/>
  <c r="S73" i="12" s="1"/>
  <c r="Q36" i="12"/>
  <c r="S36" i="12" s="1"/>
  <c r="Q37" i="12"/>
  <c r="S37" i="12" s="1"/>
  <c r="Q24" i="12"/>
  <c r="S24" i="12" s="1"/>
  <c r="Q72" i="12"/>
  <c r="S72" i="12" s="1"/>
  <c r="Q159" i="12"/>
  <c r="S159" i="12" s="1"/>
  <c r="S162" i="12" s="1"/>
  <c r="T162" i="12" s="1"/>
  <c r="Q116" i="12"/>
  <c r="S116" i="12" s="1"/>
  <c r="Q95" i="12"/>
  <c r="S95" i="12" s="1"/>
  <c r="Q23" i="12"/>
  <c r="S23" i="12" s="1"/>
  <c r="S26" i="12" s="1"/>
  <c r="S169" i="12" s="1"/>
  <c r="T169" i="12" s="1"/>
  <c r="U169" i="12" s="1"/>
  <c r="L48" i="4" s="1"/>
  <c r="Q49" i="12"/>
  <c r="S49" i="12" s="1"/>
  <c r="T49" i="12" s="1"/>
  <c r="U49" i="12" s="1"/>
  <c r="L73" i="4" s="1"/>
  <c r="Q105" i="12"/>
  <c r="S105" i="12" s="1"/>
  <c r="S107" i="12" s="1"/>
  <c r="T107" i="12" s="1"/>
  <c r="Q106" i="12"/>
  <c r="S106" i="12" s="1"/>
  <c r="Q94" i="12"/>
  <c r="S94" i="12" s="1"/>
  <c r="Q58" i="12"/>
  <c r="S58" i="12" s="1"/>
  <c r="Q139" i="12"/>
  <c r="S139" i="12" s="1"/>
  <c r="Q117" i="12"/>
  <c r="S117" i="12" s="1"/>
  <c r="Q83" i="12"/>
  <c r="S83" i="12" s="1"/>
  <c r="Q126" i="12"/>
  <c r="S126" i="12" s="1"/>
  <c r="Q115" i="12"/>
  <c r="S115" i="12" s="1"/>
  <c r="Q160" i="12"/>
  <c r="S160" i="12" s="1"/>
  <c r="Q161" i="12"/>
  <c r="S161" i="12" s="1"/>
  <c r="Q149" i="12"/>
  <c r="S149" i="12" s="1"/>
  <c r="Q82" i="12"/>
  <c r="S82" i="12" s="1"/>
  <c r="S84" i="12" s="1"/>
  <c r="Q128" i="12"/>
  <c r="S128" i="12" s="1"/>
  <c r="Q151" i="12"/>
  <c r="S151" i="12" s="1"/>
  <c r="Q150" i="12"/>
  <c r="S150" i="12" s="1"/>
  <c r="Q62" i="12"/>
  <c r="S62" i="12" s="1"/>
  <c r="Q129" i="12"/>
  <c r="S129" i="12" s="1"/>
  <c r="Q60" i="12"/>
  <c r="S60" i="12" s="1"/>
  <c r="Q48" i="12"/>
  <c r="S48" i="12" s="1"/>
  <c r="Q59" i="12"/>
  <c r="S59" i="12" s="1"/>
  <c r="Q91" i="12"/>
  <c r="S91" i="12" s="1"/>
  <c r="Q96" i="12"/>
  <c r="S96" i="12" s="1"/>
  <c r="Q93" i="12"/>
  <c r="S93" i="12" s="1"/>
  <c r="Q138" i="12"/>
  <c r="S138" i="12" s="1"/>
  <c r="S140" i="12" s="1"/>
  <c r="T140" i="12" s="1"/>
  <c r="Q92" i="12"/>
  <c r="S92" i="12" s="1"/>
  <c r="Q127" i="12"/>
  <c r="S127" i="12" s="1"/>
  <c r="Q35" i="12"/>
  <c r="S35" i="12" s="1"/>
  <c r="S38" i="12" s="1"/>
  <c r="T38" i="12" s="1"/>
  <c r="V72" i="4"/>
  <c r="P72" i="4"/>
  <c r="R201" i="4"/>
  <c r="O201" i="4"/>
  <c r="P61" i="4"/>
  <c r="V61" i="4"/>
  <c r="V44" i="4"/>
  <c r="P44" i="4"/>
  <c r="L57" i="4"/>
  <c r="U145" i="27"/>
  <c r="V47" i="4"/>
  <c r="P47" i="4"/>
  <c r="P212" i="4"/>
  <c r="S212" i="4"/>
  <c r="P30" i="4"/>
  <c r="V30" i="4"/>
  <c r="P83" i="4"/>
  <c r="V83" i="4"/>
  <c r="P62" i="4"/>
  <c r="V62" i="4"/>
  <c r="V92" i="4"/>
  <c r="P92" i="4"/>
  <c r="U43" i="27"/>
  <c r="L27" i="4"/>
  <c r="L71" i="4"/>
  <c r="L68" i="4"/>
  <c r="L70" i="4"/>
  <c r="L69" i="4"/>
  <c r="P59" i="4"/>
  <c r="V59" i="4"/>
  <c r="P81" i="4"/>
  <c r="V81" i="4"/>
  <c r="L101" i="4"/>
  <c r="U307" i="27"/>
  <c r="P78" i="4"/>
  <c r="V78" i="4"/>
  <c r="V76" i="4"/>
  <c r="P76" i="4"/>
  <c r="L54" i="4"/>
  <c r="U142" i="27"/>
  <c r="V38" i="4"/>
  <c r="P38" i="4"/>
  <c r="U144" i="27"/>
  <c r="L56" i="4"/>
  <c r="P40" i="4"/>
  <c r="V40" i="4"/>
  <c r="V89" i="4"/>
  <c r="P89" i="4"/>
  <c r="U281" i="27"/>
  <c r="L26" i="4" s="1"/>
  <c r="L93" i="4"/>
  <c r="L36" i="4"/>
  <c r="U93" i="27"/>
  <c r="V88" i="4"/>
  <c r="P88" i="4"/>
  <c r="U140" i="27"/>
  <c r="L52" i="4"/>
  <c r="T84" i="12"/>
  <c r="V99" i="4"/>
  <c r="P99" i="4"/>
  <c r="P46" i="4"/>
  <c r="V46" i="4"/>
  <c r="V103" i="4"/>
  <c r="P103" i="4"/>
  <c r="V66" i="4"/>
  <c r="P66" i="4"/>
  <c r="P75" i="4"/>
  <c r="V75" i="4"/>
  <c r="V64" i="4"/>
  <c r="P64" i="4"/>
  <c r="P97" i="4"/>
  <c r="V97" i="4"/>
  <c r="V90" i="4"/>
  <c r="P90" i="4"/>
  <c r="P34" i="4"/>
  <c r="V34" i="4"/>
  <c r="P45" i="4"/>
  <c r="V45" i="4"/>
  <c r="L197" i="4"/>
  <c r="T284" i="27"/>
  <c r="U141" i="27"/>
  <c r="L53" i="4"/>
  <c r="P205" i="4"/>
  <c r="R205" i="4"/>
  <c r="P65" i="4"/>
  <c r="V65" i="4"/>
  <c r="V80" i="4"/>
  <c r="P80" i="4"/>
  <c r="V43" i="4"/>
  <c r="P43" i="4"/>
  <c r="P42" i="4"/>
  <c r="V42" i="4"/>
  <c r="U139" i="27"/>
  <c r="L51" i="4"/>
  <c r="P94" i="4"/>
  <c r="V94" i="4"/>
  <c r="L111" i="4" l="1"/>
  <c r="L110" i="4"/>
  <c r="U107" i="12"/>
  <c r="L67" i="4"/>
  <c r="U38" i="12"/>
  <c r="L60" i="4"/>
  <c r="L63" i="4"/>
  <c r="U140" i="12"/>
  <c r="V73" i="4"/>
  <c r="P73" i="4"/>
  <c r="P48" i="4"/>
  <c r="V48" i="4"/>
  <c r="P56" i="4"/>
  <c r="V56" i="4"/>
  <c r="V69" i="4"/>
  <c r="P69" i="4"/>
  <c r="V52" i="4"/>
  <c r="P52" i="4"/>
  <c r="V70" i="4"/>
  <c r="P70" i="4"/>
  <c r="P50" i="4"/>
  <c r="V50" i="4"/>
  <c r="P71" i="4"/>
  <c r="V71" i="4"/>
  <c r="V55" i="4"/>
  <c r="P55" i="4"/>
  <c r="P36" i="4"/>
  <c r="V36" i="4"/>
  <c r="P57" i="4"/>
  <c r="V57" i="4"/>
  <c r="S118" i="12"/>
  <c r="T118" i="12" s="1"/>
  <c r="U118" i="12" s="1"/>
  <c r="V119" i="4"/>
  <c r="P119" i="4"/>
  <c r="L28" i="4"/>
  <c r="U26" i="12"/>
  <c r="L24" i="4"/>
  <c r="S130" i="12"/>
  <c r="T130" i="12" s="1"/>
  <c r="V118" i="4"/>
  <c r="P118" i="4"/>
  <c r="U84" i="12"/>
  <c r="L102" i="4"/>
  <c r="P54" i="4"/>
  <c r="V54" i="4"/>
  <c r="P26" i="4"/>
  <c r="V26" i="4"/>
  <c r="P27" i="4"/>
  <c r="V27" i="4"/>
  <c r="V49" i="4"/>
  <c r="P49" i="4"/>
  <c r="P93" i="4"/>
  <c r="V93" i="4"/>
  <c r="P51" i="4"/>
  <c r="V51" i="4"/>
  <c r="V101" i="4"/>
  <c r="P101" i="4"/>
  <c r="S50" i="12"/>
  <c r="T50" i="12" s="1"/>
  <c r="U50" i="12" s="1"/>
  <c r="T48" i="12"/>
  <c r="U48" i="12" s="1"/>
  <c r="L74" i="4" s="1"/>
  <c r="S63" i="12"/>
  <c r="T63" i="12" s="1"/>
  <c r="V68" i="4"/>
  <c r="P68" i="4"/>
  <c r="S152" i="12"/>
  <c r="T152" i="12" s="1"/>
  <c r="U152" i="12" s="1"/>
  <c r="V29" i="4"/>
  <c r="P29" i="4"/>
  <c r="S97" i="12"/>
  <c r="T97" i="12" s="1"/>
  <c r="U97" i="12" s="1"/>
  <c r="S75" i="12"/>
  <c r="T75" i="12" s="1"/>
  <c r="V53" i="4"/>
  <c r="P53" i="4"/>
  <c r="O197" i="4"/>
  <c r="R197" i="4"/>
  <c r="M109" i="37"/>
  <c r="M16" i="37"/>
  <c r="M45" i="37"/>
  <c r="M49" i="37"/>
  <c r="M105" i="37"/>
  <c r="M14" i="37"/>
  <c r="M107" i="37"/>
  <c r="M51" i="37"/>
  <c r="M103" i="37"/>
  <c r="M50" i="37"/>
  <c r="M47" i="37"/>
  <c r="M48" i="37"/>
  <c r="M43" i="37"/>
  <c r="M44" i="37"/>
  <c r="M18" i="37"/>
  <c r="M108" i="37"/>
  <c r="M110" i="37"/>
  <c r="M42" i="37"/>
  <c r="M61" i="37"/>
  <c r="M15" i="37"/>
  <c r="M17" i="37"/>
  <c r="M46" i="37"/>
  <c r="M102" i="37"/>
  <c r="M106" i="37"/>
  <c r="M104" i="37"/>
  <c r="M90" i="37"/>
  <c r="M77" i="37"/>
  <c r="M80" i="37"/>
  <c r="M31" i="37"/>
  <c r="M82" i="37"/>
  <c r="M89" i="37"/>
  <c r="M68" i="37"/>
  <c r="M76" i="37"/>
  <c r="M25" i="37"/>
  <c r="M91" i="37"/>
  <c r="M78" i="37"/>
  <c r="M64" i="37"/>
  <c r="M24" i="37"/>
  <c r="M59" i="37"/>
  <c r="M75" i="37"/>
  <c r="M30" i="37"/>
  <c r="M65" i="37"/>
  <c r="M95" i="37"/>
  <c r="M67" i="37"/>
  <c r="M29" i="37"/>
  <c r="M26" i="37"/>
  <c r="M27" i="37"/>
  <c r="M94" i="37"/>
  <c r="M60" i="37"/>
  <c r="M63" i="37"/>
  <c r="M32" i="37"/>
  <c r="M79" i="37"/>
  <c r="M81" i="37"/>
  <c r="M93" i="37"/>
  <c r="M92" i="37"/>
  <c r="M83" i="37"/>
  <c r="M62" i="37"/>
  <c r="M28" i="37"/>
  <c r="M66" i="37"/>
  <c r="M33" i="37"/>
  <c r="M84" i="37" l="1"/>
  <c r="N84" i="37" s="1"/>
  <c r="L116" i="4" s="1"/>
  <c r="M111" i="37"/>
  <c r="N111" i="37" s="1"/>
  <c r="M19" i="37"/>
  <c r="N19" i="37" s="1"/>
  <c r="M34" i="37"/>
  <c r="N34" i="37" s="1"/>
  <c r="L108" i="4" s="1"/>
  <c r="L85" i="4"/>
  <c r="U63" i="12"/>
  <c r="P102" i="4"/>
  <c r="V102" i="4"/>
  <c r="M69" i="37"/>
  <c r="N69" i="37" s="1"/>
  <c r="L115" i="4" s="1"/>
  <c r="V63" i="4"/>
  <c r="P63" i="4"/>
  <c r="M52" i="37"/>
  <c r="N52" i="37" s="1"/>
  <c r="V60" i="4"/>
  <c r="P60" i="4"/>
  <c r="V74" i="4"/>
  <c r="P74" i="4"/>
  <c r="L31" i="4"/>
  <c r="U130" i="12"/>
  <c r="V24" i="4"/>
  <c r="P24" i="4"/>
  <c r="M96" i="37"/>
  <c r="N96" i="37" s="1"/>
  <c r="V67" i="4"/>
  <c r="P67" i="4"/>
  <c r="V28" i="4"/>
  <c r="P28" i="4"/>
  <c r="V110" i="4"/>
  <c r="P110" i="4"/>
  <c r="U75" i="12"/>
  <c r="L86" i="4"/>
  <c r="V111" i="4"/>
  <c r="P111" i="4"/>
  <c r="V86" i="4" l="1"/>
  <c r="P86" i="4"/>
  <c r="P115" i="4"/>
  <c r="V115" i="4"/>
  <c r="V31" i="4"/>
  <c r="P31" i="4"/>
  <c r="L117" i="4"/>
  <c r="L113" i="4"/>
  <c r="L114" i="4"/>
  <c r="V85" i="4"/>
  <c r="P85" i="4"/>
  <c r="P108" i="4"/>
  <c r="V108" i="4"/>
  <c r="E68" i="7"/>
  <c r="F68" i="7" s="1"/>
  <c r="F72" i="7" s="1"/>
  <c r="L109" i="4"/>
  <c r="L112" i="4"/>
  <c r="L196" i="4"/>
  <c r="L120" i="4"/>
  <c r="L194" i="4"/>
  <c r="P194" i="4" s="1"/>
  <c r="V116" i="4"/>
  <c r="P116" i="4"/>
  <c r="P109" i="4" l="1"/>
  <c r="V109" i="4"/>
  <c r="P113" i="4"/>
  <c r="V113" i="4"/>
  <c r="V117" i="4"/>
  <c r="P117" i="4"/>
  <c r="V114" i="4"/>
  <c r="P114" i="4"/>
  <c r="V112" i="4"/>
  <c r="P112" i="4"/>
  <c r="L107" i="4"/>
  <c r="E73" i="7"/>
  <c r="D8" i="7" s="1"/>
  <c r="E72" i="7"/>
  <c r="C8" i="7" s="1"/>
  <c r="V120" i="4"/>
  <c r="P120" i="4"/>
  <c r="P196" i="4"/>
  <c r="R196" i="4"/>
  <c r="P107" i="4" l="1"/>
  <c r="V107" i="4"/>
</calcChain>
</file>

<file path=xl/sharedStrings.xml><?xml version="1.0" encoding="utf-8"?>
<sst xmlns="http://schemas.openxmlformats.org/spreadsheetml/2006/main" count="5457" uniqueCount="1971">
  <si>
    <t>sej/g</t>
  </si>
  <si>
    <t>sej/J</t>
  </si>
  <si>
    <t>Tundra</t>
  </si>
  <si>
    <t>Leith, H. (1975) Primary productivity in ecosystems: Comparative analysis of global patterns. P. 300-316. In Patterns of Primary Production in the Biosphere (Lieth, H.F.H. ed.) Dowden, Hutchinson &amp; Ross, 342 p.</t>
  </si>
  <si>
    <t>Area</t>
  </si>
  <si>
    <t>NPP</t>
  </si>
  <si>
    <t>Lakes</t>
  </si>
  <si>
    <t>Type</t>
  </si>
  <si>
    <t>Sun</t>
  </si>
  <si>
    <t>Wind</t>
  </si>
  <si>
    <t>sej/yr</t>
  </si>
  <si>
    <t>Tide</t>
  </si>
  <si>
    <t>g/yr</t>
  </si>
  <si>
    <t>J/yr</t>
  </si>
  <si>
    <t>Total</t>
  </si>
  <si>
    <t>km3/yr</t>
  </si>
  <si>
    <t>Flow</t>
  </si>
  <si>
    <t>compartment</t>
  </si>
  <si>
    <t>Stock or flow</t>
  </si>
  <si>
    <t>Ecosystem service</t>
  </si>
  <si>
    <t>Effect</t>
  </si>
  <si>
    <t>UEV Source</t>
  </si>
  <si>
    <t>Units</t>
  </si>
  <si>
    <t>Chemical formula</t>
  </si>
  <si>
    <t>Alternative units</t>
  </si>
  <si>
    <t>sej/unit</t>
  </si>
  <si>
    <t>Timescale (yrs)</t>
  </si>
  <si>
    <t>Renewable</t>
  </si>
  <si>
    <t>Biological</t>
  </si>
  <si>
    <t>Air</t>
  </si>
  <si>
    <t>Land</t>
  </si>
  <si>
    <t>Water</t>
  </si>
  <si>
    <t>ambient air</t>
  </si>
  <si>
    <t>stock</t>
  </si>
  <si>
    <t>air quality regulation</t>
  </si>
  <si>
    <t>concentration of gases</t>
  </si>
  <si>
    <t>kg</t>
  </si>
  <si>
    <t>Carbon dioxide</t>
  </si>
  <si>
    <t>CO2</t>
  </si>
  <si>
    <t>Methane</t>
  </si>
  <si>
    <t>CH4</t>
  </si>
  <si>
    <t>Krypton</t>
  </si>
  <si>
    <t>Kr</t>
  </si>
  <si>
    <t>Nitrogen</t>
  </si>
  <si>
    <t>N</t>
  </si>
  <si>
    <t>Oxygen</t>
  </si>
  <si>
    <t>O2</t>
  </si>
  <si>
    <t>Xenon</t>
  </si>
  <si>
    <t>Xe</t>
  </si>
  <si>
    <t>biological</t>
  </si>
  <si>
    <t>soil</t>
  </si>
  <si>
    <t>carbon sequestration, erosion regulation, water purification</t>
  </si>
  <si>
    <t>soil erosion or land clearing</t>
  </si>
  <si>
    <t>m3</t>
  </si>
  <si>
    <t>Inorganic matter, in soil, unspecified</t>
  </si>
  <si>
    <t>biomass</t>
  </si>
  <si>
    <t>wood fuel, carbon sequestration</t>
  </si>
  <si>
    <t>MJ, m3</t>
  </si>
  <si>
    <t>Hardwood, dry, unspecified</t>
  </si>
  <si>
    <t>wood harvesting or land clearing</t>
  </si>
  <si>
    <t>Softwood, dry, unspecified</t>
  </si>
  <si>
    <t>Wood, dry, unspecified</t>
  </si>
  <si>
    <t>Wood, dry, temperate forests</t>
  </si>
  <si>
    <t>Wood, dry, boreal forest</t>
  </si>
  <si>
    <t>Wood, dry, tropical lowland forest</t>
  </si>
  <si>
    <t>Wood, dry, swamps</t>
  </si>
  <si>
    <t>flow</t>
  </si>
  <si>
    <t>All</t>
  </si>
  <si>
    <t>direct capture of primary energy</t>
  </si>
  <si>
    <t>MJ</t>
  </si>
  <si>
    <t>Wind energy</t>
  </si>
  <si>
    <t>Solar energy</t>
  </si>
  <si>
    <t>fossil fuel</t>
  </si>
  <si>
    <t>subsoil</t>
  </si>
  <si>
    <t>carbon sequestration</t>
  </si>
  <si>
    <t>resource extraction</t>
  </si>
  <si>
    <t>Transformity (sej/J) for soft (lignite) coal x (J/MJ) = sej/MJ</t>
  </si>
  <si>
    <t>Assume avg MJ/kg for this coal type</t>
  </si>
  <si>
    <t>Transformity (sej/J) for soft (lignite) coal x (assumed 18 MJ/kg) = sej/MJ</t>
  </si>
  <si>
    <t>Nm3</t>
  </si>
  <si>
    <t>land use</t>
  </si>
  <si>
    <t>land</t>
  </si>
  <si>
    <t>m2*a</t>
  </si>
  <si>
    <t>land use - native biome</t>
  </si>
  <si>
    <t>minerals and metals</t>
  </si>
  <si>
    <t>NA</t>
  </si>
  <si>
    <t>Al</t>
  </si>
  <si>
    <t>CaSO4</t>
  </si>
  <si>
    <t>BaSO4</t>
  </si>
  <si>
    <t>Br</t>
  </si>
  <si>
    <t>CaCO3</t>
  </si>
  <si>
    <t>Calcite</t>
  </si>
  <si>
    <t>CaCl2</t>
  </si>
  <si>
    <t>Mg3Si2O5(OH)4</t>
  </si>
  <si>
    <t>HgS</t>
  </si>
  <si>
    <t>Eu</t>
  </si>
  <si>
    <t>(Na, K, Ca) AlSi3O8//SiO2</t>
  </si>
  <si>
    <t>F</t>
  </si>
  <si>
    <t>CaF2</t>
  </si>
  <si>
    <t>Gd</t>
  </si>
  <si>
    <t>Ga</t>
  </si>
  <si>
    <t>Au</t>
  </si>
  <si>
    <t>CaSO4*2H2O</t>
  </si>
  <si>
    <t>He</t>
  </si>
  <si>
    <t>In</t>
  </si>
  <si>
    <t>I</t>
  </si>
  <si>
    <t>Fe</t>
  </si>
  <si>
    <t>Al4Si4O10(OH)8</t>
  </si>
  <si>
    <t>Kaolinite</t>
  </si>
  <si>
    <t>La</t>
  </si>
  <si>
    <t>Pb</t>
  </si>
  <si>
    <t>Li</t>
  </si>
  <si>
    <t>MgCO3</t>
  </si>
  <si>
    <t>Magnesite</t>
  </si>
  <si>
    <t>Mg</t>
  </si>
  <si>
    <t>Mn</t>
  </si>
  <si>
    <t>Hg</t>
  </si>
  <si>
    <t>MoS2</t>
  </si>
  <si>
    <t>Mo</t>
  </si>
  <si>
    <t>Nd</t>
  </si>
  <si>
    <t>Ni</t>
  </si>
  <si>
    <t>(Mg,Fe)2[SiO4]</t>
  </si>
  <si>
    <t>Pd</t>
  </si>
  <si>
    <t>Perlite</t>
  </si>
  <si>
    <t>P</t>
  </si>
  <si>
    <t>Pt</t>
  </si>
  <si>
    <t>KCl</t>
  </si>
  <si>
    <t>Pr</t>
  </si>
  <si>
    <t>FeS2</t>
  </si>
  <si>
    <t>MnO2</t>
  </si>
  <si>
    <t>Re</t>
  </si>
  <si>
    <t>Rh</t>
  </si>
  <si>
    <t>Sm</t>
  </si>
  <si>
    <t>Si</t>
  </si>
  <si>
    <t>NaCl</t>
  </si>
  <si>
    <t>NaNO3</t>
  </si>
  <si>
    <t>Na2SO4</t>
  </si>
  <si>
    <t>LiAlSi2O6</t>
  </si>
  <si>
    <t>Sb2S3</t>
  </si>
  <si>
    <t>S</t>
  </si>
  <si>
    <t>Mg3Si4O10(OH2)2</t>
  </si>
  <si>
    <t>Ta</t>
  </si>
  <si>
    <t>Te</t>
  </si>
  <si>
    <t>TiO2</t>
  </si>
  <si>
    <t>Ti</t>
  </si>
  <si>
    <t>NaCaB5O6(OH)6</t>
  </si>
  <si>
    <t>U</t>
  </si>
  <si>
    <t>Zn</t>
  </si>
  <si>
    <t>ZrO2</t>
  </si>
  <si>
    <t>Aggregate, natural</t>
  </si>
  <si>
    <t>rock and aggregate</t>
  </si>
  <si>
    <t>Basalt</t>
  </si>
  <si>
    <t>Clay, unspecified</t>
  </si>
  <si>
    <t>Diatomite</t>
  </si>
  <si>
    <t>Dolomite</t>
  </si>
  <si>
    <t>CaMg(CO3)2</t>
  </si>
  <si>
    <t>Granite</t>
  </si>
  <si>
    <t>Gravel</t>
  </si>
  <si>
    <t>Pumice</t>
  </si>
  <si>
    <t>Rock, unspecified</t>
  </si>
  <si>
    <t>Sand, quartz</t>
  </si>
  <si>
    <t>SiO2</t>
  </si>
  <si>
    <t>Sand, unspecified</t>
  </si>
  <si>
    <t>Shale</t>
  </si>
  <si>
    <t>water</t>
  </si>
  <si>
    <t>unknown</t>
  </si>
  <si>
    <t>water purification, water regulation</t>
  </si>
  <si>
    <t>water withdrawal</t>
  </si>
  <si>
    <t>C</t>
  </si>
  <si>
    <t>Mg3Si4O10(OH)22(H2O)</t>
  </si>
  <si>
    <t>UO2</t>
  </si>
  <si>
    <t>Sn</t>
  </si>
  <si>
    <t>CuFeS2</t>
  </si>
  <si>
    <t>Weighted average of {Hydragillite/Gibbsite, Diaspore, Boehmite}</t>
  </si>
  <si>
    <t>Ca2B6O11(H2O)5</t>
  </si>
  <si>
    <t>Molar mass</t>
  </si>
  <si>
    <t>By definition</t>
  </si>
  <si>
    <t>Item</t>
  </si>
  <si>
    <t>Emergy/unit</t>
  </si>
  <si>
    <t>Amount</t>
  </si>
  <si>
    <t>J</t>
  </si>
  <si>
    <t>Unit/ha/yr</t>
  </si>
  <si>
    <t>Emergy (sej/ha/yr)</t>
  </si>
  <si>
    <t>Atmosphere</t>
  </si>
  <si>
    <t>I.A. Shiklomanov and John C. Rodda (2003) World water resources at the beginning of the twenty-first century. Cambridge University Press, 435 p.</t>
  </si>
  <si>
    <t>% total</t>
  </si>
  <si>
    <t>% freshwater</t>
  </si>
  <si>
    <t>World Ocean</t>
  </si>
  <si>
    <t xml:space="preserve"> - </t>
  </si>
  <si>
    <t>Soil moisture</t>
  </si>
  <si>
    <t>Glaciers and permanent snow cover</t>
  </si>
  <si>
    <t xml:space="preserve"> - Antarctica</t>
  </si>
  <si>
    <t xml:space="preserve"> - Greenland</t>
  </si>
  <si>
    <t xml:space="preserve"> - Arctic Islands</t>
  </si>
  <si>
    <t xml:space="preserve"> - Mountainous regions</t>
  </si>
  <si>
    <t>Ground ice of permafrost zone</t>
  </si>
  <si>
    <t xml:space="preserve"> - Fresh</t>
  </si>
  <si>
    <t xml:space="preserve"> - Salt</t>
  </si>
  <si>
    <t>River/stream</t>
  </si>
  <si>
    <t>Total freshwater</t>
  </si>
  <si>
    <t>Mineral</t>
  </si>
  <si>
    <t>Formula</t>
  </si>
  <si>
    <t>% weight</t>
  </si>
  <si>
    <t>Quartz</t>
  </si>
  <si>
    <t>Corundum</t>
  </si>
  <si>
    <t>Al2O3</t>
  </si>
  <si>
    <t>Magnetite</t>
  </si>
  <si>
    <t>Fe2O4</t>
  </si>
  <si>
    <t>Anorthite</t>
  </si>
  <si>
    <t>CaAl2Si2O8</t>
  </si>
  <si>
    <t>Enstatite</t>
  </si>
  <si>
    <t>CaSiO3</t>
  </si>
  <si>
    <t>Ferrosilite</t>
  </si>
  <si>
    <t>Albite</t>
  </si>
  <si>
    <t>NaAlSi3O8</t>
  </si>
  <si>
    <t>Ilmenite</t>
  </si>
  <si>
    <t>Apatite</t>
  </si>
  <si>
    <t>Summation</t>
  </si>
  <si>
    <t>The reference flows ‘Clay, bentonite, in ground’ and ‘Clay, unspecified, in ground’ are represented by montmorillonite and illite respectively.</t>
  </si>
  <si>
    <t>For bentonite this is 0.109 MJex/kg, for illite 0.106 MJex/kg.</t>
  </si>
  <si>
    <t>Orthoclase/K-feldspar</t>
  </si>
  <si>
    <t>Hematite</t>
  </si>
  <si>
    <t>Fe2O3</t>
  </si>
  <si>
    <t>Rutile</t>
  </si>
  <si>
    <t>Thenardite</t>
  </si>
  <si>
    <t>Assuming the composition of sandstones</t>
  </si>
  <si>
    <t>Muscovite</t>
  </si>
  <si>
    <t>Hydromuscovite/Illite</t>
  </si>
  <si>
    <t>Clinochlore</t>
  </si>
  <si>
    <t>Mineral data from DeWulf et al. (2007)</t>
  </si>
  <si>
    <t>Assuming Granite and Gravel have the same composition.</t>
  </si>
  <si>
    <t>Assuming the same composition for quartz based and unspecified based Sand.</t>
  </si>
  <si>
    <t>Magnesium</t>
  </si>
  <si>
    <t>Element</t>
  </si>
  <si>
    <t>MgAl2O4</t>
  </si>
  <si>
    <t>Spinel</t>
  </si>
  <si>
    <t>Mg3Si4O10(OH)2</t>
  </si>
  <si>
    <t>Talc</t>
  </si>
  <si>
    <t>Olivine</t>
  </si>
  <si>
    <t>KMgCl36(H2O)</t>
  </si>
  <si>
    <t>Carnallite</t>
  </si>
  <si>
    <t>g/g crust</t>
  </si>
  <si>
    <t>Magnesium, 0.13% in water</t>
  </si>
  <si>
    <t>% Magnesium in ground</t>
  </si>
  <si>
    <t>Open LCA item</t>
  </si>
  <si>
    <t>Iodine</t>
  </si>
  <si>
    <t>Ca2(IO3)2(CrO4)</t>
  </si>
  <si>
    <t>Dietzeite</t>
  </si>
  <si>
    <t>Ca(IO3)2</t>
  </si>
  <si>
    <t>Lautarite</t>
  </si>
  <si>
    <t>Uranium</t>
  </si>
  <si>
    <t>K2(UO2)2(VO4)23H2O</t>
  </si>
  <si>
    <t>Uraninite</t>
  </si>
  <si>
    <t>Zinc</t>
  </si>
  <si>
    <t>ZnCO3</t>
  </si>
  <si>
    <t>Smithsonite</t>
  </si>
  <si>
    <t>ZnS</t>
  </si>
  <si>
    <t>Sphalerite</t>
  </si>
  <si>
    <t>Molybdenum</t>
  </si>
  <si>
    <t>CaMoO4</t>
  </si>
  <si>
    <t>PbMoO4</t>
  </si>
  <si>
    <t>Wulfenite</t>
  </si>
  <si>
    <t>Molybdenite</t>
  </si>
  <si>
    <t>Gold</t>
  </si>
  <si>
    <t>Sylvanite</t>
  </si>
  <si>
    <t>Calaverite</t>
  </si>
  <si>
    <t>Fe2+Ni2S4</t>
  </si>
  <si>
    <t>Violarite</t>
  </si>
  <si>
    <t>Nickel</t>
  </si>
  <si>
    <t>NiS2</t>
  </si>
  <si>
    <t>Vaesite</t>
  </si>
  <si>
    <t>NiAsS</t>
  </si>
  <si>
    <t>Pt0.6Pd0.3Ni0.1S</t>
  </si>
  <si>
    <t>Cooperite</t>
  </si>
  <si>
    <t>Pentlandite</t>
  </si>
  <si>
    <t>(Ni2Mg)Si2O5(OH)4</t>
  </si>
  <si>
    <t>Garnierite</t>
  </si>
  <si>
    <t>Nickel, 1.13% in sulfide, Ni 0.76% and Cu 0.76% in crude ore, in ground</t>
  </si>
  <si>
    <t>Ni, Ni 3.7E-2%, Pt 4.8E-4%, Pd 2.0E-4%, Rh 2.4E-5%, Cu 5.2E-2% in ore, in ground</t>
  </si>
  <si>
    <t>g</t>
  </si>
  <si>
    <t>Ni, Ni 2.3E+0%, Pt 2.5E-4%, Pd 7.3E-4%, Rh 2.0E-5%, Cu 3.2E+0% in ore, in ground</t>
  </si>
  <si>
    <t>% nickel</t>
  </si>
  <si>
    <t>unit</t>
  </si>
  <si>
    <t>Nickel: The bulk of the nickel mined comes from two types of ore deposits; the first are laterites where the principal ore minerals are nickeliferous limonite and garnierite; the second are magmatic sulfide deposits where the principal ore mineral is pentlandite.</t>
  </si>
  <si>
    <t>Iron</t>
  </si>
  <si>
    <t>Siderite</t>
  </si>
  <si>
    <t>Iron, 46% in ore, 25% in crude ore, in ground</t>
  </si>
  <si>
    <t>% Iron</t>
  </si>
  <si>
    <t>Aluminum</t>
  </si>
  <si>
    <t>AlO(OH)</t>
  </si>
  <si>
    <t>Boehmite</t>
  </si>
  <si>
    <t>Diaspore</t>
  </si>
  <si>
    <t>Hydragillite/Gibbsite</t>
  </si>
  <si>
    <t>Aluminium, 24% in bauxite, 11% in crude ore, in ground</t>
  </si>
  <si>
    <t>Open LCA description</t>
  </si>
  <si>
    <t>Table 3.4 in Valero 2008</t>
  </si>
  <si>
    <t>O</t>
  </si>
  <si>
    <t>Na</t>
  </si>
  <si>
    <t>Ca</t>
  </si>
  <si>
    <t>K</t>
  </si>
  <si>
    <t>Ba</t>
  </si>
  <si>
    <t>Cl</t>
  </si>
  <si>
    <t>Sr</t>
  </si>
  <si>
    <t>Zr</t>
  </si>
  <si>
    <t>V</t>
  </si>
  <si>
    <t>Cr</t>
  </si>
  <si>
    <t>Rb</t>
  </si>
  <si>
    <t>Ce</t>
  </si>
  <si>
    <t>Cu</t>
  </si>
  <si>
    <t>Y</t>
  </si>
  <si>
    <t>Co</t>
  </si>
  <si>
    <t>B</t>
  </si>
  <si>
    <t>Sc</t>
  </si>
  <si>
    <t>Nb</t>
  </si>
  <si>
    <t>Th</t>
  </si>
  <si>
    <t>Hf</t>
  </si>
  <si>
    <t>Cs</t>
  </si>
  <si>
    <t>As</t>
  </si>
  <si>
    <t>Dy</t>
  </si>
  <si>
    <t>Er</t>
  </si>
  <si>
    <t>Be</t>
  </si>
  <si>
    <t>Yb</t>
  </si>
  <si>
    <t>W</t>
  </si>
  <si>
    <t>Ge</t>
  </si>
  <si>
    <t>Tl</t>
  </si>
  <si>
    <t>Ho</t>
  </si>
  <si>
    <t>Tb</t>
  </si>
  <si>
    <t>Sb</t>
  </si>
  <si>
    <t>Lu</t>
  </si>
  <si>
    <t>Tm</t>
  </si>
  <si>
    <t>Bi</t>
  </si>
  <si>
    <t>Se</t>
  </si>
  <si>
    <t>Cd</t>
  </si>
  <si>
    <t>Ag</t>
  </si>
  <si>
    <t>Ru</t>
  </si>
  <si>
    <t>Os</t>
  </si>
  <si>
    <t>Ir</t>
  </si>
  <si>
    <t>Copper</t>
  </si>
  <si>
    <t>Tin</t>
  </si>
  <si>
    <t>MgSO4(H2O)</t>
  </si>
  <si>
    <t>CdS</t>
  </si>
  <si>
    <t>Fe2+TiO3</t>
  </si>
  <si>
    <t>CoAsS</t>
  </si>
  <si>
    <t>Iridium</t>
  </si>
  <si>
    <t>Osmium</t>
  </si>
  <si>
    <t>CaTiSiO5</t>
  </si>
  <si>
    <t>Leucoxene</t>
  </si>
  <si>
    <t>Lead</t>
  </si>
  <si>
    <t>Smaltite</t>
  </si>
  <si>
    <t>Bismuth</t>
  </si>
  <si>
    <t>La(CO3)F</t>
  </si>
  <si>
    <t>Bastnaesite</t>
  </si>
  <si>
    <t>Fe2+Cr2O4</t>
  </si>
  <si>
    <t>Rhabdophane</t>
  </si>
  <si>
    <t>Linnaeite</t>
  </si>
  <si>
    <t>Al2Si4O10(OH)2</t>
  </si>
  <si>
    <t>Na2O2B2O34H2O</t>
  </si>
  <si>
    <t>Titanium</t>
  </si>
  <si>
    <t>% Ti in ground</t>
  </si>
  <si>
    <t>Silver</t>
  </si>
  <si>
    <t>Arsenic</t>
  </si>
  <si>
    <t>Boron</t>
  </si>
  <si>
    <t>Barium</t>
  </si>
  <si>
    <t>Beryllium</t>
  </si>
  <si>
    <t>Bromine</t>
  </si>
  <si>
    <t>Carbon</t>
  </si>
  <si>
    <t>Calcium</t>
  </si>
  <si>
    <t>Cadmium</t>
  </si>
  <si>
    <t>Cerium</t>
  </si>
  <si>
    <t>Chlorine</t>
  </si>
  <si>
    <t>Cobalt</t>
  </si>
  <si>
    <t>Chromium</t>
  </si>
  <si>
    <t>Cesium</t>
  </si>
  <si>
    <t>Dysprosium</t>
  </si>
  <si>
    <t>Erbium</t>
  </si>
  <si>
    <t>Europium</t>
  </si>
  <si>
    <t>Fluorine</t>
  </si>
  <si>
    <t>Gallium</t>
  </si>
  <si>
    <t>Gadolinium</t>
  </si>
  <si>
    <t>Germanium</t>
  </si>
  <si>
    <t>Hafnium</t>
  </si>
  <si>
    <t>Mercury</t>
  </si>
  <si>
    <t>Holmium</t>
  </si>
  <si>
    <t>Indium</t>
  </si>
  <si>
    <t>Potassium</t>
  </si>
  <si>
    <t>Lanthanum</t>
  </si>
  <si>
    <t>Lithium</t>
  </si>
  <si>
    <t>Lutetium</t>
  </si>
  <si>
    <t>Manganese</t>
  </si>
  <si>
    <t>Sodium</t>
  </si>
  <si>
    <t>Niobium</t>
  </si>
  <si>
    <t>Neodymium</t>
  </si>
  <si>
    <t>Phosphorus</t>
  </si>
  <si>
    <t>Palladium</t>
  </si>
  <si>
    <t>Praseodymium</t>
  </si>
  <si>
    <t>Platinum</t>
  </si>
  <si>
    <t>Rubidium</t>
  </si>
  <si>
    <t>Rhenium</t>
  </si>
  <si>
    <t>Rhodium</t>
  </si>
  <si>
    <t>Ruthenium</t>
  </si>
  <si>
    <t>Sulfur</t>
  </si>
  <si>
    <t>Antimony</t>
  </si>
  <si>
    <t>Scandium</t>
  </si>
  <si>
    <t>Selenium</t>
  </si>
  <si>
    <t>Silicon</t>
  </si>
  <si>
    <t>Samarium</t>
  </si>
  <si>
    <t>Strontium</t>
  </si>
  <si>
    <t>Tantalum</t>
  </si>
  <si>
    <t>Terbium</t>
  </si>
  <si>
    <t>Tellurium</t>
  </si>
  <si>
    <t>Thorium</t>
  </si>
  <si>
    <t>Thallium</t>
  </si>
  <si>
    <t>Thulium</t>
  </si>
  <si>
    <t>Vanadium</t>
  </si>
  <si>
    <t>Tungsten</t>
  </si>
  <si>
    <t>Yttrium</t>
  </si>
  <si>
    <t>Ytterbium</t>
  </si>
  <si>
    <t>Zirconium</t>
  </si>
  <si>
    <t>Common name</t>
  </si>
  <si>
    <t>mole/g crust</t>
  </si>
  <si>
    <t>average molecular mass of an element in the crust</t>
  </si>
  <si>
    <t>Mass ratio of the element in the mineral Greenockite</t>
  </si>
  <si>
    <t>Fe2O3, Fe3+2Fe2+O4, and Fe2+CO3</t>
  </si>
  <si>
    <t>Al(OH)3, AlO(OH), and AlO(OH)</t>
  </si>
  <si>
    <t>Accounting only freshwater lakes</t>
  </si>
  <si>
    <t>Neglects capillary GW and accounts only the saturated zone.</t>
  </si>
  <si>
    <t>Assumed to be the minimum of water resources to avoid overaccounting.</t>
  </si>
  <si>
    <t>Assumed to be the minimum of all surface waters to avoid overaccounting.</t>
  </si>
  <si>
    <t>% Ce in ground</t>
  </si>
  <si>
    <t>Weighted average of Orthide-Allanite, Monazite (Ce), Bastnaesite, and Rhabdophane.</t>
  </si>
  <si>
    <t>Mass ratio of Chromium within Chromite</t>
  </si>
  <si>
    <t>Wave energy</t>
  </si>
  <si>
    <t>m</t>
  </si>
  <si>
    <t>Geologic age</t>
  </si>
  <si>
    <t>From (Ma)</t>
  </si>
  <si>
    <t>To (Ma)</t>
  </si>
  <si>
    <t>sej/g C in hydrocarbon</t>
  </si>
  <si>
    <t>types I and II (marine)</t>
  </si>
  <si>
    <t>type III (terrestrial)</t>
  </si>
  <si>
    <t>NPP and kerogen from</t>
  </si>
  <si>
    <t>Oil</t>
  </si>
  <si>
    <t>NG</t>
  </si>
  <si>
    <t>Marine</t>
  </si>
  <si>
    <t>Terrestrial</t>
  </si>
  <si>
    <t>Terrestiral</t>
  </si>
  <si>
    <t>Weighted average</t>
  </si>
  <si>
    <t>Silurian</t>
  </si>
  <si>
    <t>Upper Devonian-Turonian</t>
  </si>
  <si>
    <t>Pennsylvanian-Lower Permian</t>
  </si>
  <si>
    <t>Upper Jurassic</t>
  </si>
  <si>
    <t>Middle Cretaceous</t>
  </si>
  <si>
    <t>Oligocene-Miocene</t>
  </si>
  <si>
    <t>1a. Klemme and Ulmishek (1991); percentages do not add to 100 because 8.5% of global reserves were produced in miscellaneous time periods not included.</t>
  </si>
  <si>
    <t>1b. Klemme, H.D. and G. F. Ulmishek, 1991.  Effective Petroleum Source Rocks of the World: Stratigraphic Distribution and Controlling Depositional Factors. AAPG Bulletin vol. 75, No. 12: 1809-1851.</t>
  </si>
  <si>
    <t>2. According to Beerling (1999) and Berling et al (1999)</t>
  </si>
  <si>
    <t>3. Assuming emergy split 71 marine/29 terrestrial</t>
  </si>
  <si>
    <r>
      <t xml:space="preserve">NPP conversion to kerogen </t>
    </r>
    <r>
      <rPr>
        <vertAlign val="superscript"/>
        <sz val="11"/>
        <color indexed="8"/>
        <rFont val="Calibri"/>
        <family val="2"/>
      </rPr>
      <t>1</t>
    </r>
  </si>
  <si>
    <r>
      <t xml:space="preserve">Kerogen conversion to hydrocarbons </t>
    </r>
    <r>
      <rPr>
        <vertAlign val="superscript"/>
        <sz val="11"/>
        <color indexed="8"/>
        <rFont val="Calibri"/>
        <family val="2"/>
      </rPr>
      <t>2</t>
    </r>
  </si>
  <si>
    <r>
      <t>4% (</t>
    </r>
    <r>
      <rPr>
        <u/>
        <sz val="11"/>
        <color indexed="8"/>
        <rFont val="Calibri"/>
        <family val="2"/>
      </rPr>
      <t>+</t>
    </r>
    <r>
      <rPr>
        <sz val="11"/>
        <color theme="1"/>
        <rFont val="Calibri"/>
        <family val="2"/>
        <scheme val="minor"/>
      </rPr>
      <t xml:space="preserve"> 1%)</t>
    </r>
  </si>
  <si>
    <r>
      <t>2% (</t>
    </r>
    <r>
      <rPr>
        <u/>
        <sz val="11"/>
        <color indexed="8"/>
        <rFont val="Calibri"/>
        <family val="2"/>
      </rPr>
      <t>+</t>
    </r>
    <r>
      <rPr>
        <sz val="11"/>
        <color theme="1"/>
        <rFont val="Calibri"/>
        <family val="2"/>
        <scheme val="minor"/>
      </rPr>
      <t xml:space="preserve"> 0.5%)</t>
    </r>
  </si>
  <si>
    <r>
      <t>75% (</t>
    </r>
    <r>
      <rPr>
        <u/>
        <sz val="11"/>
        <color indexed="8"/>
        <rFont val="Calibri"/>
        <family val="2"/>
      </rPr>
      <t>+</t>
    </r>
    <r>
      <rPr>
        <sz val="11"/>
        <color theme="1"/>
        <rFont val="Calibri"/>
        <family val="2"/>
        <scheme val="minor"/>
      </rPr>
      <t xml:space="preserve"> 15%)</t>
    </r>
  </si>
  <si>
    <r>
      <t>20% (</t>
    </r>
    <r>
      <rPr>
        <u/>
        <sz val="11"/>
        <color indexed="8"/>
        <rFont val="Calibri"/>
        <family val="2"/>
      </rPr>
      <t>+</t>
    </r>
    <r>
      <rPr>
        <sz val="11"/>
        <color theme="1"/>
        <rFont val="Calibri"/>
        <family val="2"/>
        <scheme val="minor"/>
      </rPr>
      <t xml:space="preserve"> 5%)</t>
    </r>
  </si>
  <si>
    <t>1. Demaison and Murris (1984)</t>
  </si>
  <si>
    <t>sum</t>
  </si>
  <si>
    <t>g kerogen per g hydrocarbon</t>
  </si>
  <si>
    <t>from marine</t>
  </si>
  <si>
    <t>from terrestrial</t>
  </si>
  <si>
    <t>g NPP per g kerogen</t>
  </si>
  <si>
    <t>g NPP per g hydrocarbon</t>
  </si>
  <si>
    <t>SB &amp; L Efficiencies</t>
  </si>
  <si>
    <t>A&amp;B Efficiences</t>
  </si>
  <si>
    <t>Period</t>
  </si>
  <si>
    <t>Carbron (E9 MT) in coal</t>
  </si>
  <si>
    <t>Carbon (E9 MT) in Peat</t>
  </si>
  <si>
    <t>Quantity of NPP (E9 MT C)</t>
  </si>
  <si>
    <t>A &amp; B</t>
  </si>
  <si>
    <t>SB &amp; L</t>
  </si>
  <si>
    <t>Devonian</t>
  </si>
  <si>
    <t>Carboniferous</t>
  </si>
  <si>
    <t>Permian</t>
  </si>
  <si>
    <t>Triassic</t>
  </si>
  <si>
    <t>Jurassic</t>
  </si>
  <si>
    <t>Cretaceous</t>
  </si>
  <si>
    <t>Tertiary</t>
  </si>
  <si>
    <t>Total resource</t>
  </si>
  <si>
    <t xml:space="preserve">1. Data are from Bois et al. 1982 and Bestougeff (1980) as reported by Viezer et al. (1989). </t>
  </si>
  <si>
    <t>2. Data are from EIA (2008) Table 8 p.50.</t>
  </si>
  <si>
    <t>Celcius</t>
  </si>
  <si>
    <t>Kelvin</t>
  </si>
  <si>
    <t>grams</t>
  </si>
  <si>
    <t>T cold</t>
  </si>
  <si>
    <t>Carnot eff.</t>
  </si>
  <si>
    <t>Mass fraction of crust</t>
  </si>
  <si>
    <t>Geothermal Emergy</t>
  </si>
  <si>
    <t>Anthracite &amp; Bituminous</t>
  </si>
  <si>
    <t>Sub-bituminous
&amp; Lignite</t>
  </si>
  <si>
    <t>Coal, anthracite</t>
  </si>
  <si>
    <t>Coal, bituminous</t>
  </si>
  <si>
    <t>Coal, sub-bituminous</t>
  </si>
  <si>
    <t>Coal, lignite</t>
  </si>
  <si>
    <t>Gas, natural</t>
  </si>
  <si>
    <t>Oil, crude</t>
  </si>
  <si>
    <t>Atmosphere mass (g)</t>
  </si>
  <si>
    <t>N2</t>
  </si>
  <si>
    <t>Ave atm molar mass</t>
  </si>
  <si>
    <t>Moles in Atm</t>
  </si>
  <si>
    <t>Ca3(PO4)2</t>
  </si>
  <si>
    <t>S8</t>
  </si>
  <si>
    <t>Zoisite</t>
  </si>
  <si>
    <t>Ca2Al3Si3O12(OH)</t>
  </si>
  <si>
    <t>Zircon</t>
  </si>
  <si>
    <t>ZrSiO4</t>
  </si>
  <si>
    <t>Yttrialite</t>
  </si>
  <si>
    <t>Xenotime</t>
  </si>
  <si>
    <t>YbPO4</t>
  </si>
  <si>
    <t>Wollastonite</t>
  </si>
  <si>
    <t>Wolframite</t>
  </si>
  <si>
    <t>Wohlerite</t>
  </si>
  <si>
    <t>Witherite</t>
  </si>
  <si>
    <t>BaCO3</t>
  </si>
  <si>
    <t>Weinschenkite</t>
  </si>
  <si>
    <t>YPO4</t>
  </si>
  <si>
    <t>Vivianite</t>
  </si>
  <si>
    <t>Fe3(PO4)2(H2O)8</t>
  </si>
  <si>
    <t>Vesuvianite</t>
  </si>
  <si>
    <t>Ca10Mg2Al4(SiO4)5(Si2O7)2(OH)4</t>
  </si>
  <si>
    <t>Vernadite</t>
  </si>
  <si>
    <t>Vermiculite</t>
  </si>
  <si>
    <t>Uranium-Thorite</t>
  </si>
  <si>
    <t>ThSiO4</t>
  </si>
  <si>
    <t>Ulvöspinel</t>
  </si>
  <si>
    <t>TiFe2+2O4</t>
  </si>
  <si>
    <t>Ulexite</t>
  </si>
  <si>
    <t>NaCa(B5O6(OH)6)5H2O</t>
  </si>
  <si>
    <t>Troilite</t>
  </si>
  <si>
    <t>FeS</t>
  </si>
  <si>
    <t>Tridymite</t>
  </si>
  <si>
    <t>Tremolite</t>
  </si>
  <si>
    <t>Ca2Mg5Si8O22(OH)2</t>
  </si>
  <si>
    <t>Tourmaline-Schorl</t>
  </si>
  <si>
    <t>NaFe2+3Al6(BO3)3Si6O18(OH)4</t>
  </si>
  <si>
    <t>Tortbernite</t>
  </si>
  <si>
    <t>Cu(UO2)2(PO4)28(H2O)</t>
  </si>
  <si>
    <t>Topaz</t>
  </si>
  <si>
    <t>Todorokite</t>
  </si>
  <si>
    <t>Na2Mn4+4Mn3+2O12 3H2O</t>
  </si>
  <si>
    <t>Titanite</t>
  </si>
  <si>
    <t>Thuringite-Chamosite</t>
  </si>
  <si>
    <t>Thortveitite</t>
  </si>
  <si>
    <t>Sc1;5Y0;5Si2O7</t>
  </si>
  <si>
    <t>Thorite</t>
  </si>
  <si>
    <t>Thorianite</t>
  </si>
  <si>
    <t>ThO2</t>
  </si>
  <si>
    <t>Thomsonite</t>
  </si>
  <si>
    <t>NaCa2Al5Si5O206H2O</t>
  </si>
  <si>
    <t>Tetrahedrite</t>
  </si>
  <si>
    <t>Cu10Fe2Sb4S13</t>
  </si>
  <si>
    <t>Tetradymite</t>
  </si>
  <si>
    <t>Bi2Te2S</t>
  </si>
  <si>
    <t>Tephroite</t>
  </si>
  <si>
    <t>Mn2+2(SiO4)</t>
  </si>
  <si>
    <t>Tennantite</t>
  </si>
  <si>
    <t>Cu10Fe2As4S13</t>
  </si>
  <si>
    <t>Tellurite</t>
  </si>
  <si>
    <t>TeO2</t>
  </si>
  <si>
    <t>Sylvite</t>
  </si>
  <si>
    <t>Sulphur</t>
  </si>
  <si>
    <t>Strontianite</t>
  </si>
  <si>
    <t>Mg(OH)2</t>
  </si>
  <si>
    <t>Stilplomelane</t>
  </si>
  <si>
    <t>KFe2+4.3Mg1.4Fe3+2.3Si10Al2O24(OH)3·2(H2O)</t>
  </si>
  <si>
    <t>Stibnite</t>
  </si>
  <si>
    <t>Stephanite</t>
  </si>
  <si>
    <t>Ag5SbS4</t>
  </si>
  <si>
    <t>Staurolite</t>
  </si>
  <si>
    <t>Fe2+Al9Si4O23(OH)</t>
  </si>
  <si>
    <t>Spodumene</t>
  </si>
  <si>
    <t>Spessartine</t>
  </si>
  <si>
    <t>Mn2+3Al2(SiO4)3</t>
  </si>
  <si>
    <t>Sodalite</t>
  </si>
  <si>
    <t>CoAs2</t>
  </si>
  <si>
    <t>Sirtolite</t>
  </si>
  <si>
    <t>Sillimanite</t>
  </si>
  <si>
    <t>Al2SiO5</t>
  </si>
  <si>
    <t>Fe2+CO3</t>
  </si>
  <si>
    <t>Serpentine/Chrysotile</t>
  </si>
  <si>
    <t>Na8Al6Si6O24Cl2</t>
  </si>
  <si>
    <t>Sepiolite</t>
  </si>
  <si>
    <t>Mg4Si6O15(OH)26(H2O)</t>
  </si>
  <si>
    <t>Scheelite</t>
  </si>
  <si>
    <t>CaWO4</t>
  </si>
  <si>
    <t>Scapolite-Marialite</t>
  </si>
  <si>
    <t>Na4Al3Si9O24Cl</t>
  </si>
  <si>
    <t>Sassolite</t>
  </si>
  <si>
    <t>H3BO3</t>
  </si>
  <si>
    <t>Sapphirine</t>
  </si>
  <si>
    <t>Sanidine</t>
  </si>
  <si>
    <t>Samsonite</t>
  </si>
  <si>
    <t>Ag4MnSb2S6</t>
  </si>
  <si>
    <t>Ripidolite</t>
  </si>
  <si>
    <t>Rinkolite</t>
  </si>
  <si>
    <t>Na2Ca3Ce1;5Y0;5Ti0;4Nb0;5Zr0;1(Si2O7)2O1;5F3;5</t>
  </si>
  <si>
    <t>Riebeckite</t>
  </si>
  <si>
    <t>Na2Fe2+3Fe3+2(Si8O22)(OH)2</t>
  </si>
  <si>
    <t>Rhodonite</t>
  </si>
  <si>
    <t>Mn2+SiO3</t>
  </si>
  <si>
    <t>Rhodochrosite</t>
  </si>
  <si>
    <t>MnCO3</t>
  </si>
  <si>
    <t>Realgar</t>
  </si>
  <si>
    <t>As4S4</t>
  </si>
  <si>
    <t>Ramsayite/Lorenzenite</t>
  </si>
  <si>
    <t>Na2Ti2Si2O9</t>
  </si>
  <si>
    <t>Pyrrhotite</t>
  </si>
  <si>
    <t>Fe2+S</t>
  </si>
  <si>
    <t>Pyrophyllite</t>
  </si>
  <si>
    <t>Pyrolusite</t>
  </si>
  <si>
    <t>Pyrochlore</t>
  </si>
  <si>
    <t>Pyrite</t>
  </si>
  <si>
    <t>Pyrargirite</t>
  </si>
  <si>
    <t>Ag3SbS3</t>
  </si>
  <si>
    <t>Pumpellyte</t>
  </si>
  <si>
    <t>Ca2MgAl2(SiO4)(Si2O7)(OH)2H2O</t>
  </si>
  <si>
    <t>Psilomelane</t>
  </si>
  <si>
    <t>Ba2Mn2+2Mn4+3O102H2O</t>
  </si>
  <si>
    <t>Prehnite</t>
  </si>
  <si>
    <t>Ca2Al2Si3O10(OH)2</t>
  </si>
  <si>
    <t>Powellite</t>
  </si>
  <si>
    <t>Polycrase(Y)</t>
  </si>
  <si>
    <t>Pollucite</t>
  </si>
  <si>
    <t>Polixene/Tetraferroplatinum</t>
  </si>
  <si>
    <t>PtFe</t>
  </si>
  <si>
    <t>Pigeonite</t>
  </si>
  <si>
    <t>Phosphate rock</t>
  </si>
  <si>
    <t>Phlogopite</t>
  </si>
  <si>
    <t>KMg3AlSi3O10F(OH)</t>
  </si>
  <si>
    <t>Phenakite</t>
  </si>
  <si>
    <t>Be2SiO4</t>
  </si>
  <si>
    <t>Perovskite</t>
  </si>
  <si>
    <t>CaTiO3</t>
  </si>
  <si>
    <t>Periclase</t>
  </si>
  <si>
    <t>MgO</t>
  </si>
  <si>
    <t>Pennine</t>
  </si>
  <si>
    <t>Paragonite</t>
  </si>
  <si>
    <t>NaAl3Si3O10(OH)2</t>
  </si>
  <si>
    <t>Palygorskite</t>
  </si>
  <si>
    <t>MgAlSi4O10(OH)4(H2O)</t>
  </si>
  <si>
    <t>KAISi3O8</t>
  </si>
  <si>
    <t>Orthite-Allanite</t>
  </si>
  <si>
    <t>Orpiment</t>
  </si>
  <si>
    <t>As2S3</t>
  </si>
  <si>
    <t>Opal</t>
  </si>
  <si>
    <t>Omphacite</t>
  </si>
  <si>
    <t>Oligoclase</t>
  </si>
  <si>
    <t>Nosean</t>
  </si>
  <si>
    <t>Na8Al6Si6O24SO4</t>
  </si>
  <si>
    <t>Nordite</t>
  </si>
  <si>
    <t>Nontronite</t>
  </si>
  <si>
    <t>Nitratine</t>
  </si>
  <si>
    <t>Niter</t>
  </si>
  <si>
    <t>KNO3</t>
  </si>
  <si>
    <t>Nickeline</t>
  </si>
  <si>
    <t>NiAs</t>
  </si>
  <si>
    <t>Neptunite</t>
  </si>
  <si>
    <t>Nepheline</t>
  </si>
  <si>
    <t>Natrolite</t>
  </si>
  <si>
    <t>Na2Al2Si3O102(H2O)</t>
  </si>
  <si>
    <t>Native silver</t>
  </si>
  <si>
    <t>Naegite</t>
  </si>
  <si>
    <t>Murmanite</t>
  </si>
  <si>
    <t>Montmori-llonite</t>
  </si>
  <si>
    <t>Monazite(Ce)</t>
  </si>
  <si>
    <t>Moissanite</t>
  </si>
  <si>
    <t>SiC</t>
  </si>
  <si>
    <t>Miserite</t>
  </si>
  <si>
    <t>KCa2Ce3Si8O22(OH)1;5F0;5</t>
  </si>
  <si>
    <t>Microlite</t>
  </si>
  <si>
    <t>Metacinnabar</t>
  </si>
  <si>
    <t>Marcasite</t>
  </si>
  <si>
    <t>Manganite</t>
  </si>
  <si>
    <t>MnO(OH)</t>
  </si>
  <si>
    <t>Malachite</t>
  </si>
  <si>
    <t>Cu2(CO3)(OH)2</t>
  </si>
  <si>
    <t>Fe3+2Fe2+O4</t>
  </si>
  <si>
    <t>Magnesioferrite</t>
  </si>
  <si>
    <t>MgFe3+2O4</t>
  </si>
  <si>
    <t>Loparite-(Ce)</t>
  </si>
  <si>
    <t>Mg7(Si8O22)(OH)2</t>
  </si>
  <si>
    <t>Loellingite</t>
  </si>
  <si>
    <t>FeAs2</t>
  </si>
  <si>
    <t>Co3S4</t>
  </si>
  <si>
    <t>Lepidomelane/Annite</t>
  </si>
  <si>
    <t>Lepidolite</t>
  </si>
  <si>
    <t>KLi2AlSi4O10F(OH)</t>
  </si>
  <si>
    <t>Lawsenite</t>
  </si>
  <si>
    <t>Lavenite</t>
  </si>
  <si>
    <t>Lampro-phyllite</t>
  </si>
  <si>
    <t>Na2SrBaTi3Si4O16(OH)F</t>
  </si>
  <si>
    <t>Labradorite</t>
  </si>
  <si>
    <t>Kornerupine</t>
  </si>
  <si>
    <t>Kieserite</t>
  </si>
  <si>
    <t>Kernite</t>
  </si>
  <si>
    <t>Al2Si2O5(OH)4</t>
  </si>
  <si>
    <t>Jarosite</t>
  </si>
  <si>
    <t>KFe3+3(SO4)2(OH)6</t>
  </si>
  <si>
    <t>Jadeite</t>
  </si>
  <si>
    <t>Jacobsite</t>
  </si>
  <si>
    <t>I-Platinum</t>
  </si>
  <si>
    <t>Iotsite</t>
  </si>
  <si>
    <t>FeO</t>
  </si>
  <si>
    <t>Ilmenorutile</t>
  </si>
  <si>
    <t>Hyperstene</t>
  </si>
  <si>
    <t>MgFe2+Si2O6</t>
  </si>
  <si>
    <t>Hydrosodalite</t>
  </si>
  <si>
    <t>Na8Al6Si6O24(OH)2</t>
  </si>
  <si>
    <t>Hydrobiotite</t>
  </si>
  <si>
    <t>Al(OH)3</t>
  </si>
  <si>
    <t>Humite</t>
  </si>
  <si>
    <t>Hornblende-Fe</t>
  </si>
  <si>
    <t>Hollandite</t>
  </si>
  <si>
    <t>Hisingerite</t>
  </si>
  <si>
    <t>Fe3+2Si2O5(OH)42(H2O)</t>
  </si>
  <si>
    <t>Helvite</t>
  </si>
  <si>
    <t>Mn4Be3(SiO4)3S</t>
  </si>
  <si>
    <t>Hedenbergite</t>
  </si>
  <si>
    <t>CaFe2+Si2O6</t>
  </si>
  <si>
    <t>Hastingsite</t>
  </si>
  <si>
    <t>NaCa2Fe2+4Fe3+(Si6Al2O22)(OH)2</t>
  </si>
  <si>
    <t>Halite</t>
  </si>
  <si>
    <t>Gypsum</t>
  </si>
  <si>
    <t>CaSO42H2O</t>
  </si>
  <si>
    <t>Grossular</t>
  </si>
  <si>
    <t>Ca3Al2(SiO4)3</t>
  </si>
  <si>
    <t>Greenockite</t>
  </si>
  <si>
    <t>Graphite</t>
  </si>
  <si>
    <t>Goethite</t>
  </si>
  <si>
    <t>Glaucophane</t>
  </si>
  <si>
    <t>Na2(Mg3Al2)Si8O22(OH)2</t>
  </si>
  <si>
    <t>Glauconite</t>
  </si>
  <si>
    <t>Gedrite</t>
  </si>
  <si>
    <t>Mg5Al2(Si6Al2O22)(OH)2</t>
  </si>
  <si>
    <t>Galena</t>
  </si>
  <si>
    <t>PbS</t>
  </si>
  <si>
    <t>Gadolinite</t>
  </si>
  <si>
    <t>Y2Fe2+Be2(Si2O10)</t>
  </si>
  <si>
    <t>Freibergite</t>
  </si>
  <si>
    <t>Ag7.2Cu3.6Fe2+1.2Sb3AsS13</t>
  </si>
  <si>
    <t>Francolite</t>
  </si>
  <si>
    <t>Forsterite</t>
  </si>
  <si>
    <t>Mg2SiO4</t>
  </si>
  <si>
    <t>Fluorite</t>
  </si>
  <si>
    <t>Ferrotantalite/Tantalite-(Fe)</t>
  </si>
  <si>
    <t>Fe2+Ta2O6</t>
  </si>
  <si>
    <t>Fe2+MgSi2O6</t>
  </si>
  <si>
    <t>Ferrocolum-bite/Columbite-(Fe)</t>
  </si>
  <si>
    <t>Fe2+Nb2O6</t>
  </si>
  <si>
    <t>Fergusonite</t>
  </si>
  <si>
    <t>Fayalite</t>
  </si>
  <si>
    <t>Fe2+2SiO4</t>
  </si>
  <si>
    <t>Euxenite</t>
  </si>
  <si>
    <t>Eudyalite</t>
  </si>
  <si>
    <t>Epidote</t>
  </si>
  <si>
    <t>Ca2Fe3+Al2(SiO4)3(OH)</t>
  </si>
  <si>
    <t>Mg2Si2O6</t>
  </si>
  <si>
    <t>Dumortierite</t>
  </si>
  <si>
    <t>Distene/Kyanite</t>
  </si>
  <si>
    <t>Diopside</t>
  </si>
  <si>
    <t>CaMgSi2O6</t>
  </si>
  <si>
    <t>Delorenzite/Tanteuxenite-(Y)</t>
  </si>
  <si>
    <t>Dawsonite</t>
  </si>
  <si>
    <t>NaAl(CO3)(OH)2</t>
  </si>
  <si>
    <t>Cummingtonite</t>
  </si>
  <si>
    <t>Cubanite</t>
  </si>
  <si>
    <t>CuFe2S3</t>
  </si>
  <si>
    <t>Cryptomelane</t>
  </si>
  <si>
    <t>Cryolite</t>
  </si>
  <si>
    <t>Na3AlF6</t>
  </si>
  <si>
    <t>Crossite</t>
  </si>
  <si>
    <t>Na2Mg2Fe2+Al2(Si8O22)(OH)2</t>
  </si>
  <si>
    <t>Cristobalite</t>
  </si>
  <si>
    <t>Covellite</t>
  </si>
  <si>
    <t>CuS</t>
  </si>
  <si>
    <t>Cordierite</t>
  </si>
  <si>
    <t>Mg2Al4Si5O18</t>
  </si>
  <si>
    <t>Colemanite</t>
  </si>
  <si>
    <t>Cobaltite</t>
  </si>
  <si>
    <t>Clinozoisite</t>
  </si>
  <si>
    <t>Ca2Al3(SiO4)3(OH)</t>
  </si>
  <si>
    <t>Clinohumite</t>
  </si>
  <si>
    <t>Clementite</t>
  </si>
  <si>
    <t>Cinnabar</t>
  </si>
  <si>
    <t>Chrysocolla</t>
  </si>
  <si>
    <t>Cu2Si2O6(H2O)4</t>
  </si>
  <si>
    <t>Chrysoberyl</t>
  </si>
  <si>
    <t>BeAl2O4</t>
  </si>
  <si>
    <t>Chromite</t>
  </si>
  <si>
    <t>Chondrodite</t>
  </si>
  <si>
    <t>Chloritoid</t>
  </si>
  <si>
    <t>Chlorargirite</t>
  </si>
  <si>
    <t>AgCl</t>
  </si>
  <si>
    <t>Chevkinite</t>
  </si>
  <si>
    <t>Chalcopyrite</t>
  </si>
  <si>
    <t>Chalcocite</t>
  </si>
  <si>
    <t>Cu2S</t>
  </si>
  <si>
    <t>Cerussite</t>
  </si>
  <si>
    <t>PbCO3</t>
  </si>
  <si>
    <t>Celestine</t>
  </si>
  <si>
    <t>SrSO4</t>
  </si>
  <si>
    <t>Cassiterite</t>
  </si>
  <si>
    <t>SnO2</t>
  </si>
  <si>
    <t>Carnotite</t>
  </si>
  <si>
    <t>Cancrinite</t>
  </si>
  <si>
    <t>Na6Ca2Al6Si6O24(CO3)2</t>
  </si>
  <si>
    <t>AuTe2</t>
  </si>
  <si>
    <t>C org</t>
  </si>
  <si>
    <t>Bytownite</t>
  </si>
  <si>
    <t>Brucite</t>
  </si>
  <si>
    <t>SrCO3</t>
  </si>
  <si>
    <t>Brookite</t>
  </si>
  <si>
    <t>Bronzite</t>
  </si>
  <si>
    <t>MgFeSi2O6</t>
  </si>
  <si>
    <t>Britholite</t>
  </si>
  <si>
    <t>Braunite</t>
  </si>
  <si>
    <t>Mn2+Mn3+6SiO12</t>
  </si>
  <si>
    <t>Boulangerite</t>
  </si>
  <si>
    <t>Pb5Sb4S11</t>
  </si>
  <si>
    <t>Bornite</t>
  </si>
  <si>
    <t>Cu5FeS4</t>
  </si>
  <si>
    <t>CaAl2Si2O7(OH)2H2O</t>
  </si>
  <si>
    <t>Blomstrandite</t>
  </si>
  <si>
    <t>Bismutite</t>
  </si>
  <si>
    <t>Bi2(CO3)O2</t>
  </si>
  <si>
    <t>Bismuthinite</t>
  </si>
  <si>
    <t>Bi2S3</t>
  </si>
  <si>
    <t>Bismite</t>
  </si>
  <si>
    <t>Bi2O3</t>
  </si>
  <si>
    <t>Bischofite</t>
  </si>
  <si>
    <t>MgCl26(H2O)</t>
  </si>
  <si>
    <t>Biotite</t>
  </si>
  <si>
    <t>Beryl</t>
  </si>
  <si>
    <t>Be3Al2Si6O18</t>
  </si>
  <si>
    <t>Bertrandite</t>
  </si>
  <si>
    <t>Be4Si2O7(OH)2</t>
  </si>
  <si>
    <t>Beidellite</t>
  </si>
  <si>
    <t>Barite</t>
  </si>
  <si>
    <t>Baddeleyite</t>
  </si>
  <si>
    <t>Azurite</t>
  </si>
  <si>
    <t>Cu3(CO3)2(OH)2</t>
  </si>
  <si>
    <t>Axinite-Fe</t>
  </si>
  <si>
    <t>Ca2Fe2+Al2BO3Si4O12(OH)</t>
  </si>
  <si>
    <t>Augite</t>
  </si>
  <si>
    <t>Arsenopyrite</t>
  </si>
  <si>
    <t>FeAsS</t>
  </si>
  <si>
    <t>Arsenolite</t>
  </si>
  <si>
    <t>As2O3</t>
  </si>
  <si>
    <t>Argentite</t>
  </si>
  <si>
    <t>Ag2S</t>
  </si>
  <si>
    <t>Arfvedsonite</t>
  </si>
  <si>
    <t>Na3Fe2+4Fe3+(Si8O22)(OH)2</t>
  </si>
  <si>
    <t>Aragonite</t>
  </si>
  <si>
    <t>Anthophyllite</t>
  </si>
  <si>
    <t>Mg7Si8O22(OH)2</t>
  </si>
  <si>
    <t>Ankerite</t>
  </si>
  <si>
    <t>Anhydrite</t>
  </si>
  <si>
    <t>Anglesite</t>
  </si>
  <si>
    <t>PbSO4</t>
  </si>
  <si>
    <t>Andradite</t>
  </si>
  <si>
    <t>Ca3Fe2+2(SiO4)3</t>
  </si>
  <si>
    <t>Andesine</t>
  </si>
  <si>
    <t>Andalusite</t>
  </si>
  <si>
    <t>Fe3+O(OH)</t>
  </si>
  <si>
    <t>Anatase</t>
  </si>
  <si>
    <t>Analcime</t>
  </si>
  <si>
    <t>NaAlSi2O6 (H2O)</t>
  </si>
  <si>
    <t>Amblygonite</t>
  </si>
  <si>
    <t>Alunite</t>
  </si>
  <si>
    <t>KAl3(SO4)2(OH)6</t>
  </si>
  <si>
    <t>Almandine</t>
  </si>
  <si>
    <t>Fe2+3Al2(SiO4)3</t>
  </si>
  <si>
    <t>Aenigmatite</t>
  </si>
  <si>
    <t>Aegirine</t>
  </si>
  <si>
    <t>NaFe3+Si2O6</t>
  </si>
  <si>
    <t>Actinolite</t>
  </si>
  <si>
    <t>Ca2Mg3Fe2Si8O22(OH)2</t>
  </si>
  <si>
    <t>Acanthite</t>
  </si>
  <si>
    <t>Smectite</t>
  </si>
  <si>
    <t>NG @ STP</t>
  </si>
  <si>
    <t>MJ/kg</t>
  </si>
  <si>
    <t>MJ/m3</t>
  </si>
  <si>
    <t>Crude oil</t>
  </si>
  <si>
    <t>H2O</t>
  </si>
  <si>
    <t>Ar</t>
  </si>
  <si>
    <t>Argon</t>
  </si>
  <si>
    <t>Water vapor</t>
  </si>
  <si>
    <t>Neon</t>
  </si>
  <si>
    <t>Ne</t>
  </si>
  <si>
    <t>Helium</t>
  </si>
  <si>
    <t>Strat Ozone</t>
  </si>
  <si>
    <t>O3</t>
  </si>
  <si>
    <t>Hyrdrogen</t>
  </si>
  <si>
    <t>H2</t>
  </si>
  <si>
    <t>Nitrous oxide</t>
  </si>
  <si>
    <t>N2O</t>
  </si>
  <si>
    <t>Carbon monoxide</t>
  </si>
  <si>
    <t>CO</t>
  </si>
  <si>
    <t>Weighted Average (sej/J)</t>
  </si>
  <si>
    <t>J/g</t>
  </si>
  <si>
    <t>CoAs2, CoAsS, Co3S4</t>
  </si>
  <si>
    <t>Annual Flux</t>
  </si>
  <si>
    <t>% La in ground</t>
  </si>
  <si>
    <t>Data from Brown et al. 2011</t>
  </si>
  <si>
    <t>Approximated with Galena</t>
  </si>
  <si>
    <t xml:space="preserve">Water flux data from Shiklomanov and Rodda (2003) </t>
  </si>
  <si>
    <t xml:space="preserve">Data from Adler et al. (2003) </t>
  </si>
  <si>
    <t>Li0.75Na0.25Al(PO4)F0.75(OH)0.25</t>
  </si>
  <si>
    <t>Ca5(PO4)3(OH)0.33F0.33Cl0.33</t>
  </si>
  <si>
    <t>Ce0.5La0.25Nd0.2Th0.05(PO4)</t>
  </si>
  <si>
    <t>Ca(Ce0.4Ca0.2Y0.133)(Al2Fe3+)Si3O12(OH)</t>
  </si>
  <si>
    <t>Ce0.75La0.25(PO4)H2O</t>
  </si>
  <si>
    <t>% P in ground</t>
  </si>
  <si>
    <t>Phosphate Rock</t>
  </si>
  <si>
    <t>Net production</t>
  </si>
  <si>
    <t>Yield = 9.3 tn C/ha/yr; 8 kcal/g C</t>
  </si>
  <si>
    <t>Yield = 13 tn C/ha/yr; 8 kcal/g C</t>
  </si>
  <si>
    <t>O.M. deposition</t>
  </si>
  <si>
    <t>Run-in, chemical</t>
  </si>
  <si>
    <t>Eroded limestone</t>
  </si>
  <si>
    <t>Yield: NPP = 6.13 tn C/ha/yr; 8 kcal/g</t>
  </si>
  <si>
    <t>Sunlight</t>
  </si>
  <si>
    <t>Hurricanes (long term)</t>
  </si>
  <si>
    <t>Precipitation, chemical</t>
  </si>
  <si>
    <t>Deep heat</t>
  </si>
  <si>
    <t>Atmospheric deposition</t>
  </si>
  <si>
    <t>Internal processes</t>
  </si>
  <si>
    <t>Wood accumulation</t>
  </si>
  <si>
    <t>Doherty 1995</t>
  </si>
  <si>
    <t>Tilley 1999</t>
  </si>
  <si>
    <t>26 year timber harvest, assuming Quercus ruba represents the lumber wood.</t>
  </si>
  <si>
    <t>Truncated to the smallest of available lumber wood ECFs to avoid unnecessary overestimation.</t>
  </si>
  <si>
    <t>Orrell 1998</t>
  </si>
  <si>
    <t>Pine flatwood, assuming Pinus elliottii is representative.</t>
  </si>
  <si>
    <t>Direct sun</t>
  </si>
  <si>
    <t>Unit/m2/yr</t>
  </si>
  <si>
    <t>Emergy (sej/m2/yr)</t>
  </si>
  <si>
    <t xml:space="preserve">Water used </t>
  </si>
  <si>
    <t>Sediment deposition (OM)</t>
  </si>
  <si>
    <t>Time to maturity = 120 yrs</t>
  </si>
  <si>
    <t>kg/ha</t>
  </si>
  <si>
    <t>kg/yr</t>
  </si>
  <si>
    <t>Time to maturity = 250 yrs</t>
  </si>
  <si>
    <t>Based on Amazon Report (Odum, et. al 1986)</t>
  </si>
  <si>
    <t>Ocean Currents</t>
  </si>
  <si>
    <t>Geothermal energy (deep heat)</t>
  </si>
  <si>
    <t>Rain (chemical potential)</t>
  </si>
  <si>
    <t>Odum et al 1986</t>
  </si>
  <si>
    <t>Weber, 1996</t>
  </si>
  <si>
    <t>Runoff geopotential energy</t>
  </si>
  <si>
    <t>Average biomass = 227t ha-1  (Conner, 1994)</t>
  </si>
  <si>
    <t>Harvested wood = 40% of standing biomass</t>
  </si>
  <si>
    <t>Harvested wood = 40% of standing biomass (Birdsley, 1996)</t>
  </si>
  <si>
    <t>sec/yr</t>
  </si>
  <si>
    <t>harvested stemwood: 5.6 m3/ha/yr (0.425 e6 g/m3)(2.052 E4 J/g)</t>
  </si>
  <si>
    <t>mm/d</t>
  </si>
  <si>
    <t>Non-renewable</t>
  </si>
  <si>
    <t>Minerals and Metals</t>
  </si>
  <si>
    <t>Raw renewables</t>
  </si>
  <si>
    <t>Fossil fuels</t>
  </si>
  <si>
    <t>yrs</t>
  </si>
  <si>
    <t>Labor</t>
  </si>
  <si>
    <t>air</t>
  </si>
  <si>
    <t>1 seJ/J sunlight by definition, therefore 1e6 seJ/MJ sunlight.</t>
  </si>
  <si>
    <t>sej/kg wood</t>
  </si>
  <si>
    <t>Rain, physical (GeoP of runoff)</t>
  </si>
  <si>
    <t>kg wood</t>
  </si>
  <si>
    <t>Assuming Oak-hickory</t>
  </si>
  <si>
    <t>Assuming Loblolly/Longleaf Pine</t>
  </si>
  <si>
    <t>seJ/kg wood</t>
  </si>
  <si>
    <t>Forest gross primary production = 7.05 g/m2/day = 25,750 kg/ha/yr</t>
  </si>
  <si>
    <t>ECF is ratio of PEB to annual terrestrial N outflow (from Figure 5 in Watanabe and Ortega, 2011).</t>
  </si>
  <si>
    <t>NPP (carbon)</t>
  </si>
  <si>
    <t>NPP (wood)</t>
  </si>
  <si>
    <t>sum triparite</t>
  </si>
  <si>
    <t>kg wood/ha</t>
  </si>
  <si>
    <t>Average biomass = 370t ha-1 (Brown and Lugo, 1981)</t>
  </si>
  <si>
    <t>Water, runoff geopotential</t>
  </si>
  <si>
    <t>sediment cycle, geomorphology, watersheds, fisheries, etc.</t>
  </si>
  <si>
    <t>sediment clogging, diminished downstream pulsing</t>
  </si>
  <si>
    <t>This work; based on terrestrial rainfall (Adler et al., 2003) and average elevation of the continents.</t>
  </si>
  <si>
    <t>kgm</t>
  </si>
  <si>
    <t>Emergy per megaJoule of runoff geopotential</t>
  </si>
  <si>
    <t>m2</t>
  </si>
  <si>
    <t>Silver, 3.2ppm in sulfide, Ag 1.2ppm, Cu and Te, in crude ore, in ground</t>
  </si>
  <si>
    <t>Silver, 0.007% in sulfide, Ag 0.004%, Pb, Zn, Cd, In, in ground</t>
  </si>
  <si>
    <t>Manganese, 35.7% in sedimentary deposit, 14.2% in crude ore, in ground</t>
  </si>
  <si>
    <t>g/mol</t>
  </si>
  <si>
    <t xml:space="preserve"> @ ave abundance</t>
  </si>
  <si>
    <t xml:space="preserve"> @ mine abundance</t>
  </si>
  <si>
    <t>Na2Fe2+5TiSi6O20</t>
  </si>
  <si>
    <t>Li0:75Na0:25Al(PO4)F0:75(OH)0:25</t>
  </si>
  <si>
    <t>Na0:6Ca0:4Al1:4Si2:608</t>
  </si>
  <si>
    <t>CaFe2+0:6Mg0:3Mn2+0:1(CO3)2</t>
  </si>
  <si>
    <t>Ca5(PO4)3(OH)0:33F0:33Cl0:33</t>
  </si>
  <si>
    <t>Ca0:9Na0:1Mg0:9Fe2+0:2Al0:4Ti0:1Si1:9O6</t>
  </si>
  <si>
    <t>Na0:33Al2:33Si3:67O10(OH)2</t>
  </si>
  <si>
    <t>K(Mg2:5Fe0:5)(Si3Al)O10(OH)1:75F0:25</t>
  </si>
  <si>
    <t>U0:3Ca0:2Nb0:9Ti0:8Al0:1Fe3+0:1Ta0:5O6(OH)</t>
  </si>
  <si>
    <t>Ca2:9Ce0:9Th0:6La0:4Nd0:2Si2:7P0:5O12(OH)0:8F0:2</t>
  </si>
  <si>
    <t>Na0:2Ca0:8Al1:8Si2:2O8</t>
  </si>
  <si>
    <t>N.A.</t>
  </si>
  <si>
    <t>Ce1:7La1:4Ca0:8Th0:1Fe2+1:8Mg0:5Ti2:5Fe3+0:5Si4O22</t>
  </si>
  <si>
    <t>Fe2+1:2Mg0:6Mn2+0.2Al4Si2O10(OH)4</t>
  </si>
  <si>
    <t>Mg3:75Fe2+1:25(SiO4)2F1:5(OH)0:5</t>
  </si>
  <si>
    <t>Fe2+3Mg1:5AlFe3+Si3AlO12(OH)6</t>
  </si>
  <si>
    <t>Mg3:75Fe1:25Al2Si3O10(OH)8</t>
  </si>
  <si>
    <t>Mg6:75Fe2:25Si4O16(OH)0:5F1:5</t>
  </si>
  <si>
    <t>Pt0;6Pd0;3Ni0;1S</t>
  </si>
  <si>
    <t>K8(Mn4+7:5Mn2+0:5)O16</t>
  </si>
  <si>
    <t>Y0:7Ca0:2Ce0:12(Ta0:7)2(Nb0:2)2(Ti0:1)O5:5(OH)0:5</t>
  </si>
  <si>
    <t>Al6:9(BO3)(SiO4)3O2:5(OH)0:5</t>
  </si>
  <si>
    <t>Na4Ca2Fe2+0:7Mn0:3ZrSi8O22(OH)1:5Cl1:5</t>
  </si>
  <si>
    <t>Y0:7Ca0:2Ce0:1(Ta0:2)2(Nb0:7)2(Ti0:025)O6</t>
  </si>
  <si>
    <t>Nd0:4Ce0:4Sm0:1Y0;1NbO4</t>
  </si>
  <si>
    <t>Ca5(PO4)2:63(CO3)0:5F1:11</t>
  </si>
  <si>
    <t>Gersdor_x000E_te</t>
  </si>
  <si>
    <t>(K0:6Na0:05)(Fe3+1:3Mg0:4Fe2+0:2Al3+0:15)(Si3:8Al0:2)O10(OH)2</t>
  </si>
  <si>
    <t>Ba0:8Pb0:2Na0:125Fe1:3Al0:2Si0:10:5Mn2+Mn4+6O16</t>
  </si>
  <si>
    <t>Ca2Fe2+4Al0:75Fe3+0.25(Si7AlO22)(OH)2</t>
  </si>
  <si>
    <t>Mg5:25Fe2+1:75(SiO4)3F1:5(OH)0:5</t>
  </si>
  <si>
    <t>(K0:3Ca0;1)(Mg2:3Fe3+0.06Al0:1)(Si2:8Al1:2)O10((OH)1:8F0:2)3(H2O)</t>
  </si>
  <si>
    <t>K0:6(H3O)0:4Al2Mg0:4Fe2+Si3:5O10(OH)2</t>
  </si>
  <si>
    <t>Ti0:7Nb0:15Fe2+0:225O2</t>
  </si>
  <si>
    <t>Ir0:5Os0:3Ru0:2</t>
  </si>
  <si>
    <t>Mn2+0:6Fe2+0:3Mg2+Fe3+1:5Mn3+0:5O4</t>
  </si>
  <si>
    <t>NaAl0:9Fe3+0:1(Si2O6)</t>
  </si>
  <si>
    <t>Mg1:1Fe0:2Al5:7(Si3:7B0:3)O17:2(OH)</t>
  </si>
  <si>
    <t>Na0:5Ca0:5Al1:5Si2:5O8</t>
  </si>
  <si>
    <t>Na1:1Ca0:9Mn2+0:5Fe2+0.05Zr0:8Ti0:1Nb0:1(Si2O7)O0:6(OH)0:3F0:1</t>
  </si>
  <si>
    <t>KFe2+2:5Mg0:5Fe3+Al0:25Si3O10(OH)2</t>
  </si>
  <si>
    <t>Na0:6Ce0:22La0:11Ca0:1Ti0:8Nb0:2O3</t>
  </si>
  <si>
    <t>Na0:4Ca1:6Ta2O6:6(OH)0:3F0:1</t>
  </si>
  <si>
    <t>Ce0:5La0:25Nd0:2Th0:05(PO4)</t>
  </si>
  <si>
    <t>Na0:165Ca0:084Al2:33Si3:67O10(OH)2</t>
  </si>
  <si>
    <t>Na4Ti3:6Nb0:4(Si2O7)2O44(H2O)</t>
  </si>
  <si>
    <t>KAl3Si3O10(OH)1:8F0:2</t>
  </si>
  <si>
    <t>Na0:75K0;25Al(SiO4)</t>
  </si>
  <si>
    <t>KNa2LiFe2+1:5Mn2+.05Ti2Si8O24</t>
  </si>
  <si>
    <t>Na0:3Fe3+2(Si3:7Al0;3)O10(OH)24(H2O)</t>
  </si>
  <si>
    <t>Na2:8Mn2+0:2Sr0:5Ca0:5La0:33Ce0:6Zn0;6Mg0:4Si6O17</t>
  </si>
  <si>
    <t>Na0:8Ca0:2Al1:2Si2:808</t>
  </si>
  <si>
    <t>Mg1:6Fe2+0:4(SiO4)</t>
  </si>
  <si>
    <t>Ca0:6Na0:4Mg0:6Al0:3Fe0:1Si2O6</t>
  </si>
  <si>
    <t>SiO2O, 5H2O</t>
  </si>
  <si>
    <t>Ca(Ce0:4Ca0:2Y0:133)(Al2Fe3+)Si3O12(OH)</t>
  </si>
  <si>
    <t>Os0:75Ir0:25</t>
  </si>
  <si>
    <t>(Mg3:75Fe1:25Al)(Si3Al)O10(OH)2(OH)6</t>
  </si>
  <si>
    <t>Fe2+4:5Ni4:5S8</t>
  </si>
  <si>
    <t>Mg1:35Fe0:55Ca0:1(Si2O6)</t>
  </si>
  <si>
    <t>Cs0:6Na0:2Rb0:1Al0:9Si2:1O6(H2O)</t>
  </si>
  <si>
    <t>Y0:5Ca0:1Ce0:1U0:1Th0:1Ti1:2Nb0:6Ta0:2O6</t>
  </si>
  <si>
    <t>NaCaNb2O6(OH)0:75F0:25</t>
  </si>
  <si>
    <t>Ce0:75La0:25(PO4)H2O</t>
  </si>
  <si>
    <t>K0:75Na0:25AlSi3O8</t>
  </si>
  <si>
    <t>Mg4Al6:5Si1:5O20</t>
  </si>
  <si>
    <t>Au0:75Ag0:25Te2</t>
  </si>
  <si>
    <t>(Fe3Mg2Fe3+0:5Al3+0:5)(Si3Al)O10(OH)2</t>
  </si>
  <si>
    <t>Al2(SiO4)F1:1(OH)0:9</t>
  </si>
  <si>
    <t>Mn4+0:6Fe3+0:2Ca0:2Na0:1O1:5(OH)0:51:4(H2O)</t>
  </si>
  <si>
    <t>NaCa2Zr0:6Nb0:4Si2O8:4(OH)0:3F0:3</t>
  </si>
  <si>
    <t>Fe2+0:5Mn0:5WO4</t>
  </si>
  <si>
    <t>Y1:5Th0:5Si2O7</t>
  </si>
  <si>
    <t>% element</t>
  </si>
  <si>
    <t>seJ/g</t>
  </si>
  <si>
    <t>% Au</t>
  </si>
  <si>
    <t>Types of wood</t>
  </si>
  <si>
    <t>Boreal spruce and pine</t>
  </si>
  <si>
    <t>Southern mixed hardwood</t>
  </si>
  <si>
    <t>Pine flatwood</t>
  </si>
  <si>
    <t>Cypress dominated floodplain</t>
  </si>
  <si>
    <t>Temperate forest</t>
  </si>
  <si>
    <t>Southern mixed hardwood swamp</t>
  </si>
  <si>
    <t>Tropical lowland forest</t>
  </si>
  <si>
    <t>m3 wood/yr</t>
  </si>
  <si>
    <t>kg wood/yr</t>
  </si>
  <si>
    <t>Harvested stemwood: 5.6 m3/ha/yr (0.425 e6 g/m3)</t>
  </si>
  <si>
    <t>40% of standing biomass is wood yield (Birdsley, 1996)</t>
  </si>
  <si>
    <t>Subtropical Cypress wetland</t>
  </si>
  <si>
    <t>Valero, A., Valero, A., &amp; Vieillard, P. (2012). The thermodynamic properties of the upper continental crust: Exergy, Gibbs free energy and enthalpy. Energy, 41(1), 121–127.</t>
  </si>
  <si>
    <t>Szargut, J., Valero, A., Stanek, W., &amp; Valero, A. (n.d.). Towards an International Reference Environment of Chemical Exergy, (October 2005).</t>
  </si>
  <si>
    <t>Internet sources</t>
  </si>
  <si>
    <t>Adler, R. F., Huffman, G. J., Chang, A., Ferraro, R., Xie, P.-P., Janowiak, J., … Nelkin, E. (2003). The Version-2 Global Precipitation Climatology Project (GPCP) Monthly Precipitation Analysis (1979–Present). Journal of Hydrometeorology, 4(6), 1147–1167.</t>
  </si>
  <si>
    <t>Dai, A., Qian, T., Trenberth, K. E., &amp; Milliman, J. D. (2009). Changes in Continental Freshwater Discharge from 1948 to 2004. Journal of Climate, 22(10), 2773–2792. doi:10.1175/2008JCLI2592.1</t>
  </si>
  <si>
    <t>Veizer J. and Jansen S.L. (1985) Basement and sedimentary recycling - 2: Time dimension to global tectonics. The journal of geology. 93(6):625-643.</t>
  </si>
  <si>
    <t>Berzina, A. N., Sotnikov, V. I., Economou-Eliopoulos, M., &amp; Eliopoulos, D. G. (2005). Distribution of rhenium in molybdenite from porphyry Cu-Mo and Mo-Cu deposits of Russia (Siberia) and Mongolia. Ore Geology Reviews, 26(1-2), 91–113. doi:10.1016/j.oregeorev.2004.12.002</t>
  </si>
  <si>
    <t>DeWulf, J., Van Langenhove, H., Muys, B., Bruers, S., Backshi, B.R., Grubb, G.F., Paulus, D.M., and Sciubba, E. (2008) Exergy: Its potential and limitations in environmental science and technology. Environmental Science and Technology 42(7):2221-2232</t>
  </si>
  <si>
    <t>Valero, A., Valero, A., and Arauzo, I. (2008) Evolution of the decrease in mineral exergy throughout the 20th century. The case of copper in the US. Energy 33:107-115</t>
  </si>
  <si>
    <t>Brown, M.T. and Bardi, E. (2001) Handbook of Emergy Evaluation A Compendium of Data for Emergy Computation Issued in a Series of Folios Folio # 3 Emergy of Ecosystems</t>
  </si>
  <si>
    <t>Brandt-Williams S. and Brown M.T. (2010) Renewable emergy in Earth's biomes. Proceedings of the 6th Biennial Emergy Research Conference. Center for Environmental Policy, Gainesville, Fl., Chapter 9</t>
  </si>
  <si>
    <t>Raich J.W. and Schlesinger W.H. (1992) The global carbon dioxide flux in soil respiration and its relationship to vegetation and climate. Tellus 44B:81-99</t>
  </si>
  <si>
    <t>Schlesinger, W.H. (1984) Soil organic matter: A source of atmospheric CO2. In: The role of terrestrial vegetation in the global carbon cycle: Measurement by remote sensing (ed. G.M. Woodwell). Chichester/U.K.: John Wiley &amp; Wons, 111-127</t>
  </si>
  <si>
    <t>Willenbring, J.K., Codilean, A.T., and McElroy, B. (2013) Earth is (mostly) flat: Apportionment of the flux of continental sediment over millennial time scales. Geology 41(3):343-346</t>
  </si>
  <si>
    <t>Bois, C., Bouche, P., Pelet, R., 1982. Global geologic history and distribution of hydrocarbon reserves. American Association of Petroleum Geolgists Bulletin 66, 248–1270.</t>
  </si>
  <si>
    <t>EIA, 2010. U.S. Coal Consumption by End Use Sector, by Census Division and State. US Energy Information Agency, Downloaded on 21July, 2010 from http://www.eia.doe.gov/cfapps/ipdbproject/IEDIndex3.cfm?tid=1&amp;pid=7&amp;aid=6.</t>
  </si>
  <si>
    <t>Veizer, J., Laznicka, P., Jansen, S.L., 1989. Mineralization through geologic time: recycling perspective. American Journal of Science 289 (4), 484–524.</t>
  </si>
  <si>
    <t>Valero, A., &amp; Arauzo, I. (1991). Exergy outcomes associated with the greenhouse effects. In Proceedings of second law analysis.</t>
  </si>
  <si>
    <t>Teichmuller M. and Teichmuller R. (1979) Diagenesis of coal (coalification) in (G. Larsen and G.V. Chilingar eds.) Diagenesis in sediments and sedimentary rocks. P 207-248</t>
  </si>
  <si>
    <t>Brown, M.T. and Ulgiati, S. (2010). Updated evaluation of exergy and emergy driving the geobiosphere: A review and refinement of the emergy baseline. Ecological Modelling, 221(20), 2501–2508. doi:10.1016/j.ecolmodel.2010.06.027</t>
  </si>
  <si>
    <t>Teichmuller, R., Teichmuller, M., 1986. Relations between coalification and palaeogeothermics In Variscan And Alpidic Foredeeps of Western Europe. Paleogeothermics 5, 53–78</t>
  </si>
  <si>
    <t>Brown, M. T., Protano, G., &amp; Ulgiati, S. (2011). Assessing geobiosphere work of generating global reserves of coal, crude oil, and natural gas. Ecological Modelling, 222(3), 879–887. doi:10.1016/j.ecolmodel.2010.11.006</t>
  </si>
  <si>
    <t>Ward, C., 1984. Coal Geology and Coal Technology. Blackwell Scientific Press.</t>
  </si>
  <si>
    <t>Klemme, H.D., Ulmishek, G.F., 1991. Effective petroleum source rocks of the world: stratigraphic distribution and controlling depositional factors. AAPG Bulletin 75 (12), 1809–1851.</t>
  </si>
  <si>
    <t>Dukes, J.S., 2003. Burning buried sunshine: human consumption of ancient solar energy. Climatic Change 61, 31–44.</t>
  </si>
  <si>
    <t>Beerling, D.J., 1999. Quantitative estimates of change in marine and terrestrial primary productivity over the past 300 million years. In: Proceedings: Biological Sciences, Royal Society, London. vol. 266, pp. 1821–1827.</t>
  </si>
  <si>
    <t>Beerling, D.J., Woodward, F.I., Valdes, P.J., 1999. Global terrestrial productivity in the mid-Cretaceous (100 Ma): model simulations and data. In: Barrera, E., Johnson, C.C. (Eds.), Evolution of the Cretaceous Ocean–Climate System. Geological Society of  America, Special Papers, 332, pp. 385–390.</t>
  </si>
  <si>
    <t>Demaison, G., Murris, R.J. (Eds.), 1984. Petroleum Geochemistry and Basin Evaluation. AAPG Memoir, p. 35.</t>
  </si>
  <si>
    <t>Behar, F.M., Vandenbroucke, Y., Tang, F., Marquis, J., Espitalie, 1997. Thermal cracking of kerogen in open and close systems: determination of kinetic parameters and stoichiometric coefficients for oil and gas generation. Organic Geochemistry 26 (5/6), 312–339.</t>
  </si>
  <si>
    <t>Tissot, B.P., Pelet, R., Ungerer, P., 1987. Thermal history of sedimentary basins, maturation indices, and kinetics of oil and gas generation. American Association of Petroleum Geologists Bulletin 71 (12), 1445–1466.</t>
  </si>
  <si>
    <t>Kenneth, 1994. Applied source rock geochemistry. In: Barrera, E., Johnson, C.C. (Eds.), The Petroleum System—From Source to Trap. AAPG Memoir, pp. 93–121.</t>
  </si>
  <si>
    <t>Waples, D.W., 1994. Maturity modeling: thermal indicators, hydrocarbon generation, and oil cracking. In: Magoon, L.B., Dow, W.G. (Eds.), The Petroleum System—From Source to Trap. Am. Assoc. Petroleum Geologists Special Volumes M 60, pp. 285–306.</t>
  </si>
  <si>
    <t>2. Klemme and Ulmishek (1991), Behar et al (1997), Tissot et al (1987), Kenneth et al (1994), Waples (1994), and Klemme (1994)</t>
  </si>
  <si>
    <t>Klemme, H.D., 1994. Petroleum system of the world involving upper Jurassic source rocks. In: Magoon, L.B., Dow, W.G. (Eds.), The Petroleum System—From Source to Trap. Am. Assoc. Petroleum Geologists Special volumes M 60, pp. 93–121.</t>
  </si>
  <si>
    <t>Properties of crude oil - http://www.mitenergyclub.org/assets/2008/11/15/Units_ConvFactors.MIT_EnergyClub_Factsheet.v8.pdf</t>
  </si>
  <si>
    <t>Properties of natural gas - http://www.mitenergyclub.org/assets/2008/11/15/Units_ConvFactors.MIT_EnergyClub_Factsheet.v8.pdf</t>
  </si>
  <si>
    <t>Energy in ocean currents - http://ocsenergy.anl.gov/documents/docs/OCS_EIS_WhitePaper_Current.pdf</t>
  </si>
  <si>
    <t>Average elevation of continents - Eakins, B.W. and G.F. Sharman. Hypsographic Curve of Earth's Surface from ETOPO1, NOAA National Geophysical Data Center, Boulder, CO, 2012; accessed 12/12/13 @ (http://www.ngdc.noaa.gov/mgg/global/etopo1_surface_histogram.html)</t>
  </si>
  <si>
    <t>Residence time of atmospheric gases -  http://www.gly.uga.edu/railsback/Fundamentals/AtmosphereCompIX.pdf</t>
  </si>
  <si>
    <t>20th century average of 14.1°C - http://www.ncdc.noaa.gov/sotc/global/2013/10</t>
  </si>
  <si>
    <t>Total/averages</t>
  </si>
  <si>
    <r>
      <t>ECFdb</t>
    </r>
    <r>
      <rPr>
        <sz val="11"/>
        <color theme="1"/>
        <rFont val="Calibri"/>
        <family val="2"/>
        <scheme val="minor"/>
      </rPr>
      <t>: Emergy Characterization Factor database; see accompanying excel workbook.</t>
    </r>
  </si>
  <si>
    <r>
      <t>Transformity:</t>
    </r>
    <r>
      <rPr>
        <sz val="11"/>
        <color theme="1"/>
        <rFont val="Calibri"/>
        <family val="2"/>
        <scheme val="minor"/>
      </rPr>
      <t xml:space="preserve"> the ratio of emergy to exergy (seJ/J).</t>
    </r>
  </si>
  <si>
    <r>
      <t>Specific emergy</t>
    </r>
    <r>
      <rPr>
        <sz val="11"/>
        <color theme="1"/>
        <rFont val="Calibri"/>
        <family val="2"/>
        <scheme val="minor"/>
      </rPr>
      <t>: the ratio of emergy to mass (seJ/g).</t>
    </r>
  </si>
  <si>
    <r>
      <t>Native element:</t>
    </r>
    <r>
      <rPr>
        <sz val="11"/>
        <color theme="1"/>
        <rFont val="Calibri"/>
        <family val="2"/>
        <scheme val="minor"/>
      </rPr>
      <t xml:space="preserve"> an element that appears naturally in the lithosphere unbound to other elements.</t>
    </r>
  </si>
  <si>
    <r>
      <t>Diadochic:</t>
    </r>
    <r>
      <rPr>
        <sz val="11"/>
        <color theme="1"/>
        <rFont val="Calibri"/>
        <family val="2"/>
        <scheme val="minor"/>
      </rPr>
      <t xml:space="preserve"> the ability of certain elements to replace each other in particular points of a mineral’s crystal lattice.</t>
    </r>
  </si>
  <si>
    <r>
      <t>OLCA</t>
    </r>
    <r>
      <rPr>
        <sz val="11"/>
        <color theme="1"/>
        <rFont val="Calibri"/>
        <family val="2"/>
        <scheme val="minor"/>
      </rPr>
      <t>: Open Life Cycle Assessment (software).</t>
    </r>
  </si>
  <si>
    <r>
      <t>Co-product:</t>
    </r>
    <r>
      <rPr>
        <sz val="11"/>
        <color theme="1"/>
        <rFont val="Calibri"/>
        <family val="2"/>
        <scheme val="minor"/>
      </rPr>
      <t xml:space="preserve"> total inputs allocation to each system output.</t>
    </r>
  </si>
  <si>
    <r>
      <t>Coupling</t>
    </r>
    <r>
      <rPr>
        <sz val="11"/>
        <color theme="1"/>
        <rFont val="Calibri"/>
        <family val="2"/>
        <scheme val="minor"/>
      </rPr>
      <t>: feedback in hierarchically organized open thermodynamic systems.</t>
    </r>
  </si>
  <si>
    <r>
      <t>ECF</t>
    </r>
    <r>
      <rPr>
        <sz val="11"/>
        <color theme="1"/>
        <rFont val="Calibri"/>
        <family val="2"/>
        <scheme val="minor"/>
      </rPr>
      <t>: Emergy characterization factor;</t>
    </r>
    <r>
      <rPr>
        <b/>
        <sz val="11"/>
        <color indexed="8"/>
        <rFont val="Calibri"/>
        <family val="2"/>
      </rPr>
      <t xml:space="preserve"> </t>
    </r>
    <r>
      <rPr>
        <sz val="11"/>
        <color theme="1"/>
        <rFont val="Calibri"/>
        <family val="2"/>
        <scheme val="minor"/>
      </rPr>
      <t>the emergy per unit exergy or mass of something.</t>
    </r>
  </si>
  <si>
    <r>
      <t>Exergy:</t>
    </r>
    <r>
      <rPr>
        <sz val="11"/>
        <color theme="1"/>
        <rFont val="Calibri"/>
        <family val="2"/>
        <scheme val="minor"/>
      </rPr>
      <t xml:space="preserve"> the heat dissipated upon equilibration of available potential energy with its environment.</t>
    </r>
  </si>
  <si>
    <r>
      <t>Ga</t>
    </r>
    <r>
      <rPr>
        <sz val="11"/>
        <color theme="1"/>
        <rFont val="Calibri"/>
        <family val="2"/>
        <scheme val="minor"/>
      </rPr>
      <t>: Giga-anum; 1E+09 years.</t>
    </r>
  </si>
  <si>
    <r>
      <t>NPP:</t>
    </r>
    <r>
      <rPr>
        <sz val="11"/>
        <color theme="1"/>
        <rFont val="Calibri"/>
        <family val="2"/>
        <scheme val="minor"/>
      </rPr>
      <t xml:space="preserve"> net primary production, typically referrs to photosynthetic plants and algae.</t>
    </r>
  </si>
  <si>
    <r>
      <t xml:space="preserve">ppt: </t>
    </r>
    <r>
      <rPr>
        <sz val="11"/>
        <color theme="1"/>
        <rFont val="Calibri"/>
        <family val="2"/>
        <scheme val="minor"/>
      </rPr>
      <t>parts per thousand.</t>
    </r>
  </si>
  <si>
    <r>
      <t>Emergy:</t>
    </r>
    <r>
      <rPr>
        <sz val="11"/>
        <color theme="1"/>
        <rFont val="Calibri"/>
        <family val="2"/>
        <scheme val="minor"/>
      </rPr>
      <t xml:space="preserve"> the sum of all previously degraded exergy needed to produce a system or resource; units are solar emergy Joule (seJ).</t>
    </r>
  </si>
  <si>
    <r>
      <t>Split:</t>
    </r>
    <r>
      <rPr>
        <sz val="11"/>
        <color theme="1"/>
        <rFont val="Calibri"/>
        <family val="2"/>
        <scheme val="minor"/>
      </rPr>
      <t xml:space="preserve"> as opposed to a co-product a split allocates emergy in proportion to divergent exergy flows due to identical transformities.</t>
    </r>
  </si>
  <si>
    <t>Land precipitation</t>
  </si>
  <si>
    <t>yr</t>
  </si>
  <si>
    <t>Average crustal specific emergy</t>
  </si>
  <si>
    <t>average crustal specific emergy</t>
  </si>
  <si>
    <t>km2</t>
  </si>
  <si>
    <t>Wind transformity</t>
  </si>
  <si>
    <t>Average elevation of precipitation on land (http://www.ngdc.noaa.gov/mgg/global/etopo1_surface_histogram.html)</t>
  </si>
  <si>
    <t>Geopotential energy dissipation in global runoff</t>
  </si>
  <si>
    <t>Geopotential transformity of continental runoff</t>
  </si>
  <si>
    <t>Geopotential specific emergy of continental runoff</t>
  </si>
  <si>
    <t>Chemical transformity of continental runoff (see Water tab)</t>
  </si>
  <si>
    <t>W/yr</t>
  </si>
  <si>
    <t>Emergy of wind energy input to oceans</t>
  </si>
  <si>
    <t>20th century average surface temperature of 14.1°C (http://www.ncdc.noaa.gov/sotc/global/2013/10)</t>
  </si>
  <si>
    <t>TW</t>
  </si>
  <si>
    <t>Continental erosion rate (Willenbring et al., 2013)</t>
  </si>
  <si>
    <t>Energy of land precipitation</t>
  </si>
  <si>
    <t>m/s2</t>
  </si>
  <si>
    <t>Gravity acceleration</t>
  </si>
  <si>
    <t>Transformity of sedimentary erosion</t>
  </si>
  <si>
    <t>Specific emergy of sedimentary erosion</t>
  </si>
  <si>
    <t>Runoff Geo</t>
  </si>
  <si>
    <t>Runoff Chem</t>
  </si>
  <si>
    <t>ppm</t>
  </si>
  <si>
    <t>Gibb's mixing exergy of river water</t>
  </si>
  <si>
    <t>Weighted average of {Hydragillite/Gibbsite, Diaspore, Boehmite}. Concentration set to 11% Al in ground.</t>
  </si>
  <si>
    <t>see weighted minerals</t>
  </si>
  <si>
    <t>Clay, bentonite</t>
  </si>
  <si>
    <t>Mineralogy from Gates et al. (2002)</t>
  </si>
  <si>
    <t>see Aggregate minerals tab</t>
  </si>
  <si>
    <t>Aggregate minerals tab. Data from Gates et al. (2002)</t>
  </si>
  <si>
    <t>Assumed to be same as bentonite</t>
  </si>
  <si>
    <t>http://www.madehow.com/Volume-4/Asbestos.html (first estimate at mine grade concentration)</t>
  </si>
  <si>
    <t>1% typical cinnabar ore grade concentration (Ballester et al., 1988)</t>
  </si>
  <si>
    <t>Cutoff grade of element Co is 0.20% (http://minerals.usgs.gov/minerals/pubs/commodity/cobalt/210400.pdf).</t>
  </si>
  <si>
    <t>Alp (2009) average B2O3 content in colemanite ore 30.76%</t>
  </si>
  <si>
    <t>Approximated with Bastnaesite. 7% Rare Earth element concentration in Canadian deposites (http://www.fas.org/sgp/crs/natsec/R41347.pdf)</t>
  </si>
  <si>
    <t>Orthoclasse/K-feldspar deposits in Jordan 25-30% of rock volume (Shakkour et al., 2011). 46% mine grade (Amarante et al., 1997)</t>
  </si>
  <si>
    <t>Approximated with Gadolinite. 1.96% REE grade (Brittish Geological Survey, file:///C:/Users/Cadillac/Downloads/Rare_Earth_Elements_profile.pdf)</t>
  </si>
  <si>
    <t>0.14% in Bauxite (LCA data). Assumed bauxite concentration of the Aluminum ore item.</t>
  </si>
  <si>
    <t>4.5% in Apatite (LCA data).</t>
  </si>
  <si>
    <t>Native gold (Au)</t>
  </si>
  <si>
    <t>Native gold (Au) most common gold mineral. No weighting necessary.</t>
  </si>
  <si>
    <t>Assuming sphalerite concentrations as in zinc deposit. 0.003% in ground (LCA data).</t>
  </si>
  <si>
    <t>Weighted average of Hematite, Magnetite, and Siderite. 25% in crude ore (LCA data)</t>
  </si>
  <si>
    <t>25% in ground (LCA data).</t>
  </si>
  <si>
    <t>3% REE in deposit 25% of which is composed of La (file:///C:/Users/Cadillac/Downloads/Rare_Earth_Elements_profile%20(1).pdf)</t>
  </si>
  <si>
    <t>Represented by Spodumene. LCA data suggests this is in brine, but also in ground.</t>
  </si>
  <si>
    <t>60% in crude ore (LCA data).</t>
  </si>
  <si>
    <t>14.2% in crude ore (LCA data).</t>
  </si>
  <si>
    <t>% Manganese in ground</t>
  </si>
  <si>
    <t>0.01 % in sulfide, 0.0082% in ground (LCA data).</t>
  </si>
  <si>
    <t>0.014% in sulfide, 0.0082% in ground (LCA data).</t>
  </si>
  <si>
    <t>0.022% in sulfide, 0.0082% in ground (LCA data).</t>
  </si>
  <si>
    <t>0.025% in sulfide, 0.0082% in ground (LCA data).</t>
  </si>
  <si>
    <t>0.11% in sulfide, 0.041% in ground (LCA data).</t>
  </si>
  <si>
    <t>MoS2 (Molybdenite)</t>
  </si>
  <si>
    <t xml:space="preserve"> Fe2+4.5Ni4.5S8 (sulfide)</t>
  </si>
  <si>
    <t>(Ni2Mg)Si2O5(OH)4 (silicate)</t>
  </si>
  <si>
    <t>0.76% in sulfide (LCA data).</t>
  </si>
  <si>
    <t>1.04% in silicate crude ore (LCA data).</t>
  </si>
  <si>
    <t>Estimate</t>
  </si>
  <si>
    <t>Represented by Cooperite, the only Pd bearing mineral in Valero et al. 2012.</t>
  </si>
  <si>
    <t>12% in crude apatite ore (LCA data)</t>
  </si>
  <si>
    <t>4% in crude apatite ore (LCA data)</t>
  </si>
  <si>
    <t>Assumed cooperite. Concentration from LCA data.</t>
  </si>
  <si>
    <t>164 ppm Rh in Molybdenite high end average (Berzina et al., 2005). Assumed molybdenite concentration of 0.041% Mo in ground.</t>
  </si>
  <si>
    <t>2.4e-5% in ground (LCA data). Assuming chromite concentration for chromium (LCA data) supported by Gonzalez-Jiminez et al. (2010).</t>
  </si>
  <si>
    <t>2e-5% in ground (LCA data). Assuming chromite concentration for chromium (LCA data) supported by Gonzalez-Jiminez et al. (2010).</t>
  </si>
  <si>
    <t>González-Jiménez, J. M., Gervilla, F., Kerestedjian, T., &amp; Proenza, J. A. (2010). Alteration of Platinum-Group and Base-Metal Mineral Assemblages in Ophiolite Chromitites from the Dobromirtsi Massif, Rhodope Mountains (Bulgaria). Resource Geology, 60(4), 315–334. doi:10.1111/j.1751-3928.2010.00138.x</t>
  </si>
  <si>
    <t>.004% in sulfide in ground (LCA data)</t>
  </si>
  <si>
    <t>1.2 ppm in sulfide in ground (LCA data)</t>
  </si>
  <si>
    <t>2.1e-4% (LCA data).</t>
  </si>
  <si>
    <t>4.2e-3% (LCA data).</t>
  </si>
  <si>
    <t>4.6e-5% (LCA data).</t>
  </si>
  <si>
    <t>9.7e-4% (LCA data).</t>
  </si>
  <si>
    <t>Weighted of several silver sulfides</t>
  </si>
  <si>
    <t>17.48% sodium nitrate in chilean caliche in year 1917 (Farm Chemicals, volume 52 pg. 150).</t>
  </si>
  <si>
    <t>22% (http://www.nationsencyclopedia.com/Americas/Chile-MINING.html)</t>
  </si>
  <si>
    <t>35% Sb in American deposits (http://www.unalmed.edu.co/rrodriguez/MODELOS/columbia/Stibnite%20Veins%20&amp;%20Disseminations.htm)</t>
  </si>
  <si>
    <t>14% sylvite modern New Mexico mine grade (https://nmgs.nmt.edu/publications/guidebooks/downloads/44/44_p0283_p0291.pdf)</t>
  </si>
  <si>
    <t>40% in British deposit (British geological survey, 2004).</t>
  </si>
  <si>
    <t>1.6e-4% in tantalite (LCA data). We use ferro-tantalite.</t>
  </si>
  <si>
    <t>Te in sulfide</t>
  </si>
  <si>
    <t>0.2 ppm Te in sulfide (LCA data). Assuming tetradymite.</t>
  </si>
  <si>
    <t>0.1% in crude cassiderite ore (LCA data).</t>
  </si>
  <si>
    <t>2.6% in crude ilmenite ore (LCA data).</t>
  </si>
  <si>
    <t>0.4% in crude rutile ore (LCA data).</t>
  </si>
  <si>
    <t>32% ore grade in Turkey (Akcil and Akar, 2001)</t>
  </si>
  <si>
    <t>21-26% in some sample head feeds (http://www.epa.gov/r10earth/OFFICES/OEA/risk/vermtracers.pdf)</t>
  </si>
  <si>
    <t>5.3% in sulfide in ground (LCA data).</t>
  </si>
  <si>
    <t>0.39% in crude zirconium ore (LCA data).</t>
  </si>
  <si>
    <t>Calcite (Limestone)</t>
  </si>
  <si>
    <t>Assumed the minimum ECF of other rocks excluding limestone.</t>
  </si>
  <si>
    <t>CaCO3 (see Limestone tab)</t>
  </si>
  <si>
    <t>Specific emergy of shale rock times two because half is lost in soil formation (method from Odum, 1996; pg47).</t>
  </si>
  <si>
    <t>Nitrogen {N}, in soil</t>
  </si>
  <si>
    <t>Notes</t>
  </si>
  <si>
    <t>Concentration</t>
  </si>
  <si>
    <t>Kribek et al. (2002) 66.9 to 82% anhydrite in evaporite deposites.</t>
  </si>
  <si>
    <t>Approximated by Kernite. Estimating 25% B2O3 content.</t>
  </si>
  <si>
    <t>Assumed the ECF of limestone.</t>
  </si>
  <si>
    <t>Biogenic limestone (see Limestone worksheet).</t>
  </si>
  <si>
    <t>Grade (A) is 93% gypsum (http://www.tibaland.co/products/ores-group/gypsum-ore/)</t>
  </si>
  <si>
    <t>Estimated as crustal mineral with healthy soil concentrations.</t>
  </si>
  <si>
    <t>Minerals</t>
  </si>
  <si>
    <t>Archer, C. L. and Jacobsen (2005). Evaluation of global wind power. Journal of Geophysical Research, 110(D12), D12110. doi:10.1029/2004JD005462</t>
  </si>
  <si>
    <t>Doherty, S.J. (1995) Emergy evaluations of and limits to forest production. PhD Dissertation, Department of Environmental Engineering Sciences, University of Florida, Gainesville.</t>
  </si>
  <si>
    <t>Orrell, J.J. (1998) Cross scale comparison of plant production and diversity. MS thesis. Department of Environmental Engineering Sciences. University of Florida, Gainseville.</t>
  </si>
  <si>
    <t>Weber, T. (1994) Spatial and temporal simulation of forest succession with implications for management of bioreserves. MS thesis, University of Florida, Gainesville.</t>
  </si>
  <si>
    <t>Bardi, E. and Brown, M.T. (2001) Emergy evaluation of ecosystems: a basis for environmental decision making. In: MT Brown (ed.) Emergy Synthesis: Proceedings to the First Biennial Emergy Analysis Research conference, Gainesville, Fl.</t>
  </si>
  <si>
    <t>Tilley, D.R. (1999) Emergy basis of forest systems. PhD dissertation. Department of Environmental Engineering Sciences. University of Florida, Gainesville.</t>
  </si>
  <si>
    <t>Odum, H.T., Brown, M.T., Christianson, R.A. (1986) Energy Systems Overview of the Amazon Basin. Center for Wetlands, University of Florida, Gainesville. P. 195</t>
  </si>
  <si>
    <t>Suzuki, a., Nakamori, T., &amp; Kayanne, H. (1995). The mechanism of production enhancement in coral reef carbonate systems: model and empirical results. Sedimentary Geology, 99(3-4), 259–280.</t>
  </si>
  <si>
    <t>McClanahan, T.R. (1990) Hierarchical control of coral reef ecosystems. PhD Dissertation. University of Florida, Gainesville. 200 p.</t>
  </si>
  <si>
    <t>Watanabe, M. D. B., &amp; Ortega, E. (2011). Ecosystem services and biogeochemical cycles on a global scale: Valuation of water, carbon and nitrogen processes. Environmental Science and Policy, 14(6), 594–604. doi:10.1016/j.envsci.2011.05.013</t>
  </si>
  <si>
    <t>US Department of Labor, Bureau of Labor Stastics http://www.bls.gov/cps/</t>
  </si>
  <si>
    <t>Wind energy input to oceans (computed as above)</t>
  </si>
  <si>
    <t>Rain transformity (chemical potential)</t>
  </si>
  <si>
    <t>Sedimentary erosion specific emergy</t>
  </si>
  <si>
    <t>Ocean surface area  (NOAA;http://ngdc.noaa.gov/mgg/global/etopo1_ocean_volumes.html)</t>
  </si>
  <si>
    <t>Earth surface area (NOAA;http://ngdc.noaa.gov/mgg/global/etopo1_ocean_volumes.html)</t>
  </si>
  <si>
    <t>Land surface area including freshwater lakes (NOAA;http://ngdc.noaa.gov/mgg/global/etopo1_ocean_volumes.html)</t>
  </si>
  <si>
    <t>T - time</t>
  </si>
  <si>
    <t>Table 1. Summary of Wood Transformities and Specific Emergy</t>
  </si>
  <si>
    <t>Constants</t>
  </si>
  <si>
    <r>
      <t>1m</t>
    </r>
    <r>
      <rPr>
        <vertAlign val="superscript"/>
        <sz val="12"/>
        <color indexed="8"/>
        <rFont val="Calibri"/>
        <family val="2"/>
      </rPr>
      <t>3</t>
    </r>
    <r>
      <rPr>
        <sz val="12"/>
        <color indexed="8"/>
        <rFont val="Calibri"/>
        <family val="2"/>
      </rPr>
      <t>=</t>
    </r>
  </si>
  <si>
    <r>
      <t>ft</t>
    </r>
    <r>
      <rPr>
        <vertAlign val="superscript"/>
        <sz val="12"/>
        <color indexed="8"/>
        <rFont val="Calibri"/>
        <family val="2"/>
      </rPr>
      <t>3</t>
    </r>
  </si>
  <si>
    <t>1 lb =</t>
  </si>
  <si>
    <t>Kg</t>
  </si>
  <si>
    <t>Table 2. Boreal spruce (Picea aibes) and pine (Pinus silvestris) silviculture on 80 year rotation; table 5 Folio 3; data from Doherty (1995)</t>
  </si>
  <si>
    <t>Table 3. Southern mixed hardwood forest (Florida); table 14 Folio 3; data from Orrell (1998).</t>
  </si>
  <si>
    <t>sej/m3</t>
  </si>
  <si>
    <t>sej/m3 hard wood</t>
  </si>
  <si>
    <t>sej/kg Wood</t>
  </si>
  <si>
    <t>sej/m3 soft wood</t>
  </si>
  <si>
    <t xml:space="preserve">sej/kg Wood </t>
  </si>
  <si>
    <t>Table 4. Pine flatwood (Florida); table 15 Folio 3; data from Orrell (1998)</t>
  </si>
  <si>
    <t>Table 5. Cypress dominated floodplain wetland (central Florida); table 17 Folio 3; after Weber (1994)</t>
  </si>
  <si>
    <t>Table 6. Subtropical, cypress dominated depressional wetland; table 21 Folio 3; data from Bardi and Brown (2001)</t>
  </si>
  <si>
    <t>Table 7. Temperate forest watershed (North Carolina); data from table 3-2 Tilley (1999)</t>
  </si>
  <si>
    <t>Table 8. Southern mixed hardwood swamp (from Weber, 1996)</t>
  </si>
  <si>
    <t>Table 9. Tropical Lowland Forest (from Odum et al., 1986)</t>
  </si>
  <si>
    <t>Mass
(g/yr)</t>
  </si>
  <si>
    <t>Chem. Pot.
( J/yr)</t>
  </si>
  <si>
    <t>1. data from Shiklomanov,I. A. and J. C. Rodda, 2003. World water resources at the beginning of the twenty-first century. Cambridge University Press, 435 p.</t>
  </si>
  <si>
    <t xml:space="preserve"> - -</t>
  </si>
  <si>
    <t>Table 1: Global average mixing exergy, specific emergy, and transformity of various freshwater storages</t>
  </si>
  <si>
    <r>
      <t xml:space="preserve">Distribution area </t>
    </r>
    <r>
      <rPr>
        <b/>
        <vertAlign val="superscript"/>
        <sz val="12"/>
        <color indexed="8"/>
        <rFont val="Calibri"/>
        <family val="2"/>
      </rPr>
      <t xml:space="preserve">1.
</t>
    </r>
    <r>
      <rPr>
        <b/>
        <sz val="12"/>
        <color indexed="8"/>
        <rFont val="Calibri"/>
        <family val="2"/>
      </rPr>
      <t>(E3km</t>
    </r>
    <r>
      <rPr>
        <b/>
        <vertAlign val="superscript"/>
        <sz val="12"/>
        <color indexed="8"/>
        <rFont val="Calibri"/>
        <family val="2"/>
      </rPr>
      <t>2</t>
    </r>
    <r>
      <rPr>
        <b/>
        <sz val="12"/>
        <color indexed="8"/>
        <rFont val="Calibri"/>
        <family val="2"/>
      </rPr>
      <t>)</t>
    </r>
  </si>
  <si>
    <r>
      <t>Volume</t>
    </r>
    <r>
      <rPr>
        <b/>
        <vertAlign val="superscript"/>
        <sz val="12"/>
        <color indexed="8"/>
        <rFont val="Calibri"/>
        <family val="2"/>
      </rPr>
      <t>1.</t>
    </r>
    <r>
      <rPr>
        <b/>
        <sz val="12"/>
        <color indexed="8"/>
        <rFont val="Calibri"/>
        <family val="2"/>
      </rPr>
      <t xml:space="preserve">
 (E3km</t>
    </r>
    <r>
      <rPr>
        <b/>
        <vertAlign val="superscript"/>
        <sz val="12"/>
        <color indexed="8"/>
        <rFont val="Calibri"/>
        <family val="2"/>
      </rPr>
      <t>3</t>
    </r>
    <r>
      <rPr>
        <b/>
        <sz val="12"/>
        <color indexed="8"/>
        <rFont val="Calibri"/>
        <family val="2"/>
      </rPr>
      <t>)</t>
    </r>
    <r>
      <rPr>
        <b/>
        <vertAlign val="superscript"/>
        <sz val="11"/>
        <color indexed="8"/>
        <rFont val="Calibri"/>
        <family val="2"/>
      </rPr>
      <t/>
    </r>
  </si>
  <si>
    <r>
      <t>Turnover</t>
    </r>
    <r>
      <rPr>
        <b/>
        <vertAlign val="superscript"/>
        <sz val="12"/>
        <color indexed="8"/>
        <rFont val="Calibri"/>
        <family val="2"/>
      </rPr>
      <t xml:space="preserve">1.
</t>
    </r>
    <r>
      <rPr>
        <b/>
        <sz val="12"/>
        <color indexed="8"/>
        <rFont val="Calibri"/>
        <family val="2"/>
      </rPr>
      <t xml:space="preserve"> (yrs)</t>
    </r>
  </si>
  <si>
    <r>
      <t>TDS</t>
    </r>
    <r>
      <rPr>
        <b/>
        <vertAlign val="superscript"/>
        <sz val="12"/>
        <color indexed="8"/>
        <rFont val="Calibri"/>
        <family val="2"/>
      </rPr>
      <t xml:space="preserve">2.
</t>
    </r>
    <r>
      <rPr>
        <b/>
        <sz val="12"/>
        <color indexed="8"/>
        <rFont val="Calibri"/>
        <family val="2"/>
      </rPr>
      <t xml:space="preserve"> (mg/l)</t>
    </r>
  </si>
  <si>
    <r>
      <t>Exergy</t>
    </r>
    <r>
      <rPr>
        <b/>
        <vertAlign val="superscript"/>
        <sz val="12"/>
        <color indexed="8"/>
        <rFont val="Calibri"/>
        <family val="2"/>
      </rPr>
      <t>3.</t>
    </r>
    <r>
      <rPr>
        <b/>
        <sz val="12"/>
        <color indexed="8"/>
        <rFont val="Calibri"/>
        <family val="2"/>
      </rPr>
      <t xml:space="preserve">
(J/g)</t>
    </r>
  </si>
  <si>
    <r>
      <t>Driving Emergy</t>
    </r>
    <r>
      <rPr>
        <b/>
        <vertAlign val="superscript"/>
        <sz val="12"/>
        <color indexed="8"/>
        <rFont val="Calibri"/>
        <family val="2"/>
      </rPr>
      <t>4.</t>
    </r>
    <r>
      <rPr>
        <b/>
        <sz val="12"/>
        <color indexed="8"/>
        <rFont val="Calibri"/>
        <family val="2"/>
      </rPr>
      <t xml:space="preserve">
(sej/yr)</t>
    </r>
  </si>
  <si>
    <r>
      <t>Specific Emergy</t>
    </r>
    <r>
      <rPr>
        <b/>
        <vertAlign val="superscript"/>
        <sz val="12"/>
        <color indexed="8"/>
        <rFont val="Calibri"/>
        <family val="2"/>
      </rPr>
      <t>5.</t>
    </r>
    <r>
      <rPr>
        <b/>
        <sz val="12"/>
        <color indexed="8"/>
        <rFont val="Calibri"/>
        <family val="2"/>
      </rPr>
      <t xml:space="preserve">
(sej/g)</t>
    </r>
  </si>
  <si>
    <r>
      <t>Transformity</t>
    </r>
    <r>
      <rPr>
        <b/>
        <vertAlign val="superscript"/>
        <sz val="12"/>
        <color indexed="8"/>
        <rFont val="Calibri"/>
        <family val="2"/>
      </rPr>
      <t>6.</t>
    </r>
    <r>
      <rPr>
        <b/>
        <sz val="12"/>
        <color indexed="8"/>
        <rFont val="Calibri"/>
        <family val="2"/>
      </rPr>
      <t xml:space="preserve">
(sej/J)</t>
    </r>
  </si>
  <si>
    <t>Table 1. EmCFs for singular minerals</t>
  </si>
  <si>
    <t>US Department of Labor, Bureau of Labor Stastics http://www.bls.gov/news.release/cesan.nr0.htm</t>
  </si>
  <si>
    <t>Table 2. Basalt</t>
  </si>
  <si>
    <t>Note:</t>
  </si>
  <si>
    <t>Gravel is assumed to have the same composition as granite</t>
  </si>
  <si>
    <t>Table 3. Granite and Gravel</t>
  </si>
  <si>
    <t>Table 4. Perlite</t>
  </si>
  <si>
    <t>Table 5. Pumice</t>
  </si>
  <si>
    <t xml:space="preserve">Data from DeWulf et al 2007 using mid-point values from Wolfgang, G., Yamamoto,Y. Ullmann’s Encyclopedia of Industrial Chemistry. 5th ed.; VCH. Deerfield Beach (Fla.), 1985–1996. </t>
  </si>
  <si>
    <t>Table 6. Sand</t>
  </si>
  <si>
    <t>Assumes sand composition is the same as sandstone</t>
  </si>
  <si>
    <t>Note: Bauxite is composed mainly of the minerals gibbsite Al(OH)3, diaspore AlO(OH) and boehmite AlO(OH), Valero (2008).</t>
  </si>
  <si>
    <t xml:space="preserve"> </t>
  </si>
  <si>
    <t>Note: Iron is 95% of worldwide metal tonnage produced. Chief ores are hematite Fe2O3, magnetite Fe3O4 and siderite FeCO3, Valero (2008)</t>
  </si>
  <si>
    <t>Note:Important minerals are dolomite, magnesite, carnallite, olivine, talc or spinel. 0.75 kg flows into the process 'magnesium, at plant' which outputs 1.0 kg magnesium.</t>
  </si>
  <si>
    <t>Note: Important minerals are pyrolusite and rhodochrosite (Valero, 2008)</t>
  </si>
  <si>
    <t>Note: The chief mined ore is ilmenite, but leucoxene and rutile are also important economic ores for titanium.</t>
  </si>
  <si>
    <t>Note: Lanthanum is one of the most abundant REE. Its major ores are minerals monazite and bastnasite, in percentages of up to 25 to 38 percent of the total lanthanide.</t>
  </si>
  <si>
    <t>Note: Commonly found in orthide, monazite, bastnaesite, rhabdophane or in zircon.</t>
  </si>
  <si>
    <t>Table 7. Shale</t>
  </si>
  <si>
    <t>Table 8. Bentonite</t>
  </si>
  <si>
    <t>Atm mass
(g)</t>
  </si>
  <si>
    <t>Flux
(g/yr)</t>
  </si>
  <si>
    <t>Mixing ex
(J/g)</t>
  </si>
  <si>
    <t>EmCF
(sej/g)</t>
  </si>
  <si>
    <t>Avg molar frac</t>
  </si>
  <si>
    <t>Chem Tr
 (sej/J)</t>
  </si>
  <si>
    <t>Avg. Specific Emergy of general atmospheric flux (sej/g )</t>
  </si>
  <si>
    <t>Ecosystem Emergy (E23 sej)</t>
  </si>
  <si>
    <t>Emergy (E23 sej)</t>
  </si>
  <si>
    <t>3. Assuming available energy in Hard Coal:29.458 GJ/MT; Soft Coal: 19.995 GJ/MT Valero and Arauzo (1991)</t>
  </si>
  <si>
    <t>Transformity of Geothermal</t>
  </si>
  <si>
    <t xml:space="preserve">Geothermal Energy </t>
  </si>
  <si>
    <t xml:space="preserve">Coal Cook time </t>
  </si>
  <si>
    <t>Continental Mass</t>
  </si>
  <si>
    <t>Value</t>
  </si>
  <si>
    <t>kJ/kg</t>
  </si>
  <si>
    <r>
      <t>High heat value A &amp; B</t>
    </r>
    <r>
      <rPr>
        <vertAlign val="superscript"/>
        <sz val="10"/>
        <color indexed="8"/>
        <rFont val="Calibri"/>
        <family val="2"/>
      </rPr>
      <t>1.</t>
    </r>
  </si>
  <si>
    <r>
      <t>High heat valueSB &amp; L</t>
    </r>
    <r>
      <rPr>
        <vertAlign val="superscript"/>
        <sz val="10"/>
        <color indexed="8"/>
        <rFont val="Calibri"/>
        <family val="2"/>
      </rPr>
      <t>2.</t>
    </r>
  </si>
  <si>
    <t>1. Average of Anthracite &amp; Bituminous (Table 6.9, Valero 2008)</t>
  </si>
  <si>
    <t>(sej/g)</t>
  </si>
  <si>
    <t>1. Ward, 1984</t>
  </si>
  <si>
    <t>2. Dukes ( 2003), Tissot and Welte (1984)</t>
  </si>
  <si>
    <r>
      <t>% carbon in Coal</t>
    </r>
    <r>
      <rPr>
        <b/>
        <vertAlign val="superscript"/>
        <sz val="10"/>
        <rFont val="Calibri"/>
        <family val="2"/>
      </rPr>
      <t>1.</t>
    </r>
  </si>
  <si>
    <r>
      <t>% carbon preserved from NPP to Peat</t>
    </r>
    <r>
      <rPr>
        <b/>
        <vertAlign val="superscript"/>
        <sz val="10"/>
        <rFont val="Calibri"/>
        <family val="2"/>
      </rPr>
      <t>2.</t>
    </r>
  </si>
  <si>
    <r>
      <t>% carbon preserved from Peat to Coal</t>
    </r>
    <r>
      <rPr>
        <b/>
        <vertAlign val="superscript"/>
        <sz val="10"/>
        <rFont val="Calibri"/>
        <family val="2"/>
      </rPr>
      <t>2.</t>
    </r>
  </si>
  <si>
    <t>Tissot, B.P and D.H. Welte. 1984. Petroleum Formation and Occurrence.  Springer-Verlag. New York. 699p.</t>
  </si>
  <si>
    <t>Table 1. Computation of availabe energy in coal resource by geologic period</t>
  </si>
  <si>
    <t>Table 2. Computation of Coal resource UEVs</t>
  </si>
  <si>
    <t>Table 3. Constants</t>
  </si>
  <si>
    <t>Table 4. Preservation Factors</t>
  </si>
  <si>
    <t>Table 5. Carnot efficiency</t>
  </si>
  <si>
    <r>
      <t>UEV</t>
    </r>
    <r>
      <rPr>
        <b/>
        <u/>
        <vertAlign val="superscript"/>
        <sz val="10"/>
        <rFont val="Calibri"/>
        <family val="2"/>
      </rPr>
      <t>4</t>
    </r>
    <r>
      <rPr>
        <b/>
        <u/>
        <sz val="10"/>
        <rFont val="Calibri"/>
        <family val="2"/>
      </rPr>
      <t xml:space="preserve"> (sej/J)</t>
    </r>
  </si>
  <si>
    <t>Geothermal exergy (J)</t>
  </si>
  <si>
    <r>
      <t>% of Coal Resource</t>
    </r>
    <r>
      <rPr>
        <b/>
        <vertAlign val="superscript"/>
        <sz val="10"/>
        <rFont val="Calibri"/>
        <family val="2"/>
      </rPr>
      <t>1</t>
    </r>
  </si>
  <si>
    <r>
      <t>Quantity</t>
    </r>
    <r>
      <rPr>
        <b/>
        <u/>
        <vertAlign val="superscript"/>
        <sz val="10"/>
        <rFont val="Calibri"/>
        <family val="2"/>
      </rPr>
      <t>2</t>
    </r>
    <r>
      <rPr>
        <b/>
        <u/>
        <sz val="10"/>
        <rFont val="Calibri"/>
        <family val="2"/>
      </rPr>
      <t xml:space="preserve"> Coal (E9 MT)</t>
    </r>
  </si>
  <si>
    <r>
      <t xml:space="preserve">Available Energy (E18 J) </t>
    </r>
    <r>
      <rPr>
        <b/>
        <u/>
        <vertAlign val="superscript"/>
        <sz val="10"/>
        <rFont val="Calibri"/>
        <family val="2"/>
      </rPr>
      <t>3</t>
    </r>
  </si>
  <si>
    <r>
      <t>T hot</t>
    </r>
    <r>
      <rPr>
        <vertAlign val="superscript"/>
        <sz val="10"/>
        <rFont val="Arial"/>
        <family val="2"/>
      </rPr>
      <t>1.</t>
    </r>
  </si>
  <si>
    <t>1. Mean "cooking" temperature; Teichmuller and Teichmuller (1986) in Brown and Ulgiati (2011).</t>
  </si>
  <si>
    <r>
      <t>Percent generated by kerogen type</t>
    </r>
    <r>
      <rPr>
        <b/>
        <sz val="11"/>
        <color indexed="8"/>
        <rFont val="Calibri"/>
        <family val="2"/>
      </rPr>
      <t xml:space="preserve"> </t>
    </r>
    <r>
      <rPr>
        <b/>
        <vertAlign val="superscript"/>
        <sz val="11"/>
        <color indexed="8"/>
        <rFont val="Calibri"/>
        <family val="2"/>
      </rPr>
      <t>1b</t>
    </r>
  </si>
  <si>
    <r>
      <t xml:space="preserve">Percent total reserve </t>
    </r>
    <r>
      <rPr>
        <b/>
        <vertAlign val="superscript"/>
        <sz val="11"/>
        <color indexed="8"/>
        <rFont val="Calibri"/>
        <family val="2"/>
      </rPr>
      <t>1a</t>
    </r>
  </si>
  <si>
    <r>
      <t xml:space="preserve">g C </t>
    </r>
    <r>
      <rPr>
        <b/>
        <vertAlign val="superscript"/>
        <sz val="11"/>
        <color indexed="8"/>
        <rFont val="Calibri"/>
        <family val="2"/>
      </rPr>
      <t>2</t>
    </r>
  </si>
  <si>
    <r>
      <t xml:space="preserve">sej/g C </t>
    </r>
    <r>
      <rPr>
        <b/>
        <vertAlign val="superscript"/>
        <sz val="11"/>
        <color indexed="8"/>
        <rFont val="Calibri"/>
        <family val="2"/>
      </rPr>
      <t>3</t>
    </r>
  </si>
  <si>
    <t>Table 1: Known global petroleum hydrocarbon reserves by geologic age, (after Brown et al., 2011)</t>
  </si>
  <si>
    <t>sej/J crude fuel</t>
  </si>
  <si>
    <t>Table 2. Aggregated oil and natural gas UEVs</t>
  </si>
  <si>
    <t>sej/gC  weighted average</t>
  </si>
  <si>
    <t>Geologic Age</t>
  </si>
  <si>
    <r>
      <t>sej/g crude fuel</t>
    </r>
    <r>
      <rPr>
        <vertAlign val="superscript"/>
        <sz val="11"/>
        <color indexed="8"/>
        <rFont val="Calibri"/>
        <family val="2"/>
      </rPr>
      <t>1.</t>
    </r>
  </si>
  <si>
    <t>1. crude petroleum is approximately 85% C,  so sej/g C is divided by 0.85 to result in sej/g total hydrocarbon reserve.</t>
  </si>
  <si>
    <r>
      <t>Al(OH)</t>
    </r>
    <r>
      <rPr>
        <vertAlign val="subscript"/>
        <sz val="11"/>
        <color indexed="8"/>
        <rFont val="Calibri"/>
        <family val="2"/>
      </rPr>
      <t>3</t>
    </r>
  </si>
  <si>
    <r>
      <t>Fe</t>
    </r>
    <r>
      <rPr>
        <vertAlign val="subscript"/>
        <sz val="11"/>
        <color indexed="8"/>
        <rFont val="Calibri"/>
        <family val="2"/>
      </rPr>
      <t>2</t>
    </r>
    <r>
      <rPr>
        <sz val="11"/>
        <color indexed="8"/>
        <rFont val="Calibri"/>
        <family val="2"/>
      </rPr>
      <t>O</t>
    </r>
    <r>
      <rPr>
        <vertAlign val="subscript"/>
        <sz val="11"/>
        <color indexed="8"/>
        <rFont val="Calibri"/>
        <family val="2"/>
      </rPr>
      <t>3</t>
    </r>
  </si>
  <si>
    <r>
      <t>Fe</t>
    </r>
    <r>
      <rPr>
        <vertAlign val="superscript"/>
        <sz val="11"/>
        <color indexed="8"/>
        <rFont val="Calibri"/>
        <family val="2"/>
      </rPr>
      <t>3+</t>
    </r>
    <r>
      <rPr>
        <sz val="11"/>
        <color indexed="8"/>
        <rFont val="Calibri"/>
        <family val="2"/>
      </rPr>
      <t>2Fe</t>
    </r>
    <r>
      <rPr>
        <vertAlign val="superscript"/>
        <sz val="11"/>
        <color indexed="8"/>
        <rFont val="Calibri"/>
        <family val="2"/>
      </rPr>
      <t>2+</t>
    </r>
    <r>
      <rPr>
        <sz val="11"/>
        <color indexed="8"/>
        <rFont val="Calibri"/>
        <family val="2"/>
      </rPr>
      <t>O4</t>
    </r>
  </si>
  <si>
    <r>
      <t>Fe</t>
    </r>
    <r>
      <rPr>
        <vertAlign val="superscript"/>
        <sz val="11"/>
        <color indexed="8"/>
        <rFont val="Calibri"/>
        <family val="2"/>
      </rPr>
      <t>2+</t>
    </r>
    <r>
      <rPr>
        <sz val="11"/>
        <color indexed="8"/>
        <rFont val="Calibri"/>
        <family val="2"/>
      </rPr>
      <t>CO</t>
    </r>
    <r>
      <rPr>
        <vertAlign val="subscript"/>
        <sz val="11"/>
        <color indexed="8"/>
        <rFont val="Calibri"/>
        <family val="2"/>
      </rPr>
      <t>3</t>
    </r>
  </si>
  <si>
    <r>
      <t>Fe</t>
    </r>
    <r>
      <rPr>
        <vertAlign val="superscript"/>
        <sz val="11"/>
        <color indexed="8"/>
        <rFont val="Calibri"/>
        <family val="2"/>
      </rPr>
      <t>2+</t>
    </r>
    <r>
      <rPr>
        <vertAlign val="subscript"/>
        <sz val="11"/>
        <color indexed="8"/>
        <rFont val="Calibri"/>
        <family val="2"/>
      </rPr>
      <t>4.5</t>
    </r>
    <r>
      <rPr>
        <sz val="11"/>
        <color indexed="8"/>
        <rFont val="Calibri"/>
        <family val="2"/>
      </rPr>
      <t>Ni</t>
    </r>
    <r>
      <rPr>
        <vertAlign val="subscript"/>
        <sz val="11"/>
        <color indexed="8"/>
        <rFont val="Calibri"/>
        <family val="2"/>
      </rPr>
      <t>4.5</t>
    </r>
    <r>
      <rPr>
        <sz val="11"/>
        <color indexed="8"/>
        <rFont val="Calibri"/>
        <family val="2"/>
      </rPr>
      <t>S</t>
    </r>
    <r>
      <rPr>
        <vertAlign val="subscript"/>
        <sz val="11"/>
        <color indexed="8"/>
        <rFont val="Calibri"/>
        <family val="2"/>
      </rPr>
      <t>8</t>
    </r>
  </si>
  <si>
    <r>
      <t>Mg</t>
    </r>
    <r>
      <rPr>
        <vertAlign val="subscript"/>
        <sz val="11"/>
        <color indexed="8"/>
        <rFont val="Calibri"/>
        <family val="2"/>
      </rPr>
      <t>1.6</t>
    </r>
    <r>
      <rPr>
        <sz val="11"/>
        <color indexed="8"/>
        <rFont val="Calibri"/>
        <family val="2"/>
      </rPr>
      <t>Fe</t>
    </r>
    <r>
      <rPr>
        <vertAlign val="superscript"/>
        <sz val="11"/>
        <color indexed="8"/>
        <rFont val="Calibri"/>
        <family val="2"/>
      </rPr>
      <t>2+</t>
    </r>
    <r>
      <rPr>
        <vertAlign val="subscript"/>
        <sz val="11"/>
        <color indexed="8"/>
        <rFont val="Calibri"/>
        <family val="2"/>
      </rPr>
      <t>0.4</t>
    </r>
    <r>
      <rPr>
        <sz val="11"/>
        <color indexed="8"/>
        <rFont val="Calibri"/>
        <family val="2"/>
      </rPr>
      <t>(SiO</t>
    </r>
    <r>
      <rPr>
        <vertAlign val="subscript"/>
        <sz val="11"/>
        <color indexed="8"/>
        <rFont val="Calibri"/>
        <family val="2"/>
      </rPr>
      <t>4</t>
    </r>
    <r>
      <rPr>
        <sz val="11"/>
        <color indexed="8"/>
        <rFont val="Calibri"/>
        <family val="2"/>
      </rPr>
      <t>)</t>
    </r>
  </si>
  <si>
    <t>Energy/mass</t>
  </si>
  <si>
    <t>Energy/m3</t>
  </si>
  <si>
    <t>Table 3. Low Heat Value Constants</t>
  </si>
  <si>
    <t>Atmospheric Gases</t>
  </si>
  <si>
    <t>Renewable Earth Emergy Flows</t>
  </si>
  <si>
    <t>Aggregates</t>
  </si>
  <si>
    <t>Biomass</t>
  </si>
  <si>
    <t>Soil</t>
  </si>
  <si>
    <t>Wood</t>
  </si>
  <si>
    <t>Fossil Fuels</t>
  </si>
  <si>
    <t>Chalcopyrite (3.4% mineral in ground)</t>
  </si>
  <si>
    <t>Chalcopyrite (4.1% mineral in ground)</t>
  </si>
  <si>
    <t>Chalcopyrite (6.3% mineral in ground)</t>
  </si>
  <si>
    <t>Gold (0.00013% mineral in ground)</t>
  </si>
  <si>
    <t>Gold (0.00014% mineral in ground)</t>
  </si>
  <si>
    <t>Gold (0.00021% mineral in ground)</t>
  </si>
  <si>
    <t>Gold (0.00043% mineral in ground)</t>
  </si>
  <si>
    <t>Gold (0.00005% mineral in ground)</t>
  </si>
  <si>
    <t>Gold (0.00067% mineral in ground)</t>
  </si>
  <si>
    <t>Gold (0.00071% mineral in ground)</t>
  </si>
  <si>
    <t>Gold (0.00097% mineral in ground)</t>
  </si>
  <si>
    <t>Sphalerite (8% mineral in ground)</t>
  </si>
  <si>
    <t>Molybdenite (0.0684% mineral in ground)</t>
  </si>
  <si>
    <t>Apatite (for Phosphorous, 22% mineral in ground)</t>
  </si>
  <si>
    <t>Apatite (for Fluorine, 22% mineral in ground)</t>
  </si>
  <si>
    <t>Apatite (for Fluorine, 67% mineral in ground)</t>
  </si>
  <si>
    <t>Chromite (Rhodium at 0.00008%, 24.9% mineral in ground)</t>
  </si>
  <si>
    <t>Chromite (Rhodium at 0.00010%, 24.9% mineral in ground)</t>
  </si>
  <si>
    <t>Native silver (0.0042% mineral in ground)</t>
  </si>
  <si>
    <t>Native silver (0.00005% mineral in ground)</t>
  </si>
  <si>
    <t>Native silver (0.00097% mineral in ground)</t>
  </si>
  <si>
    <t>Cooperite (for Palladium, 0.0043% mineral in ground)</t>
  </si>
  <si>
    <t>Cooperite (for Platinum, 0.001% mineral in ground)</t>
  </si>
  <si>
    <t>Cooperite (for Platinum, 0.0019% mineral in ground)</t>
  </si>
  <si>
    <t>Molybdenite (for Rhenium, 0.0684% mineral in ground)</t>
  </si>
  <si>
    <t>*** DO NOT sort this list - the linked ECFs depend on this arragnement. Any  sorting must be undone. They are not currently perfectly alphebetized.</t>
  </si>
  <si>
    <t>% Geothermal emergy</t>
  </si>
  <si>
    <t>Table 1. Ocean ion fluxes and emergy characterization factor calculations</t>
  </si>
  <si>
    <t>Symbol</t>
  </si>
  <si>
    <t>Atomic weight</t>
  </si>
  <si>
    <t>Ocean (micromol/m3)</t>
  </si>
  <si>
    <t>River dissolved (micromol/m3)</t>
  </si>
  <si>
    <t>Residence/accumulation time</t>
  </si>
  <si>
    <t>g in Ocean</t>
  </si>
  <si>
    <t>g/yr flux</t>
  </si>
  <si>
    <t>GEB / No. =</t>
  </si>
  <si>
    <t>seJ/item</t>
  </si>
  <si>
    <t/>
  </si>
  <si>
    <t>Pottasium</t>
  </si>
  <si>
    <t>Table 3. Iodine cycling</t>
  </si>
  <si>
    <t>Runoff</t>
  </si>
  <si>
    <t>m3/yr</t>
  </si>
  <si>
    <t>L/yr</t>
  </si>
  <si>
    <t>River I conc.</t>
  </si>
  <si>
    <t>micro-g/L</t>
  </si>
  <si>
    <t>Iodine flux</t>
  </si>
  <si>
    <t>Seawater I</t>
  </si>
  <si>
    <t>Iodine r.t.</t>
  </si>
  <si>
    <t>Sodium Chloride</t>
  </si>
  <si>
    <t>Calcium chloride</t>
  </si>
  <si>
    <t>Ave sea conc.</t>
  </si>
  <si>
    <t>Weighted average of sodium (Na) and chlorine (Cl) element ions in seawater</t>
  </si>
  <si>
    <t>Weighted average of calcium (Ca) and chlorine (Cl2) element ions in seawater.</t>
  </si>
  <si>
    <t>Table 4. Constants</t>
  </si>
  <si>
    <t>References</t>
  </si>
  <si>
    <t>Composition of the Crust</t>
  </si>
  <si>
    <t>seJ/y</t>
  </si>
  <si>
    <t>Table 4: Conversion effciecies of NPP to kerogen to hydrocarbons for all geologic ages</t>
  </si>
  <si>
    <t>Table 5. Preservation Factors</t>
  </si>
  <si>
    <t>Brown, M.T., D. Campbell &amp; S. Ulgiati. 2015. The Geobiosphere Emergy Baseline: A synthesis. Ecological Modeling. Forthcoming.</t>
  </si>
  <si>
    <t>Table 2. LCA seawater ion EmCF calculations</t>
  </si>
  <si>
    <t>Radionuclides</t>
  </si>
  <si>
    <t>Uranium 235</t>
  </si>
  <si>
    <t>Uranium 238</t>
  </si>
  <si>
    <t>Resource extraction</t>
  </si>
  <si>
    <t>Siegel et al. 2015</t>
  </si>
  <si>
    <r>
      <rPr>
        <vertAlign val="superscript"/>
        <sz val="11"/>
        <color indexed="8"/>
        <rFont val="Calibri"/>
        <family val="2"/>
      </rPr>
      <t>40</t>
    </r>
    <r>
      <rPr>
        <sz val="11"/>
        <color theme="1"/>
        <rFont val="Calibri"/>
        <family val="2"/>
        <scheme val="minor"/>
      </rPr>
      <t>K</t>
    </r>
  </si>
  <si>
    <r>
      <rPr>
        <vertAlign val="superscript"/>
        <sz val="11"/>
        <color indexed="8"/>
        <rFont val="Calibri"/>
        <family val="2"/>
      </rPr>
      <t>232</t>
    </r>
    <r>
      <rPr>
        <sz val="11"/>
        <color theme="1"/>
        <rFont val="Calibri"/>
        <family val="2"/>
        <scheme val="minor"/>
      </rPr>
      <t>Th</t>
    </r>
  </si>
  <si>
    <r>
      <rPr>
        <vertAlign val="superscript"/>
        <sz val="11"/>
        <color indexed="8"/>
        <rFont val="Calibri"/>
        <family val="2"/>
      </rPr>
      <t>235</t>
    </r>
    <r>
      <rPr>
        <sz val="11"/>
        <color theme="1"/>
        <rFont val="Calibri"/>
        <family val="2"/>
        <scheme val="minor"/>
      </rPr>
      <t>U</t>
    </r>
  </si>
  <si>
    <r>
      <rPr>
        <vertAlign val="superscript"/>
        <sz val="11"/>
        <color indexed="8"/>
        <rFont val="Calibri"/>
        <family val="2"/>
      </rPr>
      <t>238</t>
    </r>
    <r>
      <rPr>
        <sz val="11"/>
        <color theme="1"/>
        <rFont val="Calibri"/>
        <family val="2"/>
        <scheme val="minor"/>
      </rPr>
      <t>U</t>
    </r>
  </si>
  <si>
    <t>Terrestrial Precipitation</t>
  </si>
  <si>
    <t>Ocean Precipitation</t>
  </si>
  <si>
    <t>2. Average of Subituminous and Lignite( Table 6.9, Valero 2008)</t>
  </si>
  <si>
    <t>Changelog</t>
  </si>
  <si>
    <t>*Removed labor rows from EmCF library and labor sheet</t>
  </si>
  <si>
    <t>*Corrected equation in cell L160</t>
  </si>
  <si>
    <t>12/29/2015, WI</t>
  </si>
  <si>
    <t>Electronic Supplemental Material</t>
  </si>
  <si>
    <t>Filename:</t>
  </si>
  <si>
    <t>EmCF database for LCA</t>
  </si>
  <si>
    <t>Description:</t>
  </si>
  <si>
    <t>Data, sources, and calculation</t>
  </si>
  <si>
    <t>Worksheets:</t>
  </si>
  <si>
    <t>EmCF library</t>
  </si>
  <si>
    <t>Land, biomass &amp; soil</t>
  </si>
  <si>
    <t>Singular minerals</t>
  </si>
  <si>
    <t>Aggregate minerals</t>
  </si>
  <si>
    <t>Limestone</t>
  </si>
  <si>
    <t>Ocean ions</t>
  </si>
  <si>
    <t>Atmospheric gases</t>
  </si>
  <si>
    <t>Coal</t>
  </si>
  <si>
    <t>Oil &amp; NG</t>
  </si>
  <si>
    <t>Crust element composition</t>
  </si>
  <si>
    <t>Geobiosphere emergy baseline (Brown et al. 2016)</t>
  </si>
  <si>
    <t>Table 6. Magnesium</t>
  </si>
  <si>
    <t>Table 7. Manganese</t>
  </si>
  <si>
    <t>Table 8. Titanium</t>
  </si>
  <si>
    <t>Table 9. Cerium</t>
  </si>
  <si>
    <t>Table 10. Lanthanum</t>
  </si>
  <si>
    <t>Table 11. Phosphorus</t>
  </si>
  <si>
    <t>Table 12. Smectite</t>
  </si>
  <si>
    <t>1/22/16, XM</t>
  </si>
  <si>
    <t>*Removed uranium from Multiple mineral deposits</t>
  </si>
  <si>
    <t>*Add Biomass, unspecified flow</t>
  </si>
  <si>
    <t>*Link "Occupation, temperate/forest" to Land, biomass &amp; soil tab; Link "Occupation, temperate/grassland" to Land, biomass &amp; soil tab</t>
  </si>
  <si>
    <t>*Link "wind transformity" to GEB</t>
  </si>
  <si>
    <t>*Link "Nitrogen in soil" to GEB</t>
  </si>
  <si>
    <t>12/24/15, XM</t>
  </si>
  <si>
    <t>Table of Contents</t>
  </si>
  <si>
    <t>Bengtsson, L. 2010. The global atmospheric water cycle. Editorial, Environ. Res. Lett. 5025001, 8pp.</t>
  </si>
  <si>
    <t>2/12/16, XM</t>
  </si>
  <si>
    <t>*Add reference Bengesson, 2010.</t>
  </si>
  <si>
    <t>*Switch the Alternative Unit Column with UVE value column to avoid confusion under worksheet EmCF library.</t>
  </si>
  <si>
    <r>
      <t xml:space="preserve">UEV Terrestrial NPP </t>
    </r>
    <r>
      <rPr>
        <b/>
        <u/>
        <vertAlign val="superscript"/>
        <sz val="10"/>
        <rFont val="Calibri"/>
        <family val="2"/>
      </rPr>
      <t>4</t>
    </r>
  </si>
  <si>
    <t>*Adjust the GEB for geological time for fossil fuel formation under worksheet Coal.  Row 16, Note 4 is added.</t>
  </si>
  <si>
    <t>4. Instead of GEB=1.2E25 sej/y at present time, GEB is adjusted to geologic period of the NPP formation.  The geological period is assumed to be between 90-400 million years (Brown et al., 2011).  The average GEB during the period (0.09-0.4 billion years BP) is 8.9E24 sej/y (Campbell, 2016, Figure 7).  The factor (8.9E24/15.2E24=0.58) is applied to adjust NPP production.</t>
  </si>
  <si>
    <t>Campbell, D. E. (2016) "Emergy baseline for the Earth: A historical review of the science and a new calculation." Ecological Modelling.  doi:10.1016/j.ecolmodel.2015.12.010</t>
  </si>
  <si>
    <t>Brown, M. T., et al. (2016). "The geobiosphere emergy baseline: A synthesis." Ecological Modelling.  doi:10.1016/j.ecolmodel.2016.03.018</t>
  </si>
  <si>
    <t>J/y</t>
  </si>
  <si>
    <t>Solar exergy absorbed (Brown et al. 2016)</t>
  </si>
  <si>
    <t>Geothermal exergy Flows (Brown et al. 2016)</t>
  </si>
  <si>
    <t>*Link new geothermal energy from synthesis GEB paper in Coal sheet to Renewable Earth Emergy Flow worksheet</t>
  </si>
  <si>
    <t>*Add global solar, geothermal and tidal flow contants (B12-B14) under worksheet Renewable Earth Emergy Flows</t>
  </si>
  <si>
    <t>*Add Solar eqivalent exergy of geothermal and tidal contants (B9-B11) under worksheet Renewable Earth Emergy Flows</t>
  </si>
  <si>
    <t xml:space="preserve">*Link B53 in Renewable Emergy Flows sheet to cells L6, L7, L8 on the water spreadsheet. </t>
  </si>
  <si>
    <t>*Link "Emergy driving Land precipitation (cell B53) and Ocean precipitation (cell B54)" in Renewable Earth emergy flows to GEB and Land and Ocean surface area.  Cells B55 and B56 are updated.</t>
  </si>
  <si>
    <t>3/15/2016, XM</t>
  </si>
  <si>
    <t>Brown, M.T. and S. Ulgiati. (2016a). Assessing the Global Environmental Sources Driving the Geobiosphere: A Revised Emergy Baseline. Ecological Modeling, 339 (2016) 126–132.  doi:10.1016/j.ecolmodel.2016.03.017</t>
  </si>
  <si>
    <t>Brown, M.T. and S. Ulgiati. (2016b). Emergy Assessment of Global Renewable Sources. Ecological Modeling, 339 (2016) 148–156.  doi:10.1016/j.ecolmodel.2016.03.010</t>
  </si>
  <si>
    <t>Average crustal molecular weight (Valero et al. 2012)</t>
  </si>
  <si>
    <t>Solar equivalent Joules of sunlight exergy</t>
  </si>
  <si>
    <t>Solar equivalent Joules of geothermal exergy (Brown et al., 2016)</t>
  </si>
  <si>
    <t>Solar equivalent Joules of tidal exergy (Brown et al., 2016)</t>
  </si>
  <si>
    <t>Global solar emergy  (Brown et al. 2016)</t>
  </si>
  <si>
    <t>Global geothermal exergy  (Brown et al. 2016)</t>
  </si>
  <si>
    <t>Global tidal emergy  (Brown et al. 2016)</t>
  </si>
  <si>
    <t>Renewable cutoff threshold</t>
  </si>
  <si>
    <t>Wave energy in the oceans as a whole</t>
  </si>
  <si>
    <t>Swamp and bogs</t>
  </si>
  <si>
    <t>2. Estimates based on interpretation of data from Brezonik and Arnold (2011), Hem (1989), Leisenring et al. (2011), Meybeck et al. (1989) and  Milliman and Farnsworth (2011) dan added references to check numbers</t>
  </si>
  <si>
    <t>3. Gibbs energy = RT/w ln(ci/965,000); Give value for universal gas constant and temperature defeind somewhere on sheet?</t>
  </si>
  <si>
    <t>6. The global average transformity of a fresh water body is the ratio of its average specific emergy to its Gibb’s free energy . This is the same as the emergy base divided by the Gibbs free energyt of the flow.</t>
  </si>
  <si>
    <t>Runoff to the sea</t>
  </si>
  <si>
    <t xml:space="preserve">M. I. Budyko u. a. (bei Dyck 1968) </t>
  </si>
  <si>
    <t>Time of study</t>
  </si>
  <si>
    <t>evap. land</t>
  </si>
  <si>
    <t>precip. land</t>
  </si>
  <si>
    <t>sea to land</t>
  </si>
  <si>
    <t>Evap. Sea</t>
  </si>
  <si>
    <t>precip sea</t>
  </si>
  <si>
    <t>global balance</t>
  </si>
  <si>
    <t>From Marcinek (2007) Hydrological cycle</t>
  </si>
  <si>
    <t xml:space="preserve">V. I. Korzun u. a. </t>
  </si>
  <si>
    <t xml:space="preserve">M. I. L’voviè </t>
  </si>
  <si>
    <t xml:space="preserve">A. Baumgartner u. E. Reichel </t>
  </si>
  <si>
    <t xml:space="preserve">R. K. Klige u. a. (updated) </t>
  </si>
  <si>
    <t xml:space="preserve">M. T. Chahine </t>
  </si>
  <si>
    <t xml:space="preserve">I. A. Shiklomanov </t>
  </si>
  <si>
    <t xml:space="preserve">T. Oki </t>
  </si>
  <si>
    <t>K. E. Trenberth et al</t>
  </si>
  <si>
    <t xml:space="preserve">Average  </t>
  </si>
  <si>
    <t xml:space="preserve">Standard deviation </t>
  </si>
  <si>
    <t xml:space="preserve">Maximum </t>
  </si>
  <si>
    <t xml:space="preserve">Minimum </t>
  </si>
  <si>
    <t>Author  of budget</t>
  </si>
  <si>
    <t>% difference between average and Emcf data</t>
  </si>
  <si>
    <t>Transformity of waves on the ocean surface</t>
  </si>
  <si>
    <t>Wind energy transferred to the oceans (Rascale et al. 2008)</t>
  </si>
  <si>
    <t>Transformity of wave energy on the shore</t>
  </si>
  <si>
    <t>Wave energy dissipated in the surf zone assuming all transmitted is dissipated</t>
  </si>
  <si>
    <t>Wind Driven Ocean currents transformity</t>
  </si>
  <si>
    <t>Transformity of wind-driven surface ocean currents</t>
  </si>
  <si>
    <t>This Study assuming hydrological balance</t>
  </si>
  <si>
    <t>Evapotranspiration</t>
  </si>
  <si>
    <t>Rain on land</t>
  </si>
  <si>
    <t>Rain on oceans</t>
  </si>
  <si>
    <t>runoff to sea</t>
  </si>
  <si>
    <t>ET on land</t>
  </si>
  <si>
    <t>Tidal energy absorbed on the continental  shelf and in estuaries</t>
  </si>
  <si>
    <t>Emergy base for the tides</t>
  </si>
  <si>
    <t>Transformity of tidal energy issipated in coastal waters</t>
  </si>
  <si>
    <t>Secondary flow</t>
  </si>
  <si>
    <t>Tertiary flow</t>
  </si>
  <si>
    <t>Primary flows</t>
  </si>
  <si>
    <t>12/1/2016, DC</t>
  </si>
  <si>
    <t>* Add exergy flows and emergy flows of global solar, geothermal and tidal flows (Row 9-Row 14) in Renewable Earth emergy flows</t>
  </si>
  <si>
    <t xml:space="preserve">* Wind energy transferred to the oceans (B40) was updated with new reference (Rascale et a., 2008) in Renewable earth emergy flows.  </t>
  </si>
  <si>
    <t>* Wave energy (B44) was updated with the updated wind energy.  Transformity of waves on the ocean surface (B45) was updated.</t>
  </si>
  <si>
    <t xml:space="preserve">* Wave energy on the shore was added (B46-48) in Renewable earth emergy flows.  </t>
  </si>
  <si>
    <t>Evapotranspiration on land</t>
  </si>
  <si>
    <t>Hyrologial Cycle</t>
  </si>
  <si>
    <t>12/3/2019, SA</t>
  </si>
  <si>
    <t>* Renewable Earth emergy flows: Average crustal molecular weight corrected from 157.7 to 155.2</t>
  </si>
  <si>
    <t>* Renewable Earth emergy flows: Precipitation over ocean corrected from 4.13 to 3.75E20 g/yr</t>
  </si>
  <si>
    <t>* Renewable Earth emergy flows: Global streamflow updated from 3.99 to 3.73 km3/yr, reflecting global estimate from Dai et al., 2009 that excludes Antarctica and Greenland as these flows are largely glacier-derived</t>
  </si>
  <si>
    <t>* Renewable Earth emergy flows: Made Gibbs free energy calculations dynamic, based on solute concentrations of respective flows</t>
  </si>
  <si>
    <t>* Renewable Earth emergy flows: Tidal exergy absorbed (cell B11) changed to whole earth rather than ocean only or average of the two. Ocean-specific calculations can be adjusted where necessary.</t>
  </si>
  <si>
    <t>Geobiosphere tidal exergy absorbed (Brown et al. 2016)</t>
  </si>
  <si>
    <t>TDS concentration of ocean water and cellular interstitial fluid</t>
  </si>
  <si>
    <t>Emergy of land precipitation</t>
  </si>
  <si>
    <t>Global annual stream discharge = 3.73 E4 km3, not including Antarctica and Greenland as they are largely glacier-based (Dai et al., 2009)</t>
  </si>
  <si>
    <r>
      <t>Milliman, J. D., &amp; Farnsworth, K. L. (2011). Runoff, erosion, and delivery to the coastal ocean. </t>
    </r>
    <r>
      <rPr>
        <i/>
        <sz val="14"/>
        <color indexed="63"/>
        <rFont val="Arial"/>
        <family val="2"/>
      </rPr>
      <t>River discharge to the coastal ocean: a global synthesis, Cambridge University Press, Cambridge, UK</t>
    </r>
    <r>
      <rPr>
        <sz val="14"/>
        <color indexed="63"/>
        <rFont val="Arial"/>
        <family val="2"/>
      </rPr>
      <t>, 13-69.</t>
    </r>
  </si>
  <si>
    <t>TDS global rivers, based on 3.8 billion tons/yr of dissolved solids export (Milliman and Farnsworth, 2011, p. 51)</t>
  </si>
  <si>
    <t>seJ/yr</t>
  </si>
  <si>
    <t>Global chemical exergy dissipated from continental runoff</t>
  </si>
  <si>
    <t>Wave energy transmitted to surf zone turbulence (Rascle et al., 2008)</t>
  </si>
  <si>
    <t>Shallow (&lt; 1000 m) tidal energy dissipation rate (bottom drag + eddy turbulence) from Taguchi et al., 2014, Table 6</t>
  </si>
  <si>
    <t>* Renewable Earth emergy flows: found updated reference for tidal energy dissipated in shallow ocean</t>
  </si>
  <si>
    <t>* Land, biomass &amp; soil: changed input exgergy cells to link to Renewable Earth emergy flows tab</t>
  </si>
  <si>
    <t>Geopotential energy dissipated from average continental elevation of 797m.</t>
  </si>
  <si>
    <t>* Land, biomass &amp; soil: changed transformity of rain input to open ocean to rain_ocean_tr</t>
  </si>
  <si>
    <t>* Land, biomass &amp; soil: changed transformity of waves input to ice/rock to waves_shore_tr</t>
  </si>
  <si>
    <t>* Land, biomass &amp; soil: changed transformity of waves input to tundra to waves_shore_tr</t>
  </si>
  <si>
    <t>* Land, biomass &amp; soil: updated Tables A1 and A-1 to include land and ocean transformities for rain and waves, per calculations on Renewable Earth emergy flows tab</t>
  </si>
  <si>
    <t>* Renewable Earth emergy flows: updated value/reference for wind energy input to ocean currents, added Wang and Huang, 2004a and b to References.</t>
  </si>
  <si>
    <t>% of input transferred to waves</t>
  </si>
  <si>
    <t>%</t>
  </si>
  <si>
    <t>* Land, biomass &amp; soil: Energy inputs to Table A-9 (Open Ocean) updated to reflect current values on Renewable Earth emergy flows tab, accounting for subtraction of Ocean Shelf from total Ocean Area</t>
  </si>
  <si>
    <t>* Singular minerals: Updated column headings to be more descriptive</t>
  </si>
  <si>
    <r>
      <t>Mineral concentration g</t>
    </r>
    <r>
      <rPr>
        <b/>
        <vertAlign val="subscript"/>
        <sz val="12"/>
        <color indexed="8"/>
        <rFont val="Calibri"/>
        <family val="2"/>
      </rPr>
      <t>mineral</t>
    </r>
    <r>
      <rPr>
        <b/>
        <sz val="12"/>
        <color indexed="8"/>
        <rFont val="Calibri"/>
        <family val="2"/>
      </rPr>
      <t>/g</t>
    </r>
    <r>
      <rPr>
        <b/>
        <vertAlign val="subscript"/>
        <sz val="12"/>
        <color indexed="8"/>
        <rFont val="Calibri"/>
        <family val="2"/>
      </rPr>
      <t>crust</t>
    </r>
  </si>
  <si>
    <r>
      <t>Molar fraction
(mol</t>
    </r>
    <r>
      <rPr>
        <b/>
        <vertAlign val="subscript"/>
        <sz val="12"/>
        <color indexed="8"/>
        <rFont val="Calibri"/>
        <family val="2"/>
      </rPr>
      <t>mineral</t>
    </r>
    <r>
      <rPr>
        <b/>
        <sz val="12"/>
        <color indexed="8"/>
        <rFont val="Calibri"/>
        <family val="2"/>
      </rPr>
      <t>/mol</t>
    </r>
    <r>
      <rPr>
        <b/>
        <vertAlign val="subscript"/>
        <sz val="12"/>
        <color indexed="8"/>
        <rFont val="Calibri"/>
        <family val="2"/>
      </rPr>
      <t>crust</t>
    </r>
    <r>
      <rPr>
        <b/>
        <sz val="12"/>
        <color indexed="8"/>
        <rFont val="Calibri"/>
        <family val="2"/>
      </rPr>
      <t>)</t>
    </r>
  </si>
  <si>
    <t>Cogley, J. G. (1984). Continental margins and the extent and number of the continents. Reviews of Geophysics, 22(2), 101-122.</t>
  </si>
  <si>
    <t>Ronov, A. B., &amp; Yaroshevsky, A. A. (1978). Chemical composition of the crust and its shells. In Tectonosphere of the Earth (pp. 379-402). Nauka Moscow.</t>
  </si>
  <si>
    <t>Average age of the crust (Taylor and McLennan, 1995; Veizer and Jansen, 1985)</t>
  </si>
  <si>
    <t>Taylor, S. R., &amp; McLennan, S. M. (1995). The geochemical evolution of the continental crust. Reviews of geophysics, 33(2), 241-265.</t>
  </si>
  <si>
    <t>* Renewable Earth emergy flows: Updated calculation of average crust specific emergy to only account for the upper 1000 m, or the region considered to be economically active</t>
  </si>
  <si>
    <t>Peterson, B.T. and Depaolo, D.J. (2007) Mass and Composition of the Continental Crust Estimated Using the CRUST2.0 Model. Eos. Transactions American Geophysical Union, 88(52), Fall Meeting. Suppl., Abstract V33A-1161</t>
  </si>
  <si>
    <t>* Singular minerals: Corrected average crustal g/mol and kJ/mol to 155.2 and 3.63</t>
  </si>
  <si>
    <t>* Singular minerals: Did not check constants that were manually entered from external sources - assume they are correct</t>
  </si>
  <si>
    <r>
      <t>Mine Concentration (g</t>
    </r>
    <r>
      <rPr>
        <b/>
        <vertAlign val="subscript"/>
        <sz val="12"/>
        <color indexed="8"/>
        <rFont val="Calibri"/>
        <family val="2"/>
      </rPr>
      <t>mineral</t>
    </r>
    <r>
      <rPr>
        <b/>
        <sz val="12"/>
        <color indexed="8"/>
        <rFont val="Calibri"/>
        <family val="2"/>
      </rPr>
      <t>/g</t>
    </r>
    <r>
      <rPr>
        <b/>
        <vertAlign val="subscript"/>
        <sz val="12"/>
        <color indexed="8"/>
        <rFont val="Calibri"/>
        <family val="2"/>
      </rPr>
      <t>crust</t>
    </r>
    <r>
      <rPr>
        <b/>
        <sz val="12"/>
        <color indexed="8"/>
        <rFont val="Calibri"/>
        <family val="2"/>
      </rPr>
      <t>)</t>
    </r>
  </si>
  <si>
    <t>* Singular minerals: Deleted Concentration Exergy and Gibbs Exergy columns under Average Crustal Abundance Grouping. Concentration exergy at average crustal abundance is erroneous and misleading.</t>
  </si>
  <si>
    <t>Transformities</t>
  </si>
  <si>
    <t>Solar</t>
  </si>
  <si>
    <t>seJ/J</t>
  </si>
  <si>
    <t>Geothermal</t>
  </si>
  <si>
    <t>Rain Chemical Potential (Terrestrial)</t>
  </si>
  <si>
    <t>Rain Chemical Potential Ocean)</t>
  </si>
  <si>
    <t>Runoff Chemical Potential</t>
  </si>
  <si>
    <t>Runoff Geopotential</t>
  </si>
  <si>
    <t>Table 1. EXERGY of Biome Inputs (Data are from Lee and Brown (2019)</t>
  </si>
  <si>
    <t>Biome Type</t>
  </si>
  <si>
    <t>Tidal</t>
  </si>
  <si>
    <t>Rain Chem</t>
  </si>
  <si>
    <t>Terrestial Biomes</t>
  </si>
  <si>
    <t>Tropical &amp; Subtropical Moist Broadleaf Forests</t>
  </si>
  <si>
    <t>Tropical &amp; Subtropical Dry Broadleaf Forest</t>
  </si>
  <si>
    <t>Tropical &amp; Subtropical Coniferous Forest</t>
  </si>
  <si>
    <t>Temperate Broadleaf &amp; Mixed Forests</t>
  </si>
  <si>
    <t>Temperate Conifer Forests</t>
  </si>
  <si>
    <t>Boreal Forests/Taiga</t>
  </si>
  <si>
    <t>Tropical &amp; Subtropical Grasslands, Savannas &amp; Shrublands</t>
  </si>
  <si>
    <t>Temperate Grasslands, Savannas &amp; Shrublands</t>
  </si>
  <si>
    <t>Flooded Grasslands &amp; Savannas</t>
  </si>
  <si>
    <t>Montane Grasslands &amp; Shrublands</t>
  </si>
  <si>
    <t>Mediterranean Forests, Woodlands &amp; Scrub</t>
  </si>
  <si>
    <t>Deserts &amp; Xeric Shrublands</t>
  </si>
  <si>
    <t>Mangroves</t>
  </si>
  <si>
    <t>River</t>
  </si>
  <si>
    <t>Lake</t>
  </si>
  <si>
    <t>Rock &amp; Ice</t>
  </si>
  <si>
    <t>Terrestrial Sub total</t>
  </si>
  <si>
    <t>Marine Systems</t>
  </si>
  <si>
    <t>Estuary</t>
  </si>
  <si>
    <t>Ocean</t>
  </si>
  <si>
    <t>--</t>
  </si>
  <si>
    <t>AET = Actual Evapotranspiration</t>
  </si>
  <si>
    <t>Table 2. EMERGY of Biome Inputs  (Data are from Lee and Brown (2019)</t>
  </si>
  <si>
    <t>MaxR</t>
  </si>
  <si>
    <t>AEI</t>
  </si>
  <si>
    <t>sej/yr/m2</t>
  </si>
  <si>
    <t>MaxR = maximum of (Sun+Geothermal+Tide) compared to all other inputs</t>
  </si>
  <si>
    <t>Area = Data are from Lee and Brown (2015)</t>
  </si>
  <si>
    <t>AEI = Aerail Empower Intensity</t>
  </si>
  <si>
    <t>Table 3. GPP, NPP and Biomass of Global Biomes  (Data are from Lee and Brown (2020)</t>
  </si>
  <si>
    <t xml:space="preserve">Biome Type </t>
  </si>
  <si>
    <t>GPP</t>
  </si>
  <si>
    <t>Total Biomass</t>
  </si>
  <si>
    <t>Biomass per unit area</t>
  </si>
  <si>
    <t>Turn over time (95%)</t>
  </si>
  <si>
    <t>Biomass Emergy</t>
  </si>
  <si>
    <t>Biomass UEV</t>
  </si>
  <si>
    <t>Annual Input
(MaxR)</t>
  </si>
  <si>
    <t>(gC/yr)</t>
  </si>
  <si>
    <t>(gC)</t>
  </si>
  <si>
    <r>
      <t>(m</t>
    </r>
    <r>
      <rPr>
        <vertAlign val="superscript"/>
        <sz val="11"/>
        <rFont val="Times New Roman"/>
        <family val="1"/>
      </rPr>
      <t>2</t>
    </r>
    <r>
      <rPr>
        <sz val="11"/>
        <rFont val="Times New Roman"/>
        <family val="1"/>
      </rPr>
      <t>)</t>
    </r>
  </si>
  <si>
    <r>
      <t>(gC/yr/m</t>
    </r>
    <r>
      <rPr>
        <vertAlign val="superscript"/>
        <sz val="11"/>
        <rFont val="Times New Roman"/>
        <family val="1"/>
      </rPr>
      <t>2</t>
    </r>
    <r>
      <rPr>
        <sz val="11"/>
        <rFont val="Times New Roman"/>
        <family val="1"/>
      </rPr>
      <t>)</t>
    </r>
  </si>
  <si>
    <r>
      <t>(gC/m</t>
    </r>
    <r>
      <rPr>
        <vertAlign val="superscript"/>
        <sz val="11"/>
        <rFont val="Times New Roman"/>
        <family val="1"/>
      </rPr>
      <t>2</t>
    </r>
    <r>
      <rPr>
        <sz val="11"/>
        <rFont val="Times New Roman"/>
        <family val="1"/>
      </rPr>
      <t>)</t>
    </r>
  </si>
  <si>
    <t>(yr)</t>
  </si>
  <si>
    <t>sej</t>
  </si>
  <si>
    <t>sej/m2</t>
  </si>
  <si>
    <t>sej/gC</t>
  </si>
  <si>
    <t>Soil Carbon</t>
  </si>
  <si>
    <t>Turn Over Time</t>
  </si>
  <si>
    <t>Emergy</t>
  </si>
  <si>
    <t>Soil Carbon UEV</t>
  </si>
  <si>
    <t>(kgC)</t>
  </si>
  <si>
    <t>(kgC/m2)</t>
  </si>
  <si>
    <t>(sej/yr)</t>
  </si>
  <si>
    <r>
      <t>(m</t>
    </r>
    <r>
      <rPr>
        <vertAlign val="superscript"/>
        <sz val="11"/>
        <color indexed="8"/>
        <rFont val="Times New Roman"/>
        <family val="1"/>
      </rPr>
      <t>2</t>
    </r>
    <r>
      <rPr>
        <sz val="11"/>
        <color indexed="8"/>
        <rFont val="Times New Roman"/>
        <family val="1"/>
      </rPr>
      <t>)</t>
    </r>
  </si>
  <si>
    <t>(sej)</t>
  </si>
  <si>
    <t>(sej/gC)</t>
  </si>
  <si>
    <t>Biomass, Tropical &amp; Subtropical Moist Broadleaf Forests</t>
  </si>
  <si>
    <t>Biomass, Tropical &amp; Subtropical Dry Broadleaf Forest</t>
  </si>
  <si>
    <t>Biomass, Tropical &amp; Subtropical Coniferous Forest</t>
  </si>
  <si>
    <t>Biomass, Temperate Broadleaf &amp; Mixed Forests</t>
  </si>
  <si>
    <t>Biomass, Temperate Conifer Forests</t>
  </si>
  <si>
    <t>Biomass, Boreal Forests/Taiga</t>
  </si>
  <si>
    <t>Biomass, Tropical &amp; Subtropical Grasslands, Savannas &amp; Shrublands</t>
  </si>
  <si>
    <t>Biomass, Temperate Grasslands, Savannas &amp; Shrublands</t>
  </si>
  <si>
    <t>Biomass, Flooded Grasslands &amp; Savannas</t>
  </si>
  <si>
    <t>Biomass, Montane Grasslands &amp; Shrublands</t>
  </si>
  <si>
    <t>Biomass, Tundra</t>
  </si>
  <si>
    <t>Biomass, Mediterranean Forests, Woodlands &amp; Scrub</t>
  </si>
  <si>
    <t>Biomass, Deserts &amp; Xeric Shrublands</t>
  </si>
  <si>
    <t>Biomass, Mangroves</t>
  </si>
  <si>
    <t>* Biomes: removed old tab, which was from Brandt-Williams and Brown (2010) and updated with revised renewable work by Lee and Brown (2019, 2020)</t>
  </si>
  <si>
    <t>Lee, D. J., &amp; Brown, M. T. (2019). Journal of Environmental Accounting and Management. Journal of Environmental Accounting and Management, 7(1), 11-26.</t>
  </si>
  <si>
    <t>gC</t>
  </si>
  <si>
    <t>Lee and Brown, 2019</t>
  </si>
  <si>
    <t>World Average</t>
  </si>
  <si>
    <t>average crust turnover</t>
  </si>
  <si>
    <r>
      <t>Concentration exergy
(J/g</t>
    </r>
    <r>
      <rPr>
        <b/>
        <vertAlign val="subscript"/>
        <sz val="12"/>
        <color indexed="8"/>
        <rFont val="Calibri"/>
        <family val="2"/>
      </rPr>
      <t>mineral</t>
    </r>
    <r>
      <rPr>
        <b/>
        <sz val="12"/>
        <color indexed="8"/>
        <rFont val="Calibri"/>
        <family val="2"/>
      </rPr>
      <t>)</t>
    </r>
  </si>
  <si>
    <t>Total Concentration Exergy (J/yr)</t>
  </si>
  <si>
    <r>
      <t>Concentration Specific Emergy (sej/g</t>
    </r>
    <r>
      <rPr>
        <b/>
        <vertAlign val="subscript"/>
        <sz val="12"/>
        <color indexed="8"/>
        <rFont val="Calibri"/>
        <family val="2"/>
      </rPr>
      <t>mineral</t>
    </r>
    <r>
      <rPr>
        <b/>
        <sz val="12"/>
        <color indexed="8"/>
        <rFont val="Calibri"/>
        <family val="2"/>
      </rPr>
      <t>)</t>
    </r>
  </si>
  <si>
    <r>
      <t>Chemical Specific Emergy (sej/g</t>
    </r>
    <r>
      <rPr>
        <b/>
        <vertAlign val="subscript"/>
        <sz val="12"/>
        <rFont val="Calibri"/>
        <family val="2"/>
      </rPr>
      <t>mineral</t>
    </r>
    <r>
      <rPr>
        <b/>
        <sz val="12"/>
        <rFont val="Calibri"/>
        <family val="2"/>
      </rPr>
      <t>)</t>
    </r>
  </si>
  <si>
    <t>Average concentration exergy crustal transformity:</t>
  </si>
  <si>
    <r>
      <t>Formula</t>
    </r>
    <r>
      <rPr>
        <b/>
        <vertAlign val="superscript"/>
        <sz val="11"/>
        <color indexed="8"/>
        <rFont val="Calibri"/>
        <family val="2"/>
      </rPr>
      <t>1</t>
    </r>
  </si>
  <si>
    <r>
      <t>1</t>
    </r>
    <r>
      <rPr>
        <sz val="11"/>
        <color indexed="8"/>
        <rFont val="Calibri"/>
        <family val="2"/>
      </rPr>
      <t>Source: Valero et al., 2011</t>
    </r>
  </si>
  <si>
    <t>% aluminum in ground</t>
  </si>
  <si>
    <t>Wind emergy input to the ocean</t>
  </si>
  <si>
    <t>mass of continental crust (Peterson and Depaolo, 2007)</t>
  </si>
  <si>
    <t>3/24/2020, SA</t>
  </si>
  <si>
    <t>* Renewable Earth emergy flows: Previous calculation of geopotential energy dissipated from average continental elevation used a value of average continental height (area-weigted) divided by 2. Removed the 1/2 assumption, assuming it was initially made without understanding that average continental height - 797 m - was area-weighted</t>
  </si>
  <si>
    <t>* Biomes: Removed calculation of Water Chemical and AET Chemical. Water Chemical as calculated as sum of runoff chemical transformity and AET transformity. AET is a waste produce of photosynthesis and should not be counted as input to another process, which would be double counting.</t>
  </si>
  <si>
    <t>* Water: Deleted Terrestrial Precipitation, Ocean Precipitation, Runoff to the Sea and Evapotranspiration on Land as these are all flows, not storages, and are calculated elsewhere</t>
  </si>
  <si>
    <t>.</t>
  </si>
  <si>
    <r>
      <t>Molar Conc. (mol</t>
    </r>
    <r>
      <rPr>
        <b/>
        <vertAlign val="subscript"/>
        <sz val="12"/>
        <color indexed="8"/>
        <rFont val="Calibri"/>
        <family val="2"/>
      </rPr>
      <t>mineral</t>
    </r>
    <r>
      <rPr>
        <b/>
        <sz val="12"/>
        <color indexed="8"/>
        <rFont val="Calibri"/>
        <family val="2"/>
      </rPr>
      <t>/g</t>
    </r>
    <r>
      <rPr>
        <b/>
        <vertAlign val="subscript"/>
        <sz val="12"/>
        <color indexed="8"/>
        <rFont val="Calibri"/>
        <family val="2"/>
      </rPr>
      <t>crust</t>
    </r>
    <r>
      <rPr>
        <b/>
        <sz val="12"/>
        <color indexed="8"/>
        <rFont val="Calibri"/>
        <family val="2"/>
      </rPr>
      <t>)</t>
    </r>
  </si>
  <si>
    <r>
      <t>Gibbs Formation Exergy</t>
    </r>
    <r>
      <rPr>
        <b/>
        <vertAlign val="subscript"/>
        <sz val="12"/>
        <rFont val="Calibri"/>
        <family val="2"/>
      </rPr>
      <t>mineral</t>
    </r>
    <r>
      <rPr>
        <b/>
        <sz val="12"/>
        <rFont val="Calibri"/>
        <family val="2"/>
      </rPr>
      <t xml:space="preserve"> 
(kJ/mol</t>
    </r>
    <r>
      <rPr>
        <b/>
        <vertAlign val="subscript"/>
        <sz val="12"/>
        <rFont val="Calibri"/>
        <family val="2"/>
      </rPr>
      <t>mineral</t>
    </r>
    <r>
      <rPr>
        <b/>
        <sz val="12"/>
        <rFont val="Calibri"/>
        <family val="2"/>
      </rPr>
      <t>)</t>
    </r>
  </si>
  <si>
    <r>
      <t>Mineral Chemical Exergy</t>
    </r>
    <r>
      <rPr>
        <b/>
        <vertAlign val="subscript"/>
        <sz val="12"/>
        <rFont val="Calibri"/>
        <family val="2"/>
      </rPr>
      <t>mineral</t>
    </r>
    <r>
      <rPr>
        <b/>
        <sz val="12"/>
        <rFont val="Calibri"/>
        <family val="2"/>
      </rPr>
      <t xml:space="preserve"> (b</t>
    </r>
    <r>
      <rPr>
        <b/>
        <vertAlign val="subscript"/>
        <sz val="12"/>
        <rFont val="Calibri"/>
        <family val="2"/>
      </rPr>
      <t>ch</t>
    </r>
    <r>
      <rPr>
        <b/>
        <sz val="12"/>
        <rFont val="Calibri"/>
        <family val="2"/>
      </rPr>
      <t>)
(kJ/mol</t>
    </r>
    <r>
      <rPr>
        <b/>
        <vertAlign val="subscript"/>
        <sz val="12"/>
        <rFont val="Calibri"/>
        <family val="2"/>
      </rPr>
      <t>mineral</t>
    </r>
    <r>
      <rPr>
        <b/>
        <sz val="12"/>
        <rFont val="Calibri"/>
        <family val="2"/>
      </rPr>
      <t>)</t>
    </r>
  </si>
  <si>
    <r>
      <t>Gibbs Formation Exergy</t>
    </r>
    <r>
      <rPr>
        <b/>
        <vertAlign val="subscript"/>
        <sz val="12"/>
        <rFont val="Calibri"/>
        <family val="2"/>
      </rPr>
      <t>mineral</t>
    </r>
    <r>
      <rPr>
        <b/>
        <sz val="12"/>
        <rFont val="Calibri"/>
        <family val="2"/>
      </rPr>
      <t xml:space="preserve">
(J/g</t>
    </r>
    <r>
      <rPr>
        <b/>
        <vertAlign val="subscript"/>
        <sz val="12"/>
        <rFont val="Calibri"/>
        <family val="2"/>
      </rPr>
      <t>mineral</t>
    </r>
    <r>
      <rPr>
        <b/>
        <sz val="12"/>
        <rFont val="Calibri"/>
        <family val="2"/>
      </rPr>
      <t>)</t>
    </r>
  </si>
  <si>
    <t>Crust mass:</t>
  </si>
  <si>
    <t>Average molar mass of crust:</t>
  </si>
  <si>
    <t>Total Gibbs free exergy:</t>
  </si>
  <si>
    <t>Average Gibbs crustal transformity:</t>
  </si>
  <si>
    <t>B2O3</t>
  </si>
  <si>
    <r>
      <t>Molar fraction
(mol</t>
    </r>
    <r>
      <rPr>
        <b/>
        <vertAlign val="subscript"/>
        <sz val="12"/>
        <color indexed="8"/>
        <rFont val="Calibri"/>
        <family val="2"/>
      </rPr>
      <t>mineral_mine</t>
    </r>
    <r>
      <rPr>
        <b/>
        <sz val="12"/>
        <color indexed="8"/>
        <rFont val="Calibri"/>
        <family val="2"/>
      </rPr>
      <t xml:space="preserve"> / mol</t>
    </r>
    <r>
      <rPr>
        <b/>
        <vertAlign val="subscript"/>
        <sz val="12"/>
        <color indexed="8"/>
        <rFont val="Calibri"/>
        <family val="2"/>
      </rPr>
      <t>crust</t>
    </r>
    <r>
      <rPr>
        <b/>
        <sz val="12"/>
        <color indexed="8"/>
        <rFont val="Calibri"/>
        <family val="2"/>
      </rPr>
      <t>)</t>
    </r>
  </si>
  <si>
    <t>ID</t>
  </si>
  <si>
    <r>
      <t>Mineral Specific Emergy (sej/g</t>
    </r>
    <r>
      <rPr>
        <b/>
        <vertAlign val="subscript"/>
        <sz val="12"/>
        <color indexed="8"/>
        <rFont val="Calibri"/>
        <family val="2"/>
      </rPr>
      <t>mineral</t>
    </r>
    <r>
      <rPr>
        <b/>
        <sz val="12"/>
        <color indexed="8"/>
        <rFont val="Calibri"/>
        <family val="2"/>
      </rPr>
      <t>)</t>
    </r>
  </si>
  <si>
    <t>(Valero et al., 2012)</t>
  </si>
  <si>
    <t>Average crust specific emergy:</t>
  </si>
  <si>
    <t>Fraction of Crust represented by minable concentrations:</t>
  </si>
  <si>
    <r>
      <rPr>
        <b/>
        <sz val="11"/>
        <color indexed="8"/>
        <rFont val="Calibri"/>
        <family val="2"/>
      </rPr>
      <t xml:space="preserve">Molar Conc. </t>
    </r>
    <r>
      <rPr>
        <sz val="11"/>
        <color indexed="8"/>
        <rFont val="Calibri"/>
        <family val="2"/>
      </rPr>
      <t>(mol</t>
    </r>
    <r>
      <rPr>
        <vertAlign val="subscript"/>
        <sz val="11"/>
        <color indexed="8"/>
        <rFont val="Calibri"/>
        <family val="2"/>
      </rPr>
      <t>mineral</t>
    </r>
    <r>
      <rPr>
        <sz val="11"/>
        <color indexed="8"/>
        <rFont val="Calibri"/>
        <family val="2"/>
      </rPr>
      <t>/
g</t>
    </r>
    <r>
      <rPr>
        <vertAlign val="subscript"/>
        <sz val="11"/>
        <color indexed="8"/>
        <rFont val="Calibri"/>
        <family val="2"/>
      </rPr>
      <t>crust</t>
    </r>
    <r>
      <rPr>
        <sz val="11"/>
        <color indexed="8"/>
        <rFont val="Calibri"/>
        <family val="2"/>
      </rPr>
      <t>)</t>
    </r>
  </si>
  <si>
    <r>
      <t xml:space="preserve">Molar Mass </t>
    </r>
    <r>
      <rPr>
        <sz val="11"/>
        <rFont val="Calibri"/>
        <family val="2"/>
      </rPr>
      <t>(g</t>
    </r>
    <r>
      <rPr>
        <vertAlign val="subscript"/>
        <sz val="11"/>
        <rFont val="Calibri"/>
        <family val="2"/>
      </rPr>
      <t>mineral</t>
    </r>
    <r>
      <rPr>
        <sz val="11"/>
        <rFont val="Calibri"/>
        <family val="2"/>
      </rPr>
      <t>/
mol</t>
    </r>
    <r>
      <rPr>
        <vertAlign val="subscript"/>
        <sz val="11"/>
        <rFont val="Calibri"/>
        <family val="2"/>
      </rPr>
      <t>mineral</t>
    </r>
    <r>
      <rPr>
        <sz val="11"/>
        <rFont val="Calibri"/>
        <family val="2"/>
      </rPr>
      <t>)</t>
    </r>
  </si>
  <si>
    <r>
      <t>Chem. Exergy Sp. Emergy</t>
    </r>
    <r>
      <rPr>
        <sz val="11"/>
        <rFont val="Calibri"/>
        <family val="2"/>
      </rPr>
      <t xml:space="preserve"> (sej/g)</t>
    </r>
  </si>
  <si>
    <r>
      <t>Molar fraction</t>
    </r>
    <r>
      <rPr>
        <sz val="11"/>
        <color indexed="8"/>
        <rFont val="Calibri"/>
        <family val="2"/>
      </rPr>
      <t xml:space="preserve"> (mol</t>
    </r>
    <r>
      <rPr>
        <vertAlign val="subscript"/>
        <sz val="11"/>
        <color indexed="8"/>
        <rFont val="Calibri"/>
        <family val="2"/>
      </rPr>
      <t>mineral</t>
    </r>
    <r>
      <rPr>
        <sz val="11"/>
        <color indexed="8"/>
        <rFont val="Calibri"/>
        <family val="2"/>
      </rPr>
      <t>/
mol</t>
    </r>
    <r>
      <rPr>
        <vertAlign val="subscript"/>
        <sz val="11"/>
        <color indexed="8"/>
        <rFont val="Calibri"/>
        <family val="2"/>
      </rPr>
      <t>crust</t>
    </r>
    <r>
      <rPr>
        <sz val="11"/>
        <color indexed="8"/>
        <rFont val="Calibri"/>
        <family val="2"/>
      </rPr>
      <t>)</t>
    </r>
  </si>
  <si>
    <t>Table 1. Aluminum (Bauxite)</t>
  </si>
  <si>
    <t>Table 2. Iron</t>
  </si>
  <si>
    <t>Table 3. Nickel</t>
  </si>
  <si>
    <t>Table 4. Silver</t>
  </si>
  <si>
    <t>Table 5. Uranium</t>
  </si>
  <si>
    <t>Uranium, in ground</t>
  </si>
  <si>
    <t>% U in ground</t>
  </si>
  <si>
    <t>UO2, K2(UO2)2(VO4)23H2O</t>
  </si>
  <si>
    <r>
      <t xml:space="preserve">Mine Conc.
</t>
    </r>
    <r>
      <rPr>
        <sz val="11"/>
        <rFont val="Calibri"/>
        <family val="2"/>
      </rPr>
      <t>(g</t>
    </r>
    <r>
      <rPr>
        <vertAlign val="subscript"/>
        <sz val="11"/>
        <rFont val="Calibri"/>
        <family val="2"/>
      </rPr>
      <t>mineral</t>
    </r>
    <r>
      <rPr>
        <sz val="11"/>
        <rFont val="Calibri"/>
        <family val="2"/>
      </rPr>
      <t>/g</t>
    </r>
    <r>
      <rPr>
        <vertAlign val="subscript"/>
        <sz val="11"/>
        <rFont val="Calibri"/>
        <family val="2"/>
      </rPr>
      <t>crust</t>
    </r>
    <r>
      <rPr>
        <sz val="11"/>
        <rFont val="Calibri"/>
        <family val="2"/>
      </rPr>
      <t>)</t>
    </r>
  </si>
  <si>
    <r>
      <t>Conc.
exergy</t>
    </r>
    <r>
      <rPr>
        <b/>
        <vertAlign val="subscript"/>
        <sz val="11"/>
        <color indexed="8"/>
        <rFont val="Calibri"/>
        <family val="2"/>
      </rPr>
      <t>mine</t>
    </r>
    <r>
      <rPr>
        <b/>
        <sz val="11"/>
        <color indexed="8"/>
        <rFont val="Calibri"/>
        <family val="2"/>
      </rPr>
      <t xml:space="preserve">
</t>
    </r>
    <r>
      <rPr>
        <sz val="11"/>
        <color indexed="8"/>
        <rFont val="Calibri"/>
        <family val="2"/>
      </rPr>
      <t>(J/g</t>
    </r>
    <r>
      <rPr>
        <vertAlign val="subscript"/>
        <sz val="11"/>
        <color indexed="8"/>
        <rFont val="Calibri"/>
        <family val="2"/>
      </rPr>
      <t>mineral</t>
    </r>
    <r>
      <rPr>
        <sz val="11"/>
        <color indexed="8"/>
        <rFont val="Calibri"/>
        <family val="2"/>
      </rPr>
      <t>)</t>
    </r>
  </si>
  <si>
    <r>
      <t xml:space="preserve">Conc. Exergy Sp. Emergy
</t>
    </r>
    <r>
      <rPr>
        <sz val="11"/>
        <rFont val="Calibri"/>
        <family val="2"/>
      </rPr>
      <t>(sej/g</t>
    </r>
    <r>
      <rPr>
        <vertAlign val="subscript"/>
        <sz val="11"/>
        <rFont val="Calibri"/>
        <family val="2"/>
      </rPr>
      <t>mineral</t>
    </r>
    <r>
      <rPr>
        <sz val="11"/>
        <rFont val="Calibri"/>
        <family val="2"/>
      </rPr>
      <t>)</t>
    </r>
  </si>
  <si>
    <r>
      <t>Conc.
Exergy</t>
    </r>
    <r>
      <rPr>
        <b/>
        <vertAlign val="subscript"/>
        <sz val="11"/>
        <color indexed="8"/>
        <rFont val="Calibri"/>
        <family val="2"/>
      </rPr>
      <t>mine</t>
    </r>
    <r>
      <rPr>
        <b/>
        <sz val="11"/>
        <color indexed="8"/>
        <rFont val="Calibri"/>
        <family val="2"/>
      </rPr>
      <t xml:space="preserve">
</t>
    </r>
    <r>
      <rPr>
        <sz val="11"/>
        <color indexed="8"/>
        <rFont val="Calibri"/>
        <family val="2"/>
      </rPr>
      <t>(J/g</t>
    </r>
    <r>
      <rPr>
        <vertAlign val="subscript"/>
        <sz val="11"/>
        <color indexed="8"/>
        <rFont val="Calibri"/>
        <family val="2"/>
      </rPr>
      <t>mineral</t>
    </r>
    <r>
      <rPr>
        <sz val="11"/>
        <color indexed="8"/>
        <rFont val="Calibri"/>
        <family val="2"/>
      </rPr>
      <t>)</t>
    </r>
  </si>
  <si>
    <r>
      <t xml:space="preserve">Molar Fraction
</t>
    </r>
    <r>
      <rPr>
        <sz val="11"/>
        <color indexed="8"/>
        <rFont val="Calibri"/>
        <family val="2"/>
      </rPr>
      <t>(mol</t>
    </r>
    <r>
      <rPr>
        <vertAlign val="subscript"/>
        <sz val="11"/>
        <color indexed="8"/>
        <rFont val="Calibri"/>
        <family val="2"/>
      </rPr>
      <t>min_mine</t>
    </r>
    <r>
      <rPr>
        <sz val="11"/>
        <color indexed="8"/>
        <rFont val="Calibri"/>
        <family val="2"/>
      </rPr>
      <t>/
mol</t>
    </r>
    <r>
      <rPr>
        <vertAlign val="subscript"/>
        <sz val="11"/>
        <color indexed="8"/>
        <rFont val="Calibri"/>
        <family val="2"/>
      </rPr>
      <t>crust</t>
    </r>
    <r>
      <rPr>
        <sz val="11"/>
        <color indexed="8"/>
        <rFont val="Calibri"/>
        <family val="2"/>
      </rPr>
      <t>)</t>
    </r>
  </si>
  <si>
    <r>
      <t xml:space="preserve">Mineral Conc.
</t>
    </r>
    <r>
      <rPr>
        <sz val="11"/>
        <color indexed="8"/>
        <rFont val="Calibri"/>
        <family val="2"/>
      </rPr>
      <t>(g</t>
    </r>
    <r>
      <rPr>
        <vertAlign val="subscript"/>
        <sz val="11"/>
        <color indexed="8"/>
        <rFont val="Calibri"/>
        <family val="2"/>
      </rPr>
      <t>mineral</t>
    </r>
    <r>
      <rPr>
        <sz val="11"/>
        <color indexed="8"/>
        <rFont val="Calibri"/>
        <family val="2"/>
      </rPr>
      <t>/
g</t>
    </r>
    <r>
      <rPr>
        <vertAlign val="subscript"/>
        <sz val="11"/>
        <color indexed="8"/>
        <rFont val="Calibri"/>
        <family val="2"/>
      </rPr>
      <t>crust</t>
    </r>
    <r>
      <rPr>
        <sz val="11"/>
        <color indexed="8"/>
        <rFont val="Calibri"/>
        <family val="2"/>
      </rPr>
      <t>)</t>
    </r>
  </si>
  <si>
    <r>
      <t>Molar Fraction</t>
    </r>
    <r>
      <rPr>
        <sz val="11"/>
        <color indexed="8"/>
        <rFont val="Calibri"/>
        <family val="2"/>
      </rPr>
      <t xml:space="preserve"> (mol</t>
    </r>
    <r>
      <rPr>
        <vertAlign val="subscript"/>
        <sz val="11"/>
        <color indexed="8"/>
        <rFont val="Calibri"/>
        <family val="2"/>
      </rPr>
      <t>mineral</t>
    </r>
    <r>
      <rPr>
        <sz val="11"/>
        <color indexed="8"/>
        <rFont val="Calibri"/>
        <family val="2"/>
      </rPr>
      <t>/
mol</t>
    </r>
    <r>
      <rPr>
        <vertAlign val="subscript"/>
        <sz val="11"/>
        <color indexed="8"/>
        <rFont val="Calibri"/>
        <family val="2"/>
      </rPr>
      <t>crust</t>
    </r>
    <r>
      <rPr>
        <sz val="11"/>
        <color indexed="8"/>
        <rFont val="Calibri"/>
        <family val="2"/>
      </rPr>
      <t>)</t>
    </r>
  </si>
  <si>
    <r>
      <t>Ore Body</t>
    </r>
    <r>
      <rPr>
        <b/>
        <sz val="11"/>
        <color indexed="8"/>
        <rFont val="Calibri"/>
        <family val="2"/>
      </rPr>
      <t xml:space="preserve">  Sp Emergy
</t>
    </r>
    <r>
      <rPr>
        <sz val="11"/>
        <color indexed="8"/>
        <rFont val="Calibri"/>
        <family val="2"/>
      </rPr>
      <t>(sej/g</t>
    </r>
    <r>
      <rPr>
        <vertAlign val="subscript"/>
        <sz val="11"/>
        <color indexed="8"/>
        <rFont val="Calibri"/>
        <family val="2"/>
      </rPr>
      <t>mineral</t>
    </r>
    <r>
      <rPr>
        <sz val="11"/>
        <color indexed="8"/>
        <rFont val="Calibri"/>
        <family val="2"/>
      </rPr>
      <t>)</t>
    </r>
  </si>
  <si>
    <t>Total crustal concentration exergy:</t>
  </si>
  <si>
    <t>Mineral Cutoff</t>
  </si>
  <si>
    <t>Element Cutoff</t>
  </si>
  <si>
    <r>
      <t>(Ni</t>
    </r>
    <r>
      <rPr>
        <vertAlign val="subscript"/>
        <sz val="11"/>
        <color indexed="8"/>
        <rFont val="Calibri"/>
        <family val="2"/>
      </rPr>
      <t>2</t>
    </r>
    <r>
      <rPr>
        <sz val="11"/>
        <color indexed="8"/>
        <rFont val="Calibri"/>
        <family val="2"/>
      </rPr>
      <t>Mg)Si2O5(OH)4</t>
    </r>
  </si>
  <si>
    <t>% Total</t>
  </si>
  <si>
    <r>
      <t xml:space="preserve">Mult. Mineral Sp. Emergy
</t>
    </r>
    <r>
      <rPr>
        <sz val="11"/>
        <rFont val="Calibri"/>
        <family val="2"/>
      </rPr>
      <t>(sej/g</t>
    </r>
    <r>
      <rPr>
        <vertAlign val="subscript"/>
        <sz val="11"/>
        <rFont val="Calibri"/>
        <family val="2"/>
      </rPr>
      <t>mineral</t>
    </r>
    <r>
      <rPr>
        <sz val="11"/>
        <rFont val="Calibri"/>
        <family val="2"/>
      </rPr>
      <t>)</t>
    </r>
  </si>
  <si>
    <t>Aggregate Minerals</t>
  </si>
  <si>
    <t>Notes: Aggregates are mined as a cohesive unit, as opposed to multiple mineral deposits which exist within an ore body. Therfore, an aggregate that is (e.g.) 95% Calcite is 95% Calcite - there is no dilution within a surrounding ore body.</t>
  </si>
  <si>
    <t>Table 1. Calcite (Limestone)</t>
  </si>
  <si>
    <r>
      <t xml:space="preserve">Molar weight </t>
    </r>
    <r>
      <rPr>
        <sz val="11"/>
        <rFont val="Calibri"/>
        <family val="2"/>
      </rPr>
      <t>(g</t>
    </r>
    <r>
      <rPr>
        <vertAlign val="subscript"/>
        <sz val="11"/>
        <rFont val="Calibri"/>
        <family val="2"/>
      </rPr>
      <t>mineral</t>
    </r>
    <r>
      <rPr>
        <sz val="11"/>
        <rFont val="Calibri"/>
        <family val="2"/>
      </rPr>
      <t>/
mol</t>
    </r>
    <r>
      <rPr>
        <vertAlign val="subscript"/>
        <sz val="11"/>
        <rFont val="Calibri"/>
        <family val="2"/>
      </rPr>
      <t>mineral</t>
    </r>
    <r>
      <rPr>
        <sz val="11"/>
        <rFont val="Calibri"/>
        <family val="2"/>
      </rPr>
      <t>)</t>
    </r>
  </si>
  <si>
    <r>
      <t xml:space="preserve">Mine Conc.
</t>
    </r>
    <r>
      <rPr>
        <sz val="11"/>
        <rFont val="Calibri"/>
        <family val="2"/>
      </rPr>
      <t>(mol</t>
    </r>
    <r>
      <rPr>
        <vertAlign val="subscript"/>
        <sz val="11"/>
        <rFont val="Calibri"/>
        <family val="2"/>
      </rPr>
      <t>mineral</t>
    </r>
    <r>
      <rPr>
        <sz val="11"/>
        <rFont val="Calibri"/>
        <family val="2"/>
      </rPr>
      <t>/g</t>
    </r>
    <r>
      <rPr>
        <vertAlign val="subscript"/>
        <sz val="11"/>
        <rFont val="Calibri"/>
        <family val="2"/>
      </rPr>
      <t>agg</t>
    </r>
    <r>
      <rPr>
        <sz val="11"/>
        <rFont val="Calibri"/>
        <family val="2"/>
      </rPr>
      <t>)</t>
    </r>
  </si>
  <si>
    <r>
      <t xml:space="preserve">Molar fraction
</t>
    </r>
    <r>
      <rPr>
        <sz val="11"/>
        <color indexed="8"/>
        <rFont val="Calibri"/>
        <family val="2"/>
      </rPr>
      <t>(mol</t>
    </r>
    <r>
      <rPr>
        <vertAlign val="subscript"/>
        <sz val="11"/>
        <color indexed="8"/>
        <rFont val="Calibri"/>
        <family val="2"/>
      </rPr>
      <t>min</t>
    </r>
    <r>
      <rPr>
        <sz val="11"/>
        <color indexed="8"/>
        <rFont val="Calibri"/>
        <family val="2"/>
      </rPr>
      <t>/
mol</t>
    </r>
    <r>
      <rPr>
        <vertAlign val="subscript"/>
        <sz val="11"/>
        <color indexed="8"/>
        <rFont val="Calibri"/>
        <family val="2"/>
      </rPr>
      <t>aggregate</t>
    </r>
    <r>
      <rPr>
        <sz val="11"/>
        <color indexed="8"/>
        <rFont val="Calibri"/>
        <family val="2"/>
      </rPr>
      <t>)</t>
    </r>
  </si>
  <si>
    <r>
      <rPr>
        <b/>
        <sz val="11"/>
        <color indexed="8"/>
        <rFont val="Calibri"/>
        <family val="2"/>
      </rPr>
      <t xml:space="preserve">Aggregate  Sp Emergy
</t>
    </r>
    <r>
      <rPr>
        <sz val="11"/>
        <color indexed="8"/>
        <rFont val="Calibri"/>
        <family val="2"/>
      </rPr>
      <t>(sej/g</t>
    </r>
    <r>
      <rPr>
        <vertAlign val="subscript"/>
        <sz val="11"/>
        <color indexed="8"/>
        <rFont val="Calibri"/>
        <family val="2"/>
      </rPr>
      <t>mineral</t>
    </r>
    <r>
      <rPr>
        <sz val="11"/>
        <color indexed="8"/>
        <rFont val="Calibri"/>
        <family val="2"/>
      </rPr>
      <t>)</t>
    </r>
  </si>
  <si>
    <r>
      <t>(mol</t>
    </r>
    <r>
      <rPr>
        <vertAlign val="subscript"/>
        <sz val="11"/>
        <color indexed="8"/>
        <rFont val="Calibri"/>
        <family val="2"/>
      </rPr>
      <t>mineral</t>
    </r>
    <r>
      <rPr>
        <sz val="11"/>
        <color indexed="8"/>
        <rFont val="Calibri"/>
        <family val="2"/>
      </rPr>
      <t>/
g</t>
    </r>
    <r>
      <rPr>
        <vertAlign val="subscript"/>
        <sz val="11"/>
        <color indexed="8"/>
        <rFont val="Calibri"/>
        <family val="2"/>
      </rPr>
      <t>crust</t>
    </r>
    <r>
      <rPr>
        <sz val="11"/>
        <color indexed="8"/>
        <rFont val="Calibri"/>
        <family val="2"/>
      </rPr>
      <t>)</t>
    </r>
  </si>
  <si>
    <t>Table 1. Aluminum</t>
  </si>
  <si>
    <t>Elements with weighted mineral EmCFs</t>
  </si>
  <si>
    <r>
      <t>Element Specific Emergy (sej/g</t>
    </r>
    <r>
      <rPr>
        <b/>
        <vertAlign val="subscript"/>
        <sz val="12"/>
        <color indexed="8"/>
        <rFont val="Calibri"/>
        <family val="2"/>
      </rPr>
      <t>mineral</t>
    </r>
    <r>
      <rPr>
        <b/>
        <sz val="12"/>
        <color indexed="8"/>
        <rFont val="Calibri"/>
        <family val="2"/>
      </rPr>
      <t>)</t>
    </r>
  </si>
  <si>
    <r>
      <t xml:space="preserve">Element Sp. Emergy
</t>
    </r>
    <r>
      <rPr>
        <sz val="11"/>
        <rFont val="Calibri"/>
        <family val="2"/>
      </rPr>
      <t>(sej/g</t>
    </r>
    <r>
      <rPr>
        <vertAlign val="subscript"/>
        <sz val="11"/>
        <rFont val="Calibri"/>
        <family val="2"/>
      </rPr>
      <t>element</t>
    </r>
    <r>
      <rPr>
        <sz val="11"/>
        <rFont val="Calibri"/>
        <family val="2"/>
      </rPr>
      <t>)</t>
    </r>
  </si>
  <si>
    <t>element</t>
  </si>
  <si>
    <t>mineral</t>
  </si>
  <si>
    <t>Table 13. Gallium (Bauxite)</t>
  </si>
  <si>
    <t>Gallium, 0.14% in bauxite</t>
  </si>
  <si>
    <t>% gallium in ground</t>
  </si>
  <si>
    <t xml:space="preserve">Ocean volume </t>
  </si>
  <si>
    <t>No. of elements</t>
  </si>
  <si>
    <t>Table 4a. Silver</t>
  </si>
  <si>
    <t>Table 4b. Silver</t>
  </si>
  <si>
    <t>Tn</t>
  </si>
  <si>
    <t>Ground water (gravity and capillary)</t>
  </si>
  <si>
    <t>Predominantly fresh ground water</t>
  </si>
  <si>
    <t>5. Specific emergy is the ratio of the driving emergy to the annual mass flux. Values for Precipitation, Runoff and ET calculated using Matrix Method</t>
  </si>
  <si>
    <t>Mass of elements</t>
  </si>
  <si>
    <t xml:space="preserve">GEB / g = </t>
  </si>
  <si>
    <t>Occupation, Tropical &amp; Subtropical Moist Broadleaf Forests</t>
  </si>
  <si>
    <t>Occupation, Tropical &amp; Subtropical Dry Broadleaf Forest</t>
  </si>
  <si>
    <t>Occupation, Tropical &amp; Subtropical Coniferous Forest</t>
  </si>
  <si>
    <t>Occupation, Temperate Broadleaf &amp; Mixed Forests</t>
  </si>
  <si>
    <t>Occupation, Temperate Conifer Forests</t>
  </si>
  <si>
    <t>Occupation, Boreal Forests/Taiga</t>
  </si>
  <si>
    <t>Occupation, Tropical &amp; Subtropical Grasslands, Savannas &amp; Shrublands</t>
  </si>
  <si>
    <t>Occupation, Temperate Grasslands, Savannas &amp; Shrublands</t>
  </si>
  <si>
    <t>Occupation, Flooded Grasslands &amp; Savannas</t>
  </si>
  <si>
    <t>Occupation, Montane Grasslands &amp; Shrublands</t>
  </si>
  <si>
    <t>Occupation, Tundra</t>
  </si>
  <si>
    <t>Occupation, Mediterranean Forests, Woodlands &amp; Scrub</t>
  </si>
  <si>
    <t>Occupation, Deserts &amp; Xeric Shrublands</t>
  </si>
  <si>
    <t>Occupation, Mangroves</t>
  </si>
  <si>
    <t>Occupation, River</t>
  </si>
  <si>
    <t>Occupation, Lake</t>
  </si>
  <si>
    <t>Occupation, Rock and Ice</t>
  </si>
  <si>
    <t>Occupation, Estuary</t>
  </si>
  <si>
    <t>Occupation, Cultivated Land</t>
  </si>
  <si>
    <t>Biomass, River</t>
  </si>
  <si>
    <t>Biomass, Lake</t>
  </si>
  <si>
    <t>Biomass, Rock and Ice</t>
  </si>
  <si>
    <t>Biomass, Estuary</t>
  </si>
  <si>
    <t>Cultivated Land</t>
  </si>
  <si>
    <t>Average Terrestrial</t>
  </si>
  <si>
    <t>Soil Carbon, Tropical &amp; Subtropical Moist Broadleaf Forests</t>
  </si>
  <si>
    <t>Soil Carbon, Tropical &amp; Subtropical Dry Broadleaf Forest</t>
  </si>
  <si>
    <t>Soil Carbon, Tropical &amp; Subtropical Coniferous Forest</t>
  </si>
  <si>
    <t>Soil Carbon, Temperate Broadleaf &amp; Mixed Forests</t>
  </si>
  <si>
    <t>Soil Carbon, Temperate Conifer Forests</t>
  </si>
  <si>
    <t>Soil Carbon, Boreal Forests/Taiga</t>
  </si>
  <si>
    <t>Soil Carbon, Tropical &amp; Subtropical Grasslands, Savannas &amp; Shrublands</t>
  </si>
  <si>
    <t>Soil Carbon, Temperate Grasslands, Savannas &amp; Shrublands</t>
  </si>
  <si>
    <t>Soil Carbon, Flooded Grasslands &amp; Savannas</t>
  </si>
  <si>
    <t>Soil Carbon, Montane Grasslands &amp; Shrublands</t>
  </si>
  <si>
    <t>Soil Carbon, Tundra</t>
  </si>
  <si>
    <t>Soil Carbon, Mediterranean Forests, Woodlands &amp; Scrub</t>
  </si>
  <si>
    <t>Soil Carbon, Deserts &amp; Xeric Shrublands</t>
  </si>
  <si>
    <t>Soil Carbon, Mangroves</t>
  </si>
  <si>
    <t>Soil Carbon, Cultivated Land</t>
  </si>
  <si>
    <t>Driving Emergy</t>
  </si>
  <si>
    <t>Wind Transformity</t>
  </si>
  <si>
    <t>Surface wind energy dissipated over ocean (Lee and Brown, 2019)</t>
  </si>
  <si>
    <t>Total surface wind energy dissipation (Lee and Brown, 2019)</t>
  </si>
  <si>
    <t>Surface wind energy dissipated over land (Lee and Brown, 2019)</t>
  </si>
  <si>
    <t>Tidal emergy absorption</t>
  </si>
  <si>
    <r>
      <t>To</t>
    </r>
    <r>
      <rPr>
        <sz val="12"/>
        <color indexed="8"/>
        <rFont val="Wingdings"/>
        <family val="2"/>
      </rPr>
      <t></t>
    </r>
  </si>
  <si>
    <t>S,T,DH</t>
  </si>
  <si>
    <t>L. Atmos</t>
  </si>
  <si>
    <t>O. Atmos</t>
  </si>
  <si>
    <t>Vector</t>
  </si>
  <si>
    <t>Unit</t>
  </si>
  <si>
    <t>% Absorbed</t>
  </si>
  <si>
    <t>Emergy (seJ/y)</t>
  </si>
  <si>
    <t>S,T, DH</t>
  </si>
  <si>
    <t>L. Atmos.</t>
  </si>
  <si>
    <t>0.054% tide momentum dissipated in atmosphere. (Munk and Wunsch, 1998)</t>
  </si>
  <si>
    <t>5.4% tide momentum dissipated in land. (Munk and Wunsch, 1998)</t>
  </si>
  <si>
    <t>m2; Land area</t>
  </si>
  <si>
    <t>m2; Ocean area</t>
  </si>
  <si>
    <t>J/y; Solar energy absorbed (Brown et al. 2016)</t>
  </si>
  <si>
    <t>J/y; Geothermal Flows (Brown et al. 2016)</t>
  </si>
  <si>
    <t>Geothermal emergy absorption</t>
  </si>
  <si>
    <t>J/y; Tidal energy absorbed (Brown et al. 2016)</t>
  </si>
  <si>
    <t>Transformity (sej/J)</t>
  </si>
  <si>
    <t>seJ/y Global Emergy Baseline (Brown et al. 2016)</t>
  </si>
  <si>
    <t>seJ/J: SER of geothermal Exergy</t>
  </si>
  <si>
    <t xml:space="preserve">seJ/J: SER of tidal energy absorbed </t>
  </si>
  <si>
    <t>seJ/y; global solar emergy  (Brown et al. 2016b)</t>
  </si>
  <si>
    <t>seJ/y; global geothermal exergy  (Brown et al. 2016b)</t>
  </si>
  <si>
    <t>seJ/y; global tidal emergy  (Brown et al. 2016b)</t>
  </si>
  <si>
    <t>Chemical Potential</t>
  </si>
  <si>
    <t>Solar Emergy absorption</t>
  </si>
  <si>
    <t>TDS</t>
  </si>
  <si>
    <t>Literature Cited:</t>
  </si>
  <si>
    <t>Munk, W., and Wunsch, C., 1998. Abyssal recipes II: Energetics of tidal and wind mixing. Deep-Sea Research I, 45: 1977-2010</t>
  </si>
  <si>
    <r>
      <t xml:space="preserve">Trenberth K E Smith, L., Qian, T., Dai, A., Fasullo, J.,  2007. Estimates of the global water budget and its annual cycle using observational and model data J. </t>
    </r>
    <r>
      <rPr>
        <i/>
        <sz val="12"/>
        <color indexed="8"/>
        <rFont val="Times New Roman"/>
        <family val="1"/>
      </rPr>
      <t>Hydrometeorology</t>
    </r>
    <r>
      <rPr>
        <sz val="12"/>
        <color indexed="8"/>
        <rFont val="Times New Roman"/>
        <family val="1"/>
      </rPr>
      <t>. 8 758–69</t>
    </r>
  </si>
  <si>
    <r>
      <t xml:space="preserve">Hofmeister, A.M. &amp; Criss, R.E. (2005) Earth’s heat flux revisited and linked to chemistry. </t>
    </r>
    <r>
      <rPr>
        <i/>
        <sz val="12"/>
        <color indexed="8"/>
        <rFont val="Cambria"/>
        <family val="1"/>
      </rPr>
      <t xml:space="preserve">Tectonophysics. </t>
    </r>
    <r>
      <rPr>
        <sz val="12"/>
        <color indexed="8"/>
        <rFont val="Cambria"/>
        <family val="1"/>
      </rPr>
      <t>395, 159-177</t>
    </r>
  </si>
  <si>
    <t>heat loss to land and ocean is about equal (Hoffmeister and Criss, 2005)</t>
  </si>
  <si>
    <t>Volume (1000 km3) water</t>
  </si>
  <si>
    <t>J/1000 km3</t>
  </si>
  <si>
    <t>Precipation on land (Table 1; Adler et al., 2003, also equal to Trenberth et al., 2007)</t>
  </si>
  <si>
    <t>Transformity of chemical potential of Land precipation, see Rain tab</t>
  </si>
  <si>
    <t>Transformity of chemical potential of Ocean precipation, see Rain tab</t>
  </si>
  <si>
    <t>Gibb's mixing exergy of rainfall</t>
  </si>
  <si>
    <t>5/5/2020, SCA</t>
  </si>
  <si>
    <t>* Rain tab added for matrix method calculations, Renewable Earth emergy flows tab updated to reference Rain tab</t>
  </si>
  <si>
    <t>* Wind calculations updated per Lee and Brown (2019)</t>
  </si>
  <si>
    <t>Available Energy (J/yr)</t>
  </si>
  <si>
    <t>Ocean Ions</t>
  </si>
  <si>
    <t>Brown et al. 2016a</t>
  </si>
  <si>
    <t>Chemical potential of continental river discharge</t>
  </si>
  <si>
    <t>Geopotential of continental river discharge</t>
  </si>
  <si>
    <t>Precipitation</t>
  </si>
  <si>
    <t>ET vs. Precipitation</t>
  </si>
  <si>
    <t>Total energy input to the Ekman layer, including inputs to near inertial and sub inertial waves (Wang and Huang, 2004a). Assume all input is dissipated in Ekman transport.</t>
  </si>
  <si>
    <r>
      <t xml:space="preserve">Wang, W. and Huang, R.X. (2004b) Wind energy input to the surface waves. </t>
    </r>
    <r>
      <rPr>
        <i/>
        <sz val="14"/>
        <color indexed="8"/>
        <rFont val="Arial"/>
        <family val="2"/>
      </rPr>
      <t>Journal of Physical Oceanography</t>
    </r>
    <r>
      <rPr>
        <sz val="14"/>
        <color indexed="8"/>
        <rFont val="Arial"/>
        <family val="2"/>
      </rPr>
      <t xml:space="preserve"> 34:1276-1280</t>
    </r>
  </si>
  <si>
    <t>Wang, W., &amp; Huang, R. X. (2004a). Wind energy input to the Ekman layer. Journal of physical oceanography, 34(5), 1267-1275.</t>
  </si>
  <si>
    <r>
      <t>Avg mol %</t>
    </r>
    <r>
      <rPr>
        <b/>
        <vertAlign val="superscript"/>
        <sz val="12"/>
        <color indexed="8"/>
        <rFont val="Calibri"/>
        <family val="2"/>
      </rPr>
      <t>1</t>
    </r>
  </si>
  <si>
    <r>
      <t>Residence time
(yrs)</t>
    </r>
    <r>
      <rPr>
        <b/>
        <vertAlign val="superscript"/>
        <sz val="12"/>
        <color indexed="8"/>
        <rFont val="Calibri"/>
        <family val="2"/>
      </rPr>
      <t>1</t>
    </r>
  </si>
  <si>
    <t>2. Szargut et al. (2005), Table 2</t>
  </si>
  <si>
    <r>
      <t>Szargut, J. (2005). </t>
    </r>
    <r>
      <rPr>
        <i/>
        <sz val="14"/>
        <color indexed="63"/>
        <rFont val="Arial"/>
        <family val="2"/>
      </rPr>
      <t>Exergy method: technical and ecological applications</t>
    </r>
    <r>
      <rPr>
        <sz val="14"/>
        <color indexed="63"/>
        <rFont val="Arial"/>
        <family val="2"/>
      </rPr>
      <t> (Vol. 18). WIT press.</t>
    </r>
  </si>
  <si>
    <t>1. % by volume or mole, http://www.gly.uga.edu/railsback/Fundamentals/AtmosphereCompIX.pdf</t>
  </si>
  <si>
    <t>Molar mass (g/mol)</t>
  </si>
  <si>
    <r>
      <t>Ex chem
(J/g)</t>
    </r>
    <r>
      <rPr>
        <b/>
        <vertAlign val="superscript"/>
        <sz val="12"/>
        <color indexed="8"/>
        <rFont val="Calibri"/>
        <family val="2"/>
      </rPr>
      <t>2</t>
    </r>
  </si>
  <si>
    <t>3. Arbitrarily specified to demonstrate the method</t>
  </si>
  <si>
    <r>
      <t>x Concentration
(%)</t>
    </r>
    <r>
      <rPr>
        <b/>
        <vertAlign val="superscript"/>
        <sz val="12"/>
        <color indexed="8"/>
        <rFont val="Calibri"/>
        <family val="2"/>
      </rPr>
      <t>3</t>
    </r>
  </si>
  <si>
    <t>x mol Fraction</t>
  </si>
  <si>
    <t>Occupation, Unspecified Area</t>
  </si>
  <si>
    <t>Lee, 2019</t>
  </si>
  <si>
    <t>Unspecified Land</t>
  </si>
  <si>
    <r>
      <t>Rascle, N., Ardhuin, F., Queffeulou, P., &amp; Croizé-Fillon, D. (2008). A global wave parameter database for geophysical applications. Part 1: Wave-current–turbulence interaction parameters for the open ocean based on traditional parameterizations. </t>
    </r>
    <r>
      <rPr>
        <i/>
        <sz val="14"/>
        <color indexed="63"/>
        <rFont val="Arial"/>
        <family val="2"/>
      </rPr>
      <t>Ocean Modelling</t>
    </r>
    <r>
      <rPr>
        <sz val="14"/>
        <color indexed="63"/>
        <rFont val="Arial"/>
        <family val="2"/>
      </rPr>
      <t>, </t>
    </r>
    <r>
      <rPr>
        <i/>
        <sz val="14"/>
        <color indexed="63"/>
        <rFont val="Arial"/>
        <family val="2"/>
      </rPr>
      <t>25</t>
    </r>
    <r>
      <rPr>
        <sz val="14"/>
        <color indexed="63"/>
        <rFont val="Arial"/>
        <family val="2"/>
      </rPr>
      <t>(3-4), 154-171.</t>
    </r>
  </si>
  <si>
    <r>
      <t xml:space="preserve">Trenberth K E Smith, L., Qian, T., Dai, A., Fasullo, J.,  2007. Estimates of the global water budget and its annual cycle using observational and model data J. </t>
    </r>
    <r>
      <rPr>
        <i/>
        <sz val="14"/>
        <color indexed="8"/>
        <rFont val="Arial"/>
        <family val="2"/>
      </rPr>
      <t>Hydrometeorology</t>
    </r>
    <r>
      <rPr>
        <sz val="14"/>
        <color indexed="8"/>
        <rFont val="Arial"/>
        <family val="2"/>
      </rPr>
      <t>. 8 758–69</t>
    </r>
  </si>
  <si>
    <t>Gibbs</t>
  </si>
  <si>
    <t>Rain, chemical</t>
  </si>
  <si>
    <t>Rain</t>
  </si>
  <si>
    <t>sej/yr/ha</t>
  </si>
  <si>
    <t>Terrestrial Average</t>
  </si>
  <si>
    <t>Biomass, Terrestrial Average</t>
  </si>
  <si>
    <t>Occupation, Terrestrial Average</t>
  </si>
  <si>
    <t>Soil Carbon, Terrestrial Average</t>
  </si>
  <si>
    <t>Lee and Brown, 2019; Raich and Schlesinger, 1992</t>
  </si>
  <si>
    <r>
      <t>Cultivated Land</t>
    </r>
    <r>
      <rPr>
        <vertAlign val="superscript"/>
        <sz val="11"/>
        <color indexed="8"/>
        <rFont val="Calibri"/>
        <family val="2"/>
      </rPr>
      <t>1</t>
    </r>
  </si>
  <si>
    <t>1. Turnover time and soil carbon mass from Raich and Schlesinger (1992), assume average terrestrial AEI</t>
  </si>
  <si>
    <t>Soil, Unpsecified</t>
  </si>
  <si>
    <t>Concentration refers to proportion of organic content, the remainder is inorganic soil.</t>
  </si>
  <si>
    <t>Peat</t>
  </si>
  <si>
    <t>fossil fuel precursor</t>
  </si>
  <si>
    <t>Wave energy on the shore</t>
  </si>
  <si>
    <r>
      <t xml:space="preserve">4. Driving emergy for rain, vapor, glaciers, and ground ice, is the GEB (Em= 1.2E+25 sej/yr). Other terrestrial freshwater storages are driven by terrestrial precipitation (Em= </t>
    </r>
    <r>
      <rPr>
        <sz val="11"/>
        <color indexed="10"/>
        <rFont val="Calibri"/>
        <family val="2"/>
      </rPr>
      <t>3.64E+24 sej/</t>
    </r>
    <r>
      <rPr>
        <sz val="11"/>
        <color theme="1"/>
        <rFont val="Calibri"/>
        <family val="2"/>
        <scheme val="minor"/>
      </rPr>
      <t xml:space="preserve">yr ). </t>
    </r>
  </si>
  <si>
    <t>8% geothermal absorbance in Atmosphere (estimate)</t>
  </si>
  <si>
    <t>30% Solar radiation absorbed by atmosphere (Trenberth et al.;2009)</t>
  </si>
  <si>
    <t>Table</t>
  </si>
  <si>
    <t>6/24/2021, CM</t>
  </si>
  <si>
    <t>Comparison of Rain UEVs</t>
  </si>
  <si>
    <t>8/15/2022, CM and DC</t>
  </si>
  <si>
    <t>Rain UEVs under different algebra rules</t>
  </si>
  <si>
    <t>8/18/2022, CM</t>
  </si>
  <si>
    <t>Add Wave energy on the shore</t>
  </si>
  <si>
    <t>Multiple Minerals tab</t>
  </si>
  <si>
    <t>Check remaining issues in the tabs</t>
  </si>
  <si>
    <t>10/6/2022, CM</t>
  </si>
  <si>
    <t>Create Precipitation_Matrix Inversion tab</t>
  </si>
  <si>
    <t>Update Water tab</t>
  </si>
  <si>
    <t>10/13/2022, CM</t>
  </si>
  <si>
    <t>Renewable Earth flows</t>
  </si>
  <si>
    <t>Multiple minerals</t>
  </si>
  <si>
    <t>* Drag coefficents over ocean and land (B24 and B25) were updated; Geostraphic wind speed over ocean and land (B32 and B33) were updated in Renewable earth emergy flow worksheet.</t>
  </si>
  <si>
    <t>Campbell: code for changes; red,there are problems with the number or method, yellow Brown's original code for an unchanged baseline, green numbers that I think are the best choices.</t>
  </si>
  <si>
    <r>
      <t xml:space="preserve">Hofmeister, A.M. &amp; Criss, R.E. (2005) Earth’s heat flux revisited and linked to chemistry. </t>
    </r>
    <r>
      <rPr>
        <i/>
        <sz val="14"/>
        <color indexed="10"/>
        <rFont val="Arial"/>
        <family val="2"/>
      </rPr>
      <t xml:space="preserve">Tectonophysics. </t>
    </r>
    <r>
      <rPr>
        <sz val="14"/>
        <color indexed="10"/>
        <rFont val="Arial"/>
        <family val="2"/>
      </rPr>
      <t>395, 159-177</t>
    </r>
  </si>
  <si>
    <t>Waves transformity (and waves on the shore)</t>
  </si>
  <si>
    <t>Constants above should be linked to those in page Renewable Earth Flows.</t>
  </si>
  <si>
    <t>If these will change, also this page would change without risf of errors.</t>
  </si>
  <si>
    <t>This literature should be in the final page References, to avoid duplicate information and risk of errors.</t>
  </si>
  <si>
    <t>In so doing, this page will be more simple, without the Table of constants.</t>
  </si>
  <si>
    <r>
      <t>Molar mass of mineral
(g</t>
    </r>
    <r>
      <rPr>
        <b/>
        <vertAlign val="subscript"/>
        <sz val="16"/>
        <color indexed="8"/>
        <rFont val="Calibri"/>
        <family val="2"/>
      </rPr>
      <t>mineral</t>
    </r>
    <r>
      <rPr>
        <b/>
        <sz val="16"/>
        <color indexed="8"/>
        <rFont val="Calibri"/>
        <family val="2"/>
      </rPr>
      <t>/mol</t>
    </r>
    <r>
      <rPr>
        <b/>
        <vertAlign val="subscript"/>
        <sz val="16"/>
        <color indexed="8"/>
        <rFont val="Calibri"/>
        <family val="2"/>
      </rPr>
      <t>mineral</t>
    </r>
    <r>
      <rPr>
        <b/>
        <sz val="16"/>
        <color indexed="8"/>
        <rFont val="Calibri"/>
        <family val="2"/>
      </rPr>
      <t>)</t>
    </r>
  </si>
  <si>
    <t>Table 1. Atmospheric Gases</t>
  </si>
  <si>
    <r>
      <t xml:space="preserve">Hofmeister, A.M. &amp; Criss, R.E. (2005) Earth’s heat flux revisited and linked to chemistry. </t>
    </r>
    <r>
      <rPr>
        <i/>
        <sz val="14"/>
        <rFont val="Arial"/>
        <family val="2"/>
      </rPr>
      <t xml:space="preserve">Tectonophysics. </t>
    </r>
    <r>
      <rPr>
        <sz val="14"/>
        <rFont val="Arial"/>
        <family val="2"/>
      </rPr>
      <t>395, 159-177</t>
    </r>
  </si>
  <si>
    <t>Worksheet #</t>
  </si>
  <si>
    <t>Worksheet Name</t>
  </si>
  <si>
    <t>Note</t>
  </si>
  <si>
    <t xml:space="preserve">In this library, since the EmCF provides characterization factors for elementary flows in a life cycle inventory (LCI), it is equivalent to UEVs.  EmCF = UEV.  They are used interchangably. </t>
  </si>
  <si>
    <t>*</t>
  </si>
  <si>
    <t>Total Dissoved Solids (TDS) of precipitation</t>
  </si>
  <si>
    <t>*  T, S and DH refer to Tide, Sun and Deep Heat emergy</t>
  </si>
  <si>
    <t>7. Driving emergy determined using matrix method. See Precipitation _Matrix Inversion tab</t>
  </si>
  <si>
    <t>Average molar mass of crust</t>
  </si>
  <si>
    <t>Crust mass</t>
  </si>
  <si>
    <t>Average crust specific emergy</t>
  </si>
  <si>
    <t>Ave atmosphere molar mass</t>
  </si>
  <si>
    <t>3/22/2023, CM</t>
  </si>
  <si>
    <t>Incorporate external reviewers comments</t>
  </si>
  <si>
    <t>Provide 508 compliance</t>
  </si>
  <si>
    <t>For the detailed calculations and background information, the companion report (The Unit Emergy Value (UEV) Library for Characterizing Environmental Support in Life Cycle Assessment) should be referenced.</t>
  </si>
  <si>
    <t>* See Section 7.1 in the companion report (The Unit Emergy Value (UEV) Library for Characterizing Environmental Support in Life Cycle Assessment) for the background information and underlying methods</t>
  </si>
  <si>
    <t>NPP UEV</t>
  </si>
  <si>
    <r>
      <t>Birdsey, R.A. 1996. Carbon storage for major forest types and regions in the conterminous United States. In:</t>
    </r>
    <r>
      <rPr>
        <sz val="14"/>
        <color indexed="8"/>
        <rFont val="Calibri"/>
        <family val="2"/>
      </rPr>
      <t>Sampson, R.N., Hair, D. (eds) Forests and Global Change, Volume 2: Forest Management Opportunities forMitigating Carbon Emissions</t>
    </r>
    <r>
      <rPr>
        <sz val="14"/>
        <color indexed="8"/>
        <rFont val="Arial"/>
        <family val="2"/>
      </rPr>
      <t>. American Forests, DC, USA. Pp. 1-26, 275.</t>
    </r>
  </si>
  <si>
    <r>
      <rPr>
        <b/>
        <sz val="11"/>
        <rFont val="Calibri (Body)"/>
      </rPr>
      <t>Transformity</t>
    </r>
    <r>
      <rPr>
        <b/>
        <sz val="11"/>
        <rFont val="Calibri"/>
        <family val="2"/>
      </rPr>
      <t xml:space="preserve">
(sej/J)</t>
    </r>
  </si>
  <si>
    <r>
      <rPr>
        <b/>
        <sz val="11"/>
        <rFont val="Calibri (Body)"/>
      </rPr>
      <t>Specific Emergy</t>
    </r>
    <r>
      <rPr>
        <b/>
        <sz val="11"/>
        <rFont val="Calibri"/>
        <family val="2"/>
      </rPr>
      <t xml:space="preserve">
(sej/kg)</t>
    </r>
  </si>
  <si>
    <t>Readme and Changinglog</t>
  </si>
  <si>
    <t>Table 4.Specific Emergy of Terrestrial Biome Soil Carbon (Data are from Lee and Brown (2021))</t>
  </si>
  <si>
    <t>4/22/2024, CM</t>
  </si>
  <si>
    <t>7/28/2023, CM</t>
  </si>
  <si>
    <t>Submit to EPA Science and Technology Informatin Clearance System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</si>
</sst>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43" formatCode="_(* #,##0.00_);_(* \(#,##0.00\);_(* &quot;-&quot;??_);_(@_)"/>
    <numFmt numFmtId="164" formatCode="_-* #,##0_-;\-* #,##0_-;_-* &quot;-&quot;_-;_-@_-"/>
    <numFmt numFmtId="165" formatCode="0.0"/>
    <numFmt numFmtId="166" formatCode="0.0%"/>
    <numFmt numFmtId="167" formatCode="_(* #,##0_);_(* \(#,##0\);_(* &quot;-&quot;??_);_(@_)"/>
    <numFmt numFmtId="168" formatCode="0.0000%"/>
    <numFmt numFmtId="169" formatCode="0.000%"/>
    <numFmt numFmtId="170" formatCode="0.000"/>
    <numFmt numFmtId="171" formatCode="0.00000%"/>
    <numFmt numFmtId="172" formatCode="0.0000000%"/>
    <numFmt numFmtId="173" formatCode="00,000"/>
    <numFmt numFmtId="174" formatCode="0.00E+00;\_x0000_"/>
    <numFmt numFmtId="175" formatCode="0.00000E+00"/>
    <numFmt numFmtId="176" formatCode="0.000000"/>
    <numFmt numFmtId="177" formatCode="0.0000"/>
    <numFmt numFmtId="178" formatCode="0.0000000"/>
    <numFmt numFmtId="179" formatCode="0.0E+00"/>
    <numFmt numFmtId="180" formatCode="0.000E+00"/>
    <numFmt numFmtId="181" formatCode="0.0000E+00"/>
  </numFmts>
  <fonts count="130">
    <font>
      <sz val="11"/>
      <color theme="1"/>
      <name val="Calibri"/>
      <family val="2"/>
      <scheme val="minor"/>
    </font>
    <font>
      <sz val="12"/>
      <color indexed="8"/>
      <name val="Calibri"/>
      <family val="2"/>
    </font>
    <font>
      <sz val="11"/>
      <color indexed="10"/>
      <name val="Calibri"/>
      <family val="2"/>
    </font>
    <font>
      <b/>
      <sz val="11"/>
      <color indexed="8"/>
      <name val="Calibri"/>
      <family val="2"/>
    </font>
    <font>
      <vertAlign val="superscript"/>
      <sz val="11"/>
      <color indexed="8"/>
      <name val="Calibri"/>
      <family val="2"/>
    </font>
    <font>
      <sz val="11"/>
      <color indexed="8"/>
      <name val="Times New Roman"/>
      <family val="1"/>
    </font>
    <font>
      <sz val="10"/>
      <name val="Verdana"/>
      <family val="2"/>
    </font>
    <font>
      <sz val="11"/>
      <name val="Times New Roman"/>
      <family val="1"/>
    </font>
    <font>
      <vertAlign val="superscript"/>
      <sz val="11"/>
      <color indexed="8"/>
      <name val="Times New Roman"/>
      <family val="1"/>
    </font>
    <font>
      <sz val="12"/>
      <color indexed="8"/>
      <name val="Times New Roman"/>
      <family val="1"/>
    </font>
    <font>
      <sz val="10"/>
      <name val="Arial"/>
      <family val="2"/>
    </font>
    <font>
      <sz val="9"/>
      <name val="Geneva"/>
      <family val="2"/>
    </font>
    <font>
      <sz val="11"/>
      <name val="Calibri"/>
      <family val="2"/>
    </font>
    <font>
      <sz val="10"/>
      <name val="Arial"/>
      <family val="2"/>
    </font>
    <font>
      <b/>
      <sz val="10"/>
      <name val="Arial"/>
      <family val="2"/>
    </font>
    <font>
      <sz val="14"/>
      <color indexed="8"/>
      <name val="Calibri"/>
      <family val="2"/>
    </font>
    <font>
      <sz val="10"/>
      <color indexed="8"/>
      <name val="Arial"/>
      <family val="2"/>
    </font>
    <font>
      <sz val="11"/>
      <color indexed="8"/>
      <name val="Calibri"/>
      <family val="2"/>
    </font>
    <font>
      <u/>
      <sz val="11"/>
      <color indexed="8"/>
      <name val="Calibri"/>
      <family val="2"/>
    </font>
    <font>
      <b/>
      <u/>
      <sz val="10"/>
      <name val="Calibri"/>
      <family val="2"/>
    </font>
    <font>
      <b/>
      <sz val="12"/>
      <color indexed="8"/>
      <name val="Calibri"/>
      <family val="2"/>
    </font>
    <font>
      <b/>
      <vertAlign val="subscript"/>
      <sz val="12"/>
      <color indexed="8"/>
      <name val="Calibri"/>
      <family val="2"/>
    </font>
    <font>
      <u/>
      <sz val="10"/>
      <color indexed="12"/>
      <name val="Arial"/>
      <family val="2"/>
    </font>
    <font>
      <i/>
      <sz val="12"/>
      <color indexed="8"/>
      <name val="Cambria"/>
      <family val="1"/>
    </font>
    <font>
      <sz val="12"/>
      <color indexed="8"/>
      <name val="Cambria"/>
      <family val="1"/>
    </font>
    <font>
      <vertAlign val="superscript"/>
      <sz val="12"/>
      <color indexed="8"/>
      <name val="Calibri"/>
      <family val="2"/>
    </font>
    <font>
      <b/>
      <vertAlign val="superscript"/>
      <sz val="11"/>
      <color indexed="8"/>
      <name val="Calibri"/>
      <family val="2"/>
    </font>
    <font>
      <b/>
      <vertAlign val="superscript"/>
      <sz val="12"/>
      <color indexed="8"/>
      <name val="Calibri"/>
      <family val="2"/>
    </font>
    <font>
      <sz val="14"/>
      <color indexed="8"/>
      <name val="Arial"/>
      <family val="2"/>
    </font>
    <font>
      <sz val="14"/>
      <name val="Arial"/>
      <family val="2"/>
    </font>
    <font>
      <i/>
      <sz val="14"/>
      <color indexed="8"/>
      <name val="Arial"/>
      <family val="2"/>
    </font>
    <font>
      <vertAlign val="superscript"/>
      <sz val="10"/>
      <color indexed="8"/>
      <name val="Calibri"/>
      <family val="2"/>
    </font>
    <font>
      <b/>
      <vertAlign val="superscript"/>
      <sz val="10"/>
      <name val="Calibri"/>
      <family val="2"/>
    </font>
    <font>
      <b/>
      <u/>
      <sz val="10"/>
      <name val="Arial"/>
      <family val="2"/>
    </font>
    <font>
      <b/>
      <u/>
      <vertAlign val="superscript"/>
      <sz val="10"/>
      <name val="Calibri"/>
      <family val="2"/>
    </font>
    <font>
      <vertAlign val="superscript"/>
      <sz val="10"/>
      <name val="Arial"/>
      <family val="2"/>
    </font>
    <font>
      <sz val="11"/>
      <name val="Calibri"/>
      <family val="2"/>
    </font>
    <font>
      <vertAlign val="subscript"/>
      <sz val="11"/>
      <color indexed="8"/>
      <name val="Calibri"/>
      <family val="2"/>
    </font>
    <font>
      <b/>
      <sz val="16"/>
      <color indexed="8"/>
      <name val="Calibri"/>
      <family val="2"/>
    </font>
    <font>
      <sz val="9"/>
      <name val="Arial"/>
      <family val="2"/>
    </font>
    <font>
      <sz val="14"/>
      <color indexed="63"/>
      <name val="Arial"/>
      <family val="2"/>
    </font>
    <font>
      <i/>
      <sz val="14"/>
      <color indexed="63"/>
      <name val="Arial"/>
      <family val="2"/>
    </font>
    <font>
      <b/>
      <sz val="12"/>
      <name val="Times New Roman"/>
      <family val="1"/>
    </font>
    <font>
      <b/>
      <sz val="12"/>
      <name val="Calibri"/>
      <family val="2"/>
    </font>
    <font>
      <b/>
      <vertAlign val="subscript"/>
      <sz val="12"/>
      <name val="Calibri"/>
      <family val="2"/>
    </font>
    <font>
      <sz val="8"/>
      <name val="Calibri"/>
      <family val="2"/>
    </font>
    <font>
      <sz val="12"/>
      <name val="Times New Roman"/>
      <family val="1"/>
    </font>
    <font>
      <vertAlign val="superscript"/>
      <sz val="11"/>
      <name val="Times New Roman"/>
      <family val="1"/>
    </font>
    <font>
      <b/>
      <sz val="11"/>
      <name val="Calibri"/>
      <family val="2"/>
    </font>
    <font>
      <vertAlign val="subscript"/>
      <sz val="11"/>
      <name val="Calibri"/>
      <family val="2"/>
    </font>
    <font>
      <b/>
      <vertAlign val="subscript"/>
      <sz val="11"/>
      <color indexed="8"/>
      <name val="Calibri"/>
      <family val="2"/>
    </font>
    <font>
      <sz val="12"/>
      <color indexed="8"/>
      <name val="Wingdings"/>
      <family val="2"/>
    </font>
    <font>
      <i/>
      <sz val="12"/>
      <color indexed="8"/>
      <name val="Times New Roman"/>
      <family val="1"/>
    </font>
    <font>
      <sz val="14"/>
      <color indexed="10"/>
      <name val="Arial"/>
      <family val="2"/>
    </font>
    <font>
      <i/>
      <sz val="14"/>
      <color indexed="10"/>
      <name val="Arial"/>
      <family val="2"/>
    </font>
    <font>
      <b/>
      <vertAlign val="subscript"/>
      <sz val="16"/>
      <color indexed="8"/>
      <name val="Calibri"/>
      <family val="2"/>
    </font>
    <font>
      <i/>
      <sz val="14"/>
      <name val="Arial"/>
      <family val="2"/>
    </font>
    <font>
      <b/>
      <sz val="11"/>
      <name val="Calibri (Body)"/>
    </font>
    <font>
      <sz val="11"/>
      <color theme="1"/>
      <name val="Calibri"/>
      <family val="2"/>
      <scheme val="minor"/>
    </font>
    <font>
      <sz val="11"/>
      <color rgb="FF9C0006"/>
      <name val="Calibri"/>
      <family val="2"/>
      <scheme val="minor"/>
    </font>
    <font>
      <sz val="11"/>
      <color rgb="FF006100"/>
      <name val="Calibri"/>
      <family val="2"/>
      <scheme val="minor"/>
    </font>
    <font>
      <u/>
      <sz val="11"/>
      <color theme="10"/>
      <name val="Calibri"/>
      <family val="2"/>
      <scheme val="minor"/>
    </font>
    <font>
      <sz val="11"/>
      <color rgb="FF3F3F76"/>
      <name val="Calibri"/>
      <family val="2"/>
      <scheme val="minor"/>
    </font>
    <font>
      <sz val="11"/>
      <color rgb="FF9C5700"/>
      <name val="Calibri"/>
      <family val="2"/>
      <scheme val="minor"/>
    </font>
    <font>
      <sz val="12"/>
      <color theme="1"/>
      <name val="Calibri"/>
      <family val="2"/>
      <scheme val="minor"/>
    </font>
    <font>
      <b/>
      <sz val="11"/>
      <color theme="1"/>
      <name val="Calibri"/>
      <family val="2"/>
      <scheme val="minor"/>
    </font>
    <font>
      <sz val="11"/>
      <color rgb="FFFF0000"/>
      <name val="Calibri"/>
      <family val="2"/>
      <scheme val="minor"/>
    </font>
    <font>
      <sz val="11"/>
      <color theme="1"/>
      <name val="Times New Roman"/>
      <family val="1"/>
    </font>
    <font>
      <b/>
      <u/>
      <sz val="11"/>
      <color theme="1"/>
      <name val="Calibri"/>
      <family val="2"/>
      <scheme val="minor"/>
    </font>
    <font>
      <sz val="14"/>
      <color theme="1"/>
      <name val="Calibri"/>
      <family val="2"/>
      <scheme val="minor"/>
    </font>
    <font>
      <sz val="10"/>
      <color theme="1"/>
      <name val="Calibri"/>
      <family val="2"/>
      <scheme val="minor"/>
    </font>
    <font>
      <sz val="10"/>
      <name val="Calibri"/>
      <family val="2"/>
      <scheme val="minor"/>
    </font>
    <font>
      <u/>
      <sz val="10"/>
      <name val="Calibri"/>
      <family val="2"/>
      <scheme val="minor"/>
    </font>
    <font>
      <sz val="10"/>
      <color rgb="FFFF0000"/>
      <name val="TimesNewRoman"/>
    </font>
    <font>
      <sz val="11"/>
      <name val="Calibri"/>
      <family val="2"/>
      <scheme val="minor"/>
    </font>
    <font>
      <sz val="11"/>
      <color rgb="FF000000"/>
      <name val="Calibri"/>
      <family val="2"/>
      <scheme val="minor"/>
    </font>
    <font>
      <b/>
      <sz val="11"/>
      <color theme="1"/>
      <name val="Times New Roman"/>
      <family val="1"/>
    </font>
    <font>
      <b/>
      <sz val="12"/>
      <color theme="1"/>
      <name val="Calibri"/>
      <family val="2"/>
      <scheme val="minor"/>
    </font>
    <font>
      <b/>
      <sz val="11"/>
      <color rgb="FF000000"/>
      <name val="Calibri"/>
      <family val="2"/>
      <scheme val="minor"/>
    </font>
    <font>
      <u/>
      <sz val="14"/>
      <color theme="1"/>
      <name val="Calibri"/>
      <family val="2"/>
      <scheme val="minor"/>
    </font>
    <font>
      <b/>
      <sz val="10"/>
      <name val="Calibri"/>
      <family val="2"/>
      <scheme val="minor"/>
    </font>
    <font>
      <sz val="12"/>
      <color theme="1"/>
      <name val="Times New Roman"/>
      <family val="1"/>
    </font>
    <font>
      <sz val="10"/>
      <color theme="1"/>
      <name val="Verdana"/>
      <family val="2"/>
    </font>
    <font>
      <b/>
      <u/>
      <sz val="10"/>
      <name val="Calibri"/>
      <family val="2"/>
      <scheme val="minor"/>
    </font>
    <font>
      <b/>
      <sz val="10"/>
      <color theme="1"/>
      <name val="Calibri"/>
      <family val="2"/>
      <scheme val="minor"/>
    </font>
    <font>
      <b/>
      <sz val="14"/>
      <color theme="1"/>
      <name val="Calibri"/>
      <family val="2"/>
      <scheme val="minor"/>
    </font>
    <font>
      <b/>
      <sz val="10"/>
      <color rgb="FFFF0000"/>
      <name val="Calibri"/>
      <family val="2"/>
      <scheme val="minor"/>
    </font>
    <font>
      <sz val="11"/>
      <color theme="1"/>
      <name val="Calibri"/>
      <family val="2"/>
    </font>
    <font>
      <b/>
      <sz val="11"/>
      <color theme="1"/>
      <name val="Calibri"/>
      <family val="2"/>
    </font>
    <font>
      <b/>
      <sz val="14"/>
      <color theme="1"/>
      <name val="Calibri"/>
      <family val="2"/>
    </font>
    <font>
      <b/>
      <sz val="9"/>
      <color theme="1"/>
      <name val="Arial"/>
      <family val="2"/>
    </font>
    <font>
      <b/>
      <sz val="10"/>
      <color theme="1"/>
      <name val="Arial"/>
      <family val="2"/>
    </font>
    <font>
      <sz val="9"/>
      <color theme="1"/>
      <name val="Arial"/>
      <family val="2"/>
    </font>
    <font>
      <sz val="10"/>
      <color theme="1"/>
      <name val="Arial"/>
      <family val="2"/>
    </font>
    <font>
      <b/>
      <u/>
      <sz val="18"/>
      <color theme="1"/>
      <name val="Calibri"/>
      <family val="2"/>
      <scheme val="minor"/>
    </font>
    <font>
      <b/>
      <sz val="12"/>
      <color theme="1"/>
      <name val="Times New Roman"/>
      <family val="1"/>
    </font>
    <font>
      <b/>
      <sz val="12"/>
      <color rgb="FFFF0000"/>
      <name val="Times New Roman"/>
      <family val="1"/>
    </font>
    <font>
      <sz val="14"/>
      <color theme="1"/>
      <name val="Arial"/>
      <family val="2"/>
    </font>
    <font>
      <b/>
      <sz val="14"/>
      <color theme="1"/>
      <name val="Times New Roman"/>
      <family val="1"/>
    </font>
    <font>
      <sz val="11"/>
      <color rgb="FF000000"/>
      <name val="Arial"/>
      <family val="2"/>
    </font>
    <font>
      <vertAlign val="superscript"/>
      <sz val="11"/>
      <color theme="1"/>
      <name val="Calibri"/>
      <family val="2"/>
    </font>
    <font>
      <sz val="10"/>
      <color theme="0" tint="-0.34998626667073579"/>
      <name val="Calibri"/>
      <family val="2"/>
      <scheme val="minor"/>
    </font>
    <font>
      <sz val="11"/>
      <color theme="0" tint="-0.249977111117893"/>
      <name val="Calibri"/>
      <family val="2"/>
    </font>
    <font>
      <sz val="11"/>
      <color rgb="FF000000"/>
      <name val="Calibri"/>
      <family val="2"/>
    </font>
    <font>
      <b/>
      <sz val="11"/>
      <name val="Calibri"/>
      <family val="2"/>
      <scheme val="minor"/>
    </font>
    <font>
      <b/>
      <u/>
      <sz val="14"/>
      <color theme="1"/>
      <name val="Calibri"/>
      <family val="2"/>
      <scheme val="minor"/>
    </font>
    <font>
      <sz val="11"/>
      <color theme="0" tint="-0.34998626667073579"/>
      <name val="Calibri"/>
      <family val="2"/>
      <scheme val="minor"/>
    </font>
    <font>
      <b/>
      <sz val="18"/>
      <color theme="1"/>
      <name val="Calibri"/>
      <family val="2"/>
      <scheme val="minor"/>
    </font>
    <font>
      <b/>
      <sz val="12"/>
      <color rgb="FF000000"/>
      <name val="Calibri"/>
      <family val="2"/>
      <scheme val="minor"/>
    </font>
    <font>
      <sz val="12"/>
      <color rgb="FF000000"/>
      <name val="Calibri"/>
      <family val="2"/>
      <scheme val="minor"/>
    </font>
    <font>
      <b/>
      <sz val="12"/>
      <name val="Calibri"/>
      <family val="2"/>
      <scheme val="minor"/>
    </font>
    <font>
      <b/>
      <sz val="14"/>
      <color theme="1"/>
      <name val="Arial"/>
      <family val="2"/>
    </font>
    <font>
      <sz val="14"/>
      <color rgb="FF222222"/>
      <name val="Arial"/>
      <family val="2"/>
    </font>
    <font>
      <sz val="14"/>
      <color rgb="FFFF0000"/>
      <name val="Arial"/>
      <family val="2"/>
    </font>
    <font>
      <sz val="12"/>
      <color rgb="FFFF0000"/>
      <name val="Calibri"/>
      <family val="2"/>
      <scheme val="minor"/>
    </font>
    <font>
      <sz val="11"/>
      <color rgb="FFFF0000"/>
      <name val="Times New Roman"/>
      <family val="1"/>
    </font>
    <font>
      <sz val="14"/>
      <color rgb="FFFF0000"/>
      <name val="Calibri"/>
      <family val="2"/>
      <scheme val="minor"/>
    </font>
    <font>
      <sz val="22"/>
      <color rgb="FFFF0000"/>
      <name val="Calibri"/>
      <family val="2"/>
      <scheme val="minor"/>
    </font>
    <font>
      <sz val="18"/>
      <color rgb="FFFF0000"/>
      <name val="Calibri"/>
      <family val="2"/>
      <scheme val="minor"/>
    </font>
    <font>
      <sz val="16"/>
      <color rgb="FFFF0000"/>
      <name val="Calibri"/>
      <family val="2"/>
      <scheme val="minor"/>
    </font>
    <font>
      <b/>
      <sz val="16"/>
      <color theme="1"/>
      <name val="Calibri"/>
      <family val="2"/>
      <scheme val="minor"/>
    </font>
    <font>
      <sz val="20"/>
      <color rgb="FFFF0000"/>
      <name val="Calibri"/>
      <family val="2"/>
      <scheme val="minor"/>
    </font>
    <font>
      <b/>
      <sz val="12"/>
      <color rgb="FFFF0000"/>
      <name val="Calibri"/>
      <family val="2"/>
      <scheme val="minor"/>
    </font>
    <font>
      <b/>
      <sz val="11"/>
      <color rgb="FFFF0000"/>
      <name val="Calibri"/>
      <family val="2"/>
      <scheme val="minor"/>
    </font>
    <font>
      <sz val="9"/>
      <color theme="1"/>
      <name val="Calibri"/>
      <family val="2"/>
      <scheme val="minor"/>
    </font>
    <font>
      <sz val="14"/>
      <name val="Calibri"/>
      <family val="2"/>
      <scheme val="minor"/>
    </font>
    <font>
      <b/>
      <i/>
      <sz val="11"/>
      <color theme="1"/>
      <name val="Times New Roman"/>
      <family val="1"/>
    </font>
    <font>
      <b/>
      <u/>
      <sz val="10"/>
      <color theme="1"/>
      <name val="Calibri"/>
      <family val="2"/>
      <scheme val="minor"/>
    </font>
    <font>
      <u/>
      <sz val="11"/>
      <color theme="1"/>
      <name val="Calibri"/>
      <family val="2"/>
      <scheme val="minor"/>
    </font>
    <font>
      <b/>
      <sz val="9"/>
      <color rgb="FF262626"/>
      <name val="Segoe UI"/>
      <family val="2"/>
    </font>
  </fonts>
  <fills count="34">
    <fill>
      <patternFill patternType="none"/>
    </fill>
    <fill>
      <patternFill patternType="gray125"/>
    </fill>
    <fill>
      <patternFill patternType="solid">
        <fgColor indexed="51"/>
        <bgColor indexed="64"/>
      </patternFill>
    </fill>
    <fill>
      <patternFill patternType="solid">
        <fgColor theme="4" tint="0.79998168889431442"/>
        <bgColor indexed="65"/>
      </patternFill>
    </fill>
    <fill>
      <patternFill patternType="solid">
        <fgColor rgb="FFFFC7CE"/>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rgb="FFFFFF00"/>
        <bgColor indexed="64"/>
      </patternFill>
    </fill>
    <fill>
      <patternFill patternType="solid">
        <fgColor rgb="FFFFC000"/>
        <bgColor indexed="64"/>
      </patternFill>
    </fill>
    <fill>
      <patternFill patternType="solid">
        <fgColor theme="6" tint="0.39997558519241921"/>
        <bgColor indexed="64"/>
      </patternFill>
    </fill>
    <fill>
      <patternFill patternType="solid">
        <fgColor theme="0" tint="-0.34998626667073579"/>
        <bgColor indexed="64"/>
      </patternFill>
    </fill>
    <fill>
      <patternFill patternType="solid">
        <fgColor theme="6" tint="0.79998168889431442"/>
        <bgColor indexed="64"/>
      </patternFill>
    </fill>
    <fill>
      <patternFill patternType="solid">
        <fgColor theme="2" tint="-0.499984740745262"/>
        <bgColor indexed="64"/>
      </patternFill>
    </fill>
    <fill>
      <patternFill patternType="solid">
        <fgColor theme="2" tint="-0.249977111117893"/>
        <bgColor indexed="64"/>
      </patternFill>
    </fill>
    <fill>
      <patternFill patternType="solid">
        <fgColor theme="3" tint="0.59999389629810485"/>
        <bgColor indexed="64"/>
      </patternFill>
    </fill>
    <fill>
      <patternFill patternType="solid">
        <fgColor theme="9" tint="0.39997558519241921"/>
        <bgColor indexed="64"/>
      </patternFill>
    </fill>
    <fill>
      <patternFill patternType="solid">
        <fgColor theme="8" tint="0.59999389629810485"/>
        <bgColor indexed="64"/>
      </patternFill>
    </fill>
    <fill>
      <patternFill patternType="solid">
        <fgColor rgb="FFFFF587"/>
        <bgColor indexed="64"/>
      </patternFill>
    </fill>
    <fill>
      <patternFill patternType="solid">
        <fgColor theme="0" tint="-0.249977111117893"/>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rgb="FF92D050"/>
        <bgColor indexed="64"/>
      </patternFill>
    </fill>
    <fill>
      <patternFill patternType="solid">
        <fgColor theme="6" tint="0.59999389629810485"/>
        <bgColor indexed="64"/>
      </patternFill>
    </fill>
    <fill>
      <patternFill patternType="solid">
        <fgColor rgb="FFFF0000"/>
        <bgColor indexed="64"/>
      </patternFill>
    </fill>
    <fill>
      <patternFill patternType="solid">
        <fgColor rgb="FFF3F68D"/>
        <bgColor indexed="64"/>
      </patternFill>
    </fill>
    <fill>
      <patternFill patternType="solid">
        <fgColor rgb="FFFFFFCC"/>
        <bgColor indexed="64"/>
      </patternFill>
    </fill>
    <fill>
      <patternFill patternType="solid">
        <fgColor rgb="FFFFFF85"/>
        <bgColor indexed="64"/>
      </patternFill>
    </fill>
    <fill>
      <patternFill patternType="solid">
        <fgColor theme="4" tint="0.59999389629810485"/>
        <bgColor indexed="64"/>
      </patternFill>
    </fill>
    <fill>
      <patternFill patternType="solid">
        <fgColor rgb="FFF8FEDA"/>
        <bgColor indexed="64"/>
      </patternFill>
    </fill>
    <fill>
      <patternFill patternType="solid">
        <fgColor rgb="FF73D383"/>
        <bgColor indexed="64"/>
      </patternFill>
    </fill>
    <fill>
      <patternFill patternType="solid">
        <fgColor rgb="FFC5D9F1"/>
        <bgColor indexed="64"/>
      </patternFill>
    </fill>
    <fill>
      <patternFill patternType="solid">
        <fgColor rgb="FFFFF283"/>
        <bgColor indexed="64"/>
      </patternFill>
    </fill>
  </fills>
  <borders count="4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medium">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double">
        <color indexed="64"/>
      </bottom>
      <diagonal/>
    </border>
    <border>
      <left/>
      <right/>
      <top style="double">
        <color indexed="64"/>
      </top>
      <bottom style="medium">
        <color indexed="64"/>
      </bottom>
      <diagonal/>
    </border>
    <border>
      <left/>
      <right/>
      <top style="medium">
        <color indexed="64"/>
      </top>
      <bottom style="thin">
        <color indexed="64"/>
      </bottom>
      <diagonal/>
    </border>
    <border>
      <left/>
      <right/>
      <top style="medium">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s>
  <cellStyleXfs count="649">
    <xf numFmtId="0" fontId="0" fillId="0" borderId="0"/>
    <xf numFmtId="0" fontId="58" fillId="3" borderId="0" applyNumberFormat="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61" fillId="0" borderId="0" applyNumberFormat="0" applyFill="0" applyBorder="0" applyAlignment="0" applyProtection="0"/>
    <xf numFmtId="0" fontId="22" fillId="0" borderId="0" applyNumberFormat="0" applyFill="0" applyBorder="0" applyAlignment="0" applyProtection="0">
      <alignment vertical="top"/>
      <protection locked="0"/>
    </xf>
    <xf numFmtId="0" fontId="63" fillId="7" borderId="0" applyNumberFormat="0" applyBorder="0" applyAlignment="0" applyProtection="0"/>
    <xf numFmtId="0" fontId="10" fillId="0" borderId="0"/>
    <xf numFmtId="0" fontId="10" fillId="0" borderId="0"/>
    <xf numFmtId="0" fontId="10" fillId="0" borderId="0"/>
    <xf numFmtId="0" fontId="10" fillId="0" borderId="0"/>
    <xf numFmtId="0" fontId="58" fillId="0" borderId="0"/>
    <xf numFmtId="0" fontId="58" fillId="0" borderId="0"/>
    <xf numFmtId="0" fontId="58" fillId="0" borderId="0"/>
    <xf numFmtId="0" fontId="58" fillId="0" borderId="0"/>
    <xf numFmtId="0" fontId="58" fillId="0" borderId="0"/>
    <xf numFmtId="0" fontId="6" fillId="0" borderId="0"/>
    <xf numFmtId="0" fontId="58" fillId="0" borderId="0"/>
    <xf numFmtId="0" fontId="58" fillId="0" borderId="0"/>
    <xf numFmtId="0" fontId="58" fillId="0" borderId="0"/>
    <xf numFmtId="0" fontId="58" fillId="0" borderId="0"/>
    <xf numFmtId="0" fontId="6" fillId="0" borderId="0"/>
    <xf numFmtId="0" fontId="58" fillId="0" borderId="0"/>
    <xf numFmtId="0" fontId="58" fillId="0" borderId="0"/>
    <xf numFmtId="0" fontId="58" fillId="0" borderId="0"/>
    <xf numFmtId="0" fontId="58" fillId="0" borderId="0"/>
    <xf numFmtId="0" fontId="58" fillId="0" borderId="0"/>
    <xf numFmtId="0" fontId="6" fillId="0" borderId="0"/>
    <xf numFmtId="0" fontId="58" fillId="0" borderId="0"/>
    <xf numFmtId="0" fontId="58" fillId="0" borderId="0"/>
    <xf numFmtId="0" fontId="58" fillId="0" borderId="0"/>
    <xf numFmtId="0" fontId="58" fillId="0" borderId="0"/>
    <xf numFmtId="0" fontId="6"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64" fillId="0" borderId="0"/>
    <xf numFmtId="0" fontId="10" fillId="0" borderId="0"/>
    <xf numFmtId="0" fontId="10" fillId="0" borderId="0"/>
    <xf numFmtId="0" fontId="10" fillId="0" borderId="0"/>
    <xf numFmtId="0" fontId="64" fillId="0" borderId="0"/>
    <xf numFmtId="0" fontId="10" fillId="0" borderId="0"/>
    <xf numFmtId="0" fontId="10" fillId="0" borderId="0"/>
    <xf numFmtId="0" fontId="10" fillId="0" borderId="0"/>
    <xf numFmtId="0" fontId="10" fillId="0" borderId="0"/>
    <xf numFmtId="0" fontId="58" fillId="0" borderId="0"/>
    <xf numFmtId="0" fontId="58" fillId="0" borderId="0"/>
    <xf numFmtId="0" fontId="58" fillId="0" borderId="0"/>
    <xf numFmtId="0" fontId="5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1" fillId="0" borderId="0"/>
    <xf numFmtId="0" fontId="1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1" fillId="0" borderId="0"/>
    <xf numFmtId="0" fontId="1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0" fillId="0" borderId="0"/>
    <xf numFmtId="0" fontId="1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64"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10"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10" fillId="0" borderId="0"/>
    <xf numFmtId="0" fontId="10"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10"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10" fillId="0" borderId="0"/>
    <xf numFmtId="0" fontId="10" fillId="0" borderId="0"/>
    <xf numFmtId="0" fontId="58" fillId="0" borderId="0"/>
    <xf numFmtId="0" fontId="58" fillId="0" borderId="0"/>
    <xf numFmtId="0" fontId="58" fillId="0" borderId="0"/>
    <xf numFmtId="0" fontId="58" fillId="0" borderId="0"/>
    <xf numFmtId="0" fontId="58" fillId="0" borderId="0"/>
    <xf numFmtId="0" fontId="58" fillId="0" borderId="0"/>
    <xf numFmtId="0" fontId="10" fillId="0" borderId="0"/>
    <xf numFmtId="0" fontId="10" fillId="0" borderId="0"/>
    <xf numFmtId="0" fontId="10" fillId="0" borderId="0"/>
    <xf numFmtId="0" fontId="10" fillId="0" borderId="0"/>
    <xf numFmtId="0" fontId="10"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10" fillId="0" borderId="0"/>
    <xf numFmtId="0" fontId="10" fillId="0" borderId="0"/>
    <xf numFmtId="0" fontId="10"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10" fillId="0" borderId="0"/>
    <xf numFmtId="0" fontId="10" fillId="0" borderId="0"/>
    <xf numFmtId="0" fontId="10"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10" fillId="0" borderId="0"/>
    <xf numFmtId="0" fontId="10" fillId="0" borderId="0"/>
    <xf numFmtId="0" fontId="10" fillId="0" borderId="0"/>
    <xf numFmtId="0" fontId="10" fillId="0" borderId="0"/>
    <xf numFmtId="0" fontId="10" fillId="0" borderId="0"/>
    <xf numFmtId="0" fontId="10" fillId="0" borderId="0"/>
    <xf numFmtId="0" fontId="11" fillId="0" borderId="0"/>
    <xf numFmtId="0" fontId="10" fillId="0" borderId="0"/>
    <xf numFmtId="0" fontId="10" fillId="0" borderId="0"/>
    <xf numFmtId="0" fontId="10" fillId="0" borderId="0"/>
    <xf numFmtId="0" fontId="10" fillId="0" borderId="0"/>
    <xf numFmtId="0" fontId="10" fillId="0" borderId="0"/>
    <xf numFmtId="0" fontId="11" fillId="0" borderId="0"/>
    <xf numFmtId="0" fontId="11" fillId="0" borderId="0"/>
    <xf numFmtId="0" fontId="11" fillId="0" borderId="0"/>
    <xf numFmtId="0" fontId="11"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10" fillId="0" borderId="0"/>
    <xf numFmtId="0" fontId="10" fillId="0" borderId="0"/>
    <xf numFmtId="0" fontId="10"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10" fillId="0" borderId="0"/>
    <xf numFmtId="0" fontId="10" fillId="0" borderId="0"/>
    <xf numFmtId="0" fontId="10"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10" fillId="0" borderId="0"/>
    <xf numFmtId="0" fontId="10" fillId="0" borderId="0"/>
    <xf numFmtId="0" fontId="10"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58" fillId="0" borderId="0"/>
    <xf numFmtId="0" fontId="58" fillId="0" borderId="0"/>
    <xf numFmtId="0" fontId="10" fillId="0" borderId="0"/>
    <xf numFmtId="0" fontId="10" fillId="0" borderId="0"/>
    <xf numFmtId="0" fontId="10" fillId="0" borderId="0"/>
    <xf numFmtId="0" fontId="10" fillId="0" borderId="0"/>
    <xf numFmtId="0" fontId="11" fillId="0" borderId="0"/>
    <xf numFmtId="0" fontId="10" fillId="0" borderId="0"/>
    <xf numFmtId="0" fontId="10" fillId="0" borderId="0"/>
    <xf numFmtId="0" fontId="10" fillId="0" borderId="0"/>
    <xf numFmtId="0" fontId="10" fillId="0" borderId="0"/>
    <xf numFmtId="0" fontId="10" fillId="0" borderId="0"/>
    <xf numFmtId="0" fontId="11" fillId="0" borderId="0"/>
    <xf numFmtId="0" fontId="11" fillId="0" borderId="0"/>
    <xf numFmtId="0" fontId="11" fillId="0" borderId="0"/>
    <xf numFmtId="0" fontId="11" fillId="0" borderId="0"/>
    <xf numFmtId="0" fontId="58" fillId="0" borderId="0"/>
    <xf numFmtId="0" fontId="10" fillId="0" borderId="0"/>
    <xf numFmtId="0" fontId="10" fillId="0" borderId="0"/>
    <xf numFmtId="0" fontId="10" fillId="0" borderId="0"/>
    <xf numFmtId="0" fontId="10" fillId="0" borderId="0"/>
    <xf numFmtId="0" fontId="10" fillId="0" borderId="0"/>
    <xf numFmtId="0" fontId="58" fillId="0" borderId="0"/>
    <xf numFmtId="0" fontId="58" fillId="0" borderId="0"/>
    <xf numFmtId="0" fontId="58" fillId="0" borderId="0"/>
    <xf numFmtId="0" fontId="58" fillId="0" borderId="0"/>
    <xf numFmtId="0" fontId="58" fillId="0" borderId="0"/>
    <xf numFmtId="0" fontId="10" fillId="0" borderId="0"/>
    <xf numFmtId="0" fontId="10" fillId="0" borderId="0"/>
    <xf numFmtId="0" fontId="10" fillId="0" borderId="0"/>
    <xf numFmtId="0" fontId="10" fillId="0" borderId="0"/>
    <xf numFmtId="0" fontId="10" fillId="0" borderId="0"/>
    <xf numFmtId="0" fontId="58" fillId="0" borderId="0"/>
    <xf numFmtId="0" fontId="58" fillId="0" borderId="0"/>
    <xf numFmtId="0" fontId="58" fillId="0" borderId="0"/>
    <xf numFmtId="0" fontId="58" fillId="0" borderId="0"/>
    <xf numFmtId="0" fontId="10" fillId="0" borderId="0"/>
    <xf numFmtId="0" fontId="10" fillId="0" borderId="0"/>
    <xf numFmtId="0" fontId="10" fillId="0" borderId="0"/>
    <xf numFmtId="0" fontId="1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6" fillId="0" borderId="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6"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0" fontId="58" fillId="8" borderId="43" applyNumberFormat="0" applyFont="0" applyAlignment="0" applyProtection="0"/>
    <xf numFmtId="9" fontId="58" fillId="0" borderId="0" applyFont="0" applyFill="0" applyBorder="0" applyAlignment="0" applyProtection="0"/>
    <xf numFmtId="9" fontId="64" fillId="0" borderId="0" applyFont="0" applyFill="0" applyBorder="0" applyAlignment="0" applyProtection="0"/>
    <xf numFmtId="9" fontId="64"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58" fillId="0" borderId="0" applyFont="0" applyFill="0" applyBorder="0" applyAlignment="0" applyProtection="0"/>
    <xf numFmtId="9" fontId="64" fillId="0" borderId="0" applyFont="0" applyFill="0" applyBorder="0" applyAlignment="0" applyProtection="0"/>
    <xf numFmtId="0" fontId="59" fillId="4" borderId="0" applyNumberFormat="0" applyBorder="0" applyAlignment="0" applyProtection="0"/>
    <xf numFmtId="164" fontId="58" fillId="0" borderId="0" applyFont="0" applyFill="0" applyBorder="0" applyAlignment="0" applyProtection="0">
      <alignment vertical="center"/>
    </xf>
    <xf numFmtId="0" fontId="62" fillId="6" borderId="42" applyNumberFormat="0" applyAlignment="0" applyProtection="0"/>
    <xf numFmtId="0" fontId="60" fillId="5" borderId="0" applyNumberFormat="0" applyBorder="0" applyAlignment="0" applyProtection="0"/>
    <xf numFmtId="0" fontId="58" fillId="0" borderId="0"/>
  </cellStyleXfs>
  <cellXfs count="898">
    <xf numFmtId="0" fontId="0" fillId="0" borderId="0" xfId="0"/>
    <xf numFmtId="0" fontId="0" fillId="0" borderId="0" xfId="0" applyAlignment="1">
      <alignment horizontal="center"/>
    </xf>
    <xf numFmtId="165" fontId="0" fillId="0" borderId="0" xfId="0" applyNumberFormat="1" applyAlignment="1">
      <alignment horizontal="center"/>
    </xf>
    <xf numFmtId="11" fontId="0" fillId="0" borderId="0" xfId="0" applyNumberFormat="1"/>
    <xf numFmtId="1" fontId="0" fillId="0" borderId="0" xfId="0" applyNumberFormat="1" applyAlignment="1">
      <alignment horizontal="center"/>
    </xf>
    <xf numFmtId="11" fontId="0" fillId="0" borderId="0" xfId="0" applyNumberFormat="1" applyAlignment="1">
      <alignment horizontal="center"/>
    </xf>
    <xf numFmtId="9" fontId="58" fillId="0" borderId="0" xfId="637" applyFont="1"/>
    <xf numFmtId="2" fontId="0" fillId="0" borderId="0" xfId="0" applyNumberFormat="1" applyAlignment="1">
      <alignment horizontal="center"/>
    </xf>
    <xf numFmtId="9" fontId="58" fillId="0" borderId="0" xfId="637" applyFont="1" applyBorder="1"/>
    <xf numFmtId="0" fontId="0" fillId="9" borderId="0" xfId="0" applyFill="1"/>
    <xf numFmtId="0" fontId="67" fillId="0" borderId="0" xfId="0" applyFont="1"/>
    <xf numFmtId="11" fontId="67" fillId="0" borderId="0" xfId="0" applyNumberFormat="1" applyFont="1"/>
    <xf numFmtId="0" fontId="68" fillId="0" borderId="0" xfId="0" applyFont="1" applyAlignment="1">
      <alignment horizontal="center"/>
    </xf>
    <xf numFmtId="0" fontId="65" fillId="0" borderId="0" xfId="0" applyFont="1" applyAlignment="1">
      <alignment horizontal="center"/>
    </xf>
    <xf numFmtId="11" fontId="65" fillId="0" borderId="0" xfId="0" applyNumberFormat="1" applyFont="1" applyAlignment="1">
      <alignment horizontal="center"/>
    </xf>
    <xf numFmtId="2" fontId="0" fillId="0" borderId="0" xfId="0" applyNumberFormat="1"/>
    <xf numFmtId="1" fontId="0" fillId="0" borderId="0" xfId="0" applyNumberFormat="1"/>
    <xf numFmtId="0" fontId="69" fillId="0" borderId="0" xfId="0" applyFont="1"/>
    <xf numFmtId="0" fontId="0" fillId="0" borderId="0" xfId="0" applyAlignment="1">
      <alignment horizontal="left"/>
    </xf>
    <xf numFmtId="0" fontId="0" fillId="0" borderId="1" xfId="0" applyBorder="1"/>
    <xf numFmtId="9" fontId="58" fillId="0" borderId="0" xfId="637" applyFont="1" applyBorder="1" applyAlignment="1">
      <alignment horizontal="center"/>
    </xf>
    <xf numFmtId="11" fontId="0" fillId="9" borderId="0" xfId="0" applyNumberFormat="1" applyFill="1"/>
    <xf numFmtId="0" fontId="0" fillId="9" borderId="0" xfId="0" applyFill="1" applyAlignment="1">
      <alignment horizontal="center"/>
    </xf>
    <xf numFmtId="9" fontId="58" fillId="0" borderId="0" xfId="637" applyFont="1" applyFill="1" applyAlignment="1">
      <alignment horizontal="center"/>
    </xf>
    <xf numFmtId="0" fontId="70" fillId="0" borderId="0" xfId="43" applyFont="1"/>
    <xf numFmtId="0" fontId="71" fillId="0" borderId="0" xfId="43" applyFont="1"/>
    <xf numFmtId="166" fontId="71" fillId="0" borderId="0" xfId="43" applyNumberFormat="1" applyFont="1" applyAlignment="1">
      <alignment horizontal="center"/>
    </xf>
    <xf numFmtId="165" fontId="71" fillId="0" borderId="0" xfId="43" applyNumberFormat="1" applyFont="1" applyAlignment="1">
      <alignment horizontal="center"/>
    </xf>
    <xf numFmtId="165" fontId="70" fillId="0" borderId="0" xfId="43" applyNumberFormat="1" applyFont="1" applyAlignment="1">
      <alignment horizontal="center"/>
    </xf>
    <xf numFmtId="0" fontId="71" fillId="0" borderId="2" xfId="43" applyFont="1" applyBorder="1"/>
    <xf numFmtId="165" fontId="71" fillId="0" borderId="2" xfId="43" applyNumberFormat="1" applyFont="1" applyBorder="1" applyAlignment="1">
      <alignment horizontal="center"/>
    </xf>
    <xf numFmtId="0" fontId="71" fillId="0" borderId="2" xfId="43" applyFont="1" applyBorder="1" applyAlignment="1">
      <alignment horizontal="right"/>
    </xf>
    <xf numFmtId="9" fontId="71" fillId="0" borderId="2" xfId="43" applyNumberFormat="1" applyFont="1" applyBorder="1" applyAlignment="1">
      <alignment horizontal="center"/>
    </xf>
    <xf numFmtId="165" fontId="71" fillId="0" borderId="3" xfId="43" applyNumberFormat="1" applyFont="1" applyBorder="1" applyAlignment="1">
      <alignment horizontal="center"/>
    </xf>
    <xf numFmtId="0" fontId="70" fillId="0" borderId="2" xfId="43" applyFont="1" applyBorder="1"/>
    <xf numFmtId="0" fontId="70" fillId="0" borderId="0" xfId="43" applyFont="1" applyAlignment="1">
      <alignment wrapText="1"/>
    </xf>
    <xf numFmtId="0" fontId="10" fillId="0" borderId="0" xfId="7"/>
    <xf numFmtId="0" fontId="10" fillId="0" borderId="0" xfId="7" applyAlignment="1">
      <alignment horizontal="center"/>
    </xf>
    <xf numFmtId="0" fontId="72" fillId="0" borderId="0" xfId="43" applyFont="1" applyAlignment="1">
      <alignment horizontal="center"/>
    </xf>
    <xf numFmtId="0" fontId="71" fillId="0" borderId="0" xfId="43" applyFont="1" applyAlignment="1">
      <alignment horizontal="center" wrapText="1"/>
    </xf>
    <xf numFmtId="11" fontId="70" fillId="0" borderId="0" xfId="43" applyNumberFormat="1" applyFont="1" applyAlignment="1">
      <alignment horizontal="center"/>
    </xf>
    <xf numFmtId="1" fontId="71" fillId="0" borderId="0" xfId="43" applyNumberFormat="1" applyFont="1" applyAlignment="1">
      <alignment horizontal="center"/>
    </xf>
    <xf numFmtId="11" fontId="70" fillId="0" borderId="2" xfId="43" applyNumberFormat="1" applyFont="1" applyBorder="1" applyAlignment="1">
      <alignment horizontal="center"/>
    </xf>
    <xf numFmtId="0" fontId="71" fillId="0" borderId="4" xfId="43" applyFont="1" applyBorder="1"/>
    <xf numFmtId="173" fontId="71" fillId="2" borderId="4" xfId="43" applyNumberFormat="1" applyFont="1" applyFill="1" applyBorder="1" applyAlignment="1">
      <alignment horizontal="center"/>
    </xf>
    <xf numFmtId="173" fontId="71" fillId="0" borderId="0" xfId="43" applyNumberFormat="1" applyFont="1" applyAlignment="1">
      <alignment horizontal="center"/>
    </xf>
    <xf numFmtId="11" fontId="70" fillId="0" borderId="0" xfId="43" applyNumberFormat="1" applyFont="1"/>
    <xf numFmtId="0" fontId="61" fillId="0" borderId="0" xfId="4"/>
    <xf numFmtId="10" fontId="0" fillId="0" borderId="0" xfId="0" applyNumberFormat="1"/>
    <xf numFmtId="9" fontId="58" fillId="10" borderId="0" xfId="637" applyFont="1" applyFill="1"/>
    <xf numFmtId="9" fontId="65" fillId="0" borderId="0" xfId="637" applyFont="1" applyFill="1" applyAlignment="1">
      <alignment horizontal="center"/>
    </xf>
    <xf numFmtId="9" fontId="58" fillId="11" borderId="0" xfId="637" applyFont="1" applyFill="1"/>
    <xf numFmtId="9" fontId="58" fillId="9" borderId="0" xfId="637" applyFont="1" applyFill="1"/>
    <xf numFmtId="9" fontId="58" fillId="12" borderId="0" xfId="637" applyFont="1" applyFill="1"/>
    <xf numFmtId="9" fontId="58" fillId="13" borderId="0" xfId="637" applyFont="1" applyFill="1"/>
    <xf numFmtId="9" fontId="58" fillId="14" borderId="0" xfId="637" applyFont="1" applyFill="1"/>
    <xf numFmtId="9" fontId="58" fillId="15" borderId="0" xfId="637" applyFont="1" applyFill="1"/>
    <xf numFmtId="172" fontId="58" fillId="0" borderId="0" xfId="637" applyNumberFormat="1" applyFont="1"/>
    <xf numFmtId="1" fontId="58" fillId="16" borderId="0" xfId="637" applyNumberFormat="1" applyFont="1" applyFill="1"/>
    <xf numFmtId="169" fontId="58" fillId="14" borderId="0" xfId="637" applyNumberFormat="1" applyFont="1" applyFill="1"/>
    <xf numFmtId="168" fontId="58" fillId="14" borderId="0" xfId="637" applyNumberFormat="1" applyFont="1" applyFill="1"/>
    <xf numFmtId="11" fontId="58" fillId="0" borderId="0" xfId="637" applyNumberFormat="1" applyFont="1" applyAlignment="1">
      <alignment horizontal="center"/>
    </xf>
    <xf numFmtId="11" fontId="0" fillId="0" borderId="2" xfId="0" applyNumberFormat="1" applyBorder="1"/>
    <xf numFmtId="0" fontId="73" fillId="0" borderId="0" xfId="0" applyFont="1"/>
    <xf numFmtId="2" fontId="0" fillId="0" borderId="0" xfId="0" applyNumberFormat="1" applyAlignment="1">
      <alignment horizontal="right"/>
    </xf>
    <xf numFmtId="0" fontId="0" fillId="0" borderId="0" xfId="0" quotePrefix="1" applyAlignment="1">
      <alignment horizontal="right"/>
    </xf>
    <xf numFmtId="0" fontId="74" fillId="0" borderId="0" xfId="0" applyFont="1"/>
    <xf numFmtId="166" fontId="71" fillId="0" borderId="2" xfId="43" applyNumberFormat="1" applyFont="1" applyBorder="1" applyAlignment="1">
      <alignment horizontal="center"/>
    </xf>
    <xf numFmtId="11" fontId="58" fillId="0" borderId="0" xfId="637" applyNumberFormat="1" applyFont="1"/>
    <xf numFmtId="11" fontId="0" fillId="0" borderId="1" xfId="0" applyNumberFormat="1" applyBorder="1" applyAlignment="1">
      <alignment horizontal="center"/>
    </xf>
    <xf numFmtId="2" fontId="0" fillId="0" borderId="1" xfId="0" applyNumberFormat="1" applyBorder="1" applyAlignment="1">
      <alignment horizontal="center"/>
    </xf>
    <xf numFmtId="0" fontId="0" fillId="0" borderId="1" xfId="0" applyBorder="1" applyAlignment="1">
      <alignment horizontal="center"/>
    </xf>
    <xf numFmtId="165" fontId="0" fillId="0" borderId="1" xfId="0" applyNumberFormat="1" applyBorder="1" applyAlignment="1">
      <alignment horizontal="center"/>
    </xf>
    <xf numFmtId="2" fontId="75" fillId="0" borderId="1" xfId="0" applyNumberFormat="1" applyFont="1" applyBorder="1" applyAlignment="1">
      <alignment horizontal="center"/>
    </xf>
    <xf numFmtId="1" fontId="70" fillId="0" borderId="0" xfId="43" applyNumberFormat="1" applyFont="1"/>
    <xf numFmtId="11" fontId="71" fillId="0" borderId="0" xfId="43" applyNumberFormat="1" applyFont="1"/>
    <xf numFmtId="0" fontId="65" fillId="0" borderId="0" xfId="0" applyFont="1" applyAlignment="1">
      <alignment vertical="center" wrapText="1"/>
    </xf>
    <xf numFmtId="1" fontId="67" fillId="0" borderId="0" xfId="0" applyNumberFormat="1" applyFont="1" applyAlignment="1">
      <alignment horizontal="left"/>
    </xf>
    <xf numFmtId="1" fontId="67" fillId="0" borderId="0" xfId="2" applyNumberFormat="1" applyFont="1" applyFill="1" applyAlignment="1">
      <alignment horizontal="right"/>
    </xf>
    <xf numFmtId="1" fontId="67" fillId="0" borderId="0" xfId="2" applyNumberFormat="1" applyFont="1" applyFill="1" applyAlignment="1">
      <alignment horizontal="left"/>
    </xf>
    <xf numFmtId="167" fontId="58" fillId="0" borderId="0" xfId="2" applyNumberFormat="1" applyFont="1" applyAlignment="1">
      <alignment horizontal="center"/>
    </xf>
    <xf numFmtId="11" fontId="67" fillId="0" borderId="0" xfId="0" applyNumberFormat="1" applyFont="1" applyAlignment="1">
      <alignment horizontal="right"/>
    </xf>
    <xf numFmtId="1" fontId="67" fillId="0" borderId="0" xfId="0" applyNumberFormat="1" applyFont="1"/>
    <xf numFmtId="9" fontId="58" fillId="17" borderId="0" xfId="637" applyFont="1" applyFill="1"/>
    <xf numFmtId="10" fontId="58" fillId="14" borderId="0" xfId="637" applyNumberFormat="1" applyFont="1" applyFill="1"/>
    <xf numFmtId="166" fontId="58" fillId="14" borderId="0" xfId="637" applyNumberFormat="1" applyFont="1" applyFill="1"/>
    <xf numFmtId="171" fontId="58" fillId="14" borderId="0" xfId="637" applyNumberFormat="1" applyFont="1" applyFill="1"/>
    <xf numFmtId="11" fontId="58" fillId="14" borderId="0" xfId="637" applyNumberFormat="1" applyFont="1" applyFill="1"/>
    <xf numFmtId="2" fontId="65" fillId="0" borderId="0" xfId="0" applyNumberFormat="1" applyFont="1" applyAlignment="1">
      <alignment horizontal="center"/>
    </xf>
    <xf numFmtId="11" fontId="0" fillId="9" borderId="0" xfId="0" applyNumberFormat="1" applyFill="1" applyAlignment="1">
      <alignment horizontal="left"/>
    </xf>
    <xf numFmtId="0" fontId="0" fillId="13" borderId="0" xfId="0" applyFill="1"/>
    <xf numFmtId="0" fontId="0" fillId="13" borderId="0" xfId="0" applyFill="1" applyAlignment="1">
      <alignment horizontal="center"/>
    </xf>
    <xf numFmtId="11" fontId="0" fillId="13" borderId="0" xfId="0" applyNumberFormat="1" applyFill="1"/>
    <xf numFmtId="0" fontId="0" fillId="11" borderId="0" xfId="0" applyFill="1"/>
    <xf numFmtId="0" fontId="0" fillId="11" borderId="0" xfId="0" applyFill="1" applyAlignment="1">
      <alignment horizontal="center"/>
    </xf>
    <xf numFmtId="11" fontId="0" fillId="11" borderId="0" xfId="0" applyNumberFormat="1" applyFill="1"/>
    <xf numFmtId="0" fontId="0" fillId="16" borderId="0" xfId="0" applyFill="1"/>
    <xf numFmtId="0" fontId="0" fillId="16" borderId="0" xfId="0" applyFill="1" applyAlignment="1">
      <alignment horizontal="center"/>
    </xf>
    <xf numFmtId="11" fontId="0" fillId="16" borderId="0" xfId="0" applyNumberFormat="1" applyFill="1"/>
    <xf numFmtId="170" fontId="0" fillId="16" borderId="0" xfId="0" applyNumberFormat="1" applyFill="1"/>
    <xf numFmtId="2" fontId="0" fillId="16" borderId="0" xfId="0" applyNumberFormat="1" applyFill="1"/>
    <xf numFmtId="0" fontId="0" fillId="14" borderId="0" xfId="0" applyFill="1"/>
    <xf numFmtId="0" fontId="0" fillId="14" borderId="0" xfId="0" applyFill="1" applyAlignment="1">
      <alignment horizontal="center"/>
    </xf>
    <xf numFmtId="11" fontId="0" fillId="14" borderId="0" xfId="0" applyNumberFormat="1" applyFill="1"/>
    <xf numFmtId="0" fontId="0" fillId="15" borderId="0" xfId="0" applyFill="1"/>
    <xf numFmtId="0" fontId="0" fillId="15" borderId="0" xfId="0" applyFill="1" applyAlignment="1">
      <alignment horizontal="center"/>
    </xf>
    <xf numFmtId="11" fontId="0" fillId="15" borderId="0" xfId="0" applyNumberFormat="1" applyFill="1"/>
    <xf numFmtId="0" fontId="0" fillId="17" borderId="0" xfId="0" applyFill="1"/>
    <xf numFmtId="0" fontId="0" fillId="17" borderId="0" xfId="0" applyFill="1" applyAlignment="1">
      <alignment horizontal="center"/>
    </xf>
    <xf numFmtId="11" fontId="0" fillId="17" borderId="0" xfId="0" applyNumberFormat="1" applyFill="1"/>
    <xf numFmtId="2" fontId="0" fillId="17" borderId="0" xfId="0" applyNumberFormat="1" applyFill="1"/>
    <xf numFmtId="0" fontId="0" fillId="17" borderId="0" xfId="0" applyFill="1" applyAlignment="1">
      <alignment horizontal="left"/>
    </xf>
    <xf numFmtId="0" fontId="0" fillId="10" borderId="0" xfId="0" applyFill="1"/>
    <xf numFmtId="0" fontId="0" fillId="10" borderId="0" xfId="0" applyFill="1" applyAlignment="1">
      <alignment horizontal="center"/>
    </xf>
    <xf numFmtId="11" fontId="0" fillId="10" borderId="0" xfId="0" applyNumberFormat="1" applyFill="1"/>
    <xf numFmtId="0" fontId="0" fillId="12" borderId="0" xfId="0" applyFill="1"/>
    <xf numFmtId="0" fontId="0" fillId="12" borderId="0" xfId="0" applyFill="1" applyAlignment="1">
      <alignment horizontal="center"/>
    </xf>
    <xf numFmtId="11" fontId="0" fillId="12" borderId="0" xfId="0" applyNumberFormat="1" applyFill="1"/>
    <xf numFmtId="166" fontId="58" fillId="17" borderId="0" xfId="637" applyNumberFormat="1" applyFont="1" applyFill="1"/>
    <xf numFmtId="179" fontId="0" fillId="0" borderId="0" xfId="0" applyNumberFormat="1"/>
    <xf numFmtId="0" fontId="67" fillId="0" borderId="2" xfId="0" applyFont="1" applyBorder="1"/>
    <xf numFmtId="0" fontId="0" fillId="0" borderId="0" xfId="0" applyAlignment="1">
      <alignment horizontal="right"/>
    </xf>
    <xf numFmtId="0" fontId="68" fillId="0" borderId="0" xfId="0" applyFont="1" applyAlignment="1">
      <alignment horizontal="center" wrapText="1"/>
    </xf>
    <xf numFmtId="0" fontId="0" fillId="0" borderId="2" xfId="0" applyBorder="1"/>
    <xf numFmtId="0" fontId="0" fillId="0" borderId="2" xfId="0" applyBorder="1" applyAlignment="1">
      <alignment horizontal="center"/>
    </xf>
    <xf numFmtId="2" fontId="0" fillId="0" borderId="2" xfId="0" applyNumberFormat="1" applyBorder="1"/>
    <xf numFmtId="0" fontId="76" fillId="11" borderId="0" xfId="0" applyFont="1" applyFill="1"/>
    <xf numFmtId="0" fontId="0" fillId="0" borderId="4" xfId="0" applyBorder="1"/>
    <xf numFmtId="0" fontId="65" fillId="0" borderId="3" xfId="0" applyFont="1" applyBorder="1" applyAlignment="1">
      <alignment horizontal="center" vertical="center"/>
    </xf>
    <xf numFmtId="0" fontId="64" fillId="0" borderId="0" xfId="0" applyFont="1"/>
    <xf numFmtId="0" fontId="64" fillId="0" borderId="0" xfId="0" applyFont="1" applyAlignment="1">
      <alignment horizontal="right"/>
    </xf>
    <xf numFmtId="2" fontId="64" fillId="0" borderId="0" xfId="0" applyNumberFormat="1" applyFont="1"/>
    <xf numFmtId="0" fontId="77" fillId="0" borderId="2" xfId="0" applyFont="1" applyBorder="1"/>
    <xf numFmtId="0" fontId="0" fillId="0" borderId="2" xfId="0" applyBorder="1" applyAlignment="1">
      <alignment horizontal="right"/>
    </xf>
    <xf numFmtId="0" fontId="64" fillId="0" borderId="2" xfId="0" applyFont="1" applyBorder="1"/>
    <xf numFmtId="0" fontId="65" fillId="0" borderId="3" xfId="0" applyFont="1" applyBorder="1" applyAlignment="1">
      <alignment vertical="center"/>
    </xf>
    <xf numFmtId="174" fontId="0" fillId="0" borderId="0" xfId="0" applyNumberFormat="1" applyAlignment="1">
      <alignment horizontal="center"/>
    </xf>
    <xf numFmtId="11" fontId="0" fillId="0" borderId="2" xfId="0" applyNumberFormat="1" applyBorder="1" applyAlignment="1">
      <alignment horizontal="center"/>
    </xf>
    <xf numFmtId="0" fontId="65" fillId="0" borderId="0" xfId="0" applyFont="1" applyAlignment="1">
      <alignment horizontal="left" vertical="center"/>
    </xf>
    <xf numFmtId="0" fontId="65" fillId="0" borderId="0" xfId="0" applyFont="1" applyAlignment="1">
      <alignment vertical="center"/>
    </xf>
    <xf numFmtId="174" fontId="0" fillId="0" borderId="0" xfId="0" applyNumberFormat="1"/>
    <xf numFmtId="0" fontId="68" fillId="0" borderId="3" xfId="0" applyFont="1" applyBorder="1" applyAlignment="1">
      <alignment horizontal="center" vertical="center"/>
    </xf>
    <xf numFmtId="11" fontId="67" fillId="0" borderId="0" xfId="0" applyNumberFormat="1" applyFont="1" applyAlignment="1">
      <alignment horizontal="left"/>
    </xf>
    <xf numFmtId="175" fontId="0" fillId="0" borderId="2" xfId="0" applyNumberFormat="1" applyBorder="1"/>
    <xf numFmtId="49" fontId="0" fillId="0" borderId="0" xfId="0" applyNumberFormat="1" applyAlignment="1">
      <alignment horizontal="left"/>
    </xf>
    <xf numFmtId="49" fontId="0" fillId="0" borderId="0" xfId="0" applyNumberFormat="1"/>
    <xf numFmtId="169" fontId="58" fillId="0" borderId="0" xfId="637" applyNumberFormat="1" applyFont="1" applyAlignment="1">
      <alignment horizontal="center"/>
    </xf>
    <xf numFmtId="0" fontId="78" fillId="0" borderId="4" xfId="0" applyFont="1" applyBorder="1" applyAlignment="1">
      <alignment horizontal="center" wrapText="1"/>
    </xf>
    <xf numFmtId="0" fontId="77" fillId="0" borderId="2" xfId="0" applyFont="1" applyBorder="1" applyAlignment="1">
      <alignment horizontal="center"/>
    </xf>
    <xf numFmtId="0" fontId="77" fillId="0" borderId="2" xfId="0" applyFont="1" applyBorder="1" applyAlignment="1">
      <alignment horizontal="center" wrapText="1"/>
    </xf>
    <xf numFmtId="0" fontId="79" fillId="0" borderId="0" xfId="0" applyFont="1" applyAlignment="1">
      <alignment vertical="top"/>
    </xf>
    <xf numFmtId="0" fontId="77" fillId="0" borderId="0" xfId="0" applyFont="1" applyAlignment="1">
      <alignment horizontal="left" vertical="center"/>
    </xf>
    <xf numFmtId="0" fontId="0" fillId="0" borderId="5" xfId="0" applyBorder="1"/>
    <xf numFmtId="11" fontId="0" fillId="0" borderId="5" xfId="0" applyNumberFormat="1" applyBorder="1" applyAlignment="1">
      <alignment horizontal="center"/>
    </xf>
    <xf numFmtId="165" fontId="0" fillId="0" borderId="5" xfId="0" applyNumberFormat="1" applyBorder="1" applyAlignment="1">
      <alignment horizontal="center"/>
    </xf>
    <xf numFmtId="2" fontId="0" fillId="0" borderId="5" xfId="0" applyNumberFormat="1" applyBorder="1" applyAlignment="1">
      <alignment horizontal="center"/>
    </xf>
    <xf numFmtId="0" fontId="65" fillId="0" borderId="2" xfId="0" applyFont="1" applyBorder="1"/>
    <xf numFmtId="176" fontId="0" fillId="14" borderId="0" xfId="0" applyNumberFormat="1" applyFill="1"/>
    <xf numFmtId="1" fontId="0" fillId="14" borderId="0" xfId="0" applyNumberFormat="1" applyFill="1"/>
    <xf numFmtId="0" fontId="77" fillId="0" borderId="3" xfId="0" applyFont="1" applyBorder="1" applyAlignment="1">
      <alignment horizontal="center" vertical="center" wrapText="1"/>
    </xf>
    <xf numFmtId="2" fontId="58" fillId="0" borderId="0" xfId="637" applyNumberFormat="1" applyFont="1" applyAlignment="1">
      <alignment horizontal="center"/>
    </xf>
    <xf numFmtId="10" fontId="0" fillId="0" borderId="0" xfId="0" applyNumberFormat="1" applyAlignment="1">
      <alignment horizontal="center"/>
    </xf>
    <xf numFmtId="168" fontId="0" fillId="0" borderId="0" xfId="0" applyNumberFormat="1" applyAlignment="1">
      <alignment horizontal="center"/>
    </xf>
    <xf numFmtId="171" fontId="58" fillId="0" borderId="0" xfId="637" applyNumberFormat="1" applyFont="1" applyAlignment="1">
      <alignment horizontal="center"/>
    </xf>
    <xf numFmtId="171" fontId="0" fillId="0" borderId="0" xfId="0" applyNumberFormat="1" applyAlignment="1">
      <alignment horizontal="center"/>
    </xf>
    <xf numFmtId="172" fontId="58" fillId="0" borderId="0" xfId="637" applyNumberFormat="1" applyFont="1" applyAlignment="1">
      <alignment horizontal="center"/>
    </xf>
    <xf numFmtId="168" fontId="58" fillId="0" borderId="2" xfId="637" applyNumberFormat="1" applyFont="1" applyBorder="1"/>
    <xf numFmtId="11" fontId="65" fillId="18" borderId="2" xfId="0" applyNumberFormat="1" applyFont="1" applyFill="1" applyBorder="1"/>
    <xf numFmtId="0" fontId="65" fillId="0" borderId="0" xfId="0" applyFont="1"/>
    <xf numFmtId="165" fontId="80" fillId="0" borderId="3" xfId="43" applyNumberFormat="1" applyFont="1" applyBorder="1" applyAlignment="1">
      <alignment horizontal="center" vertical="center" wrapText="1"/>
    </xf>
    <xf numFmtId="0" fontId="80" fillId="0" borderId="3" xfId="43" applyFont="1" applyBorder="1" applyAlignment="1">
      <alignment horizontal="center" vertical="center" wrapText="1"/>
    </xf>
    <xf numFmtId="0" fontId="14" fillId="0" borderId="4" xfId="7" applyFont="1" applyBorder="1"/>
    <xf numFmtId="0" fontId="10" fillId="0" borderId="2" xfId="7" applyBorder="1"/>
    <xf numFmtId="166" fontId="58" fillId="0" borderId="2" xfId="638" applyNumberFormat="1" applyFont="1" applyBorder="1" applyAlignment="1">
      <alignment horizontal="center"/>
    </xf>
    <xf numFmtId="170" fontId="71" fillId="0" borderId="0" xfId="43" applyNumberFormat="1" applyFont="1" applyAlignment="1">
      <alignment horizontal="center"/>
    </xf>
    <xf numFmtId="170" fontId="71" fillId="0" borderId="2" xfId="43" applyNumberFormat="1" applyFont="1" applyBorder="1" applyAlignment="1">
      <alignment horizontal="center"/>
    </xf>
    <xf numFmtId="11" fontId="70" fillId="0" borderId="0" xfId="43" applyNumberFormat="1" applyFont="1" applyAlignment="1">
      <alignment horizontal="left"/>
    </xf>
    <xf numFmtId="0" fontId="70" fillId="0" borderId="0" xfId="43" applyFont="1" applyAlignment="1">
      <alignment horizontal="left"/>
    </xf>
    <xf numFmtId="11" fontId="70" fillId="0" borderId="2" xfId="43" applyNumberFormat="1" applyFont="1" applyBorder="1" applyAlignment="1">
      <alignment horizontal="left"/>
    </xf>
    <xf numFmtId="1" fontId="70" fillId="0" borderId="0" xfId="43" applyNumberFormat="1" applyFont="1" applyAlignment="1">
      <alignment horizontal="center"/>
    </xf>
    <xf numFmtId="1" fontId="70" fillId="0" borderId="2" xfId="43" applyNumberFormat="1" applyFont="1" applyBorder="1" applyAlignment="1">
      <alignment horizontal="center"/>
    </xf>
    <xf numFmtId="49" fontId="70" fillId="0" borderId="0" xfId="43" applyNumberFormat="1" applyFont="1" applyAlignment="1">
      <alignment horizontal="left"/>
    </xf>
    <xf numFmtId="11" fontId="71" fillId="0" borderId="0" xfId="43" applyNumberFormat="1" applyFont="1" applyAlignment="1">
      <alignment horizontal="center"/>
    </xf>
    <xf numFmtId="0" fontId="81" fillId="0" borderId="0" xfId="0" applyFont="1" applyAlignment="1">
      <alignment vertical="center"/>
    </xf>
    <xf numFmtId="0" fontId="82" fillId="0" borderId="0" xfId="0" applyFont="1" applyAlignment="1">
      <alignment horizontal="center" vertical="center" wrapText="1"/>
    </xf>
    <xf numFmtId="0" fontId="70" fillId="0" borderId="0" xfId="43" applyFont="1" applyAlignment="1">
      <alignment horizontal="right"/>
    </xf>
    <xf numFmtId="0" fontId="71" fillId="0" borderId="0" xfId="43" applyFont="1" applyAlignment="1">
      <alignment horizontal="right"/>
    </xf>
    <xf numFmtId="0" fontId="14" fillId="0" borderId="2" xfId="7" applyFont="1" applyBorder="1" applyAlignment="1">
      <alignment horizontal="center"/>
    </xf>
    <xf numFmtId="0" fontId="80" fillId="0" borderId="3" xfId="43" applyFont="1" applyBorder="1" applyAlignment="1">
      <alignment horizontal="center"/>
    </xf>
    <xf numFmtId="0" fontId="80" fillId="0" borderId="3" xfId="43" applyFont="1" applyBorder="1"/>
    <xf numFmtId="0" fontId="80" fillId="0" borderId="2" xfId="43" applyFont="1" applyBorder="1" applyAlignment="1">
      <alignment horizontal="center" vertical="center" wrapText="1"/>
    </xf>
    <xf numFmtId="0" fontId="83" fillId="0" borderId="4" xfId="43" applyFont="1" applyBorder="1" applyAlignment="1">
      <alignment horizontal="center"/>
    </xf>
    <xf numFmtId="0" fontId="84" fillId="0" borderId="2" xfId="43" applyFont="1" applyBorder="1" applyAlignment="1">
      <alignment horizontal="center"/>
    </xf>
    <xf numFmtId="0" fontId="0" fillId="18" borderId="0" xfId="0" applyFill="1"/>
    <xf numFmtId="9" fontId="0" fillId="0" borderId="0" xfId="0" applyNumberFormat="1" applyAlignment="1">
      <alignment horizontal="center"/>
    </xf>
    <xf numFmtId="166" fontId="58" fillId="0" borderId="2" xfId="637" applyNumberFormat="1" applyFont="1" applyBorder="1" applyAlignment="1">
      <alignment horizontal="center"/>
    </xf>
    <xf numFmtId="9" fontId="58" fillId="0" borderId="2" xfId="637" applyFont="1" applyBorder="1" applyAlignment="1">
      <alignment horizontal="center"/>
    </xf>
    <xf numFmtId="9" fontId="0" fillId="0" borderId="2" xfId="0" applyNumberFormat="1" applyBorder="1" applyAlignment="1">
      <alignment horizontal="center"/>
    </xf>
    <xf numFmtId="11" fontId="0" fillId="0" borderId="6" xfId="0" applyNumberFormat="1" applyBorder="1" applyAlignment="1">
      <alignment horizontal="center"/>
    </xf>
    <xf numFmtId="11" fontId="0" fillId="0" borderId="7" xfId="0" applyNumberFormat="1" applyBorder="1" applyAlignment="1">
      <alignment horizontal="center"/>
    </xf>
    <xf numFmtId="11" fontId="0" fillId="0" borderId="8" xfId="0" applyNumberFormat="1" applyBorder="1" applyAlignment="1">
      <alignment horizontal="center"/>
    </xf>
    <xf numFmtId="11" fontId="0" fillId="0" borderId="9" xfId="0" applyNumberFormat="1" applyBorder="1" applyAlignment="1">
      <alignment horizontal="center"/>
    </xf>
    <xf numFmtId="9" fontId="58" fillId="0" borderId="8" xfId="637" quotePrefix="1" applyFont="1" applyBorder="1" applyAlignment="1">
      <alignment horizontal="center"/>
    </xf>
    <xf numFmtId="9" fontId="0" fillId="0" borderId="6" xfId="0" applyNumberFormat="1" applyBorder="1" applyAlignment="1">
      <alignment horizontal="center"/>
    </xf>
    <xf numFmtId="9" fontId="58" fillId="0" borderId="8" xfId="637" applyFont="1" applyBorder="1" applyAlignment="1">
      <alignment horizontal="center"/>
    </xf>
    <xf numFmtId="9" fontId="58" fillId="0" borderId="9" xfId="637" applyFont="1" applyBorder="1" applyAlignment="1">
      <alignment horizontal="center"/>
    </xf>
    <xf numFmtId="9" fontId="0" fillId="0" borderId="7" xfId="0" applyNumberFormat="1" applyBorder="1" applyAlignment="1">
      <alignment horizontal="center"/>
    </xf>
    <xf numFmtId="0" fontId="65" fillId="0" borderId="4" xfId="0" applyFont="1" applyBorder="1"/>
    <xf numFmtId="0" fontId="65" fillId="0" borderId="9" xfId="0" applyFont="1" applyBorder="1" applyAlignment="1">
      <alignment horizontal="center"/>
    </xf>
    <xf numFmtId="0" fontId="65" fillId="0" borderId="2" xfId="0" applyFont="1" applyBorder="1" applyAlignment="1">
      <alignment horizontal="center"/>
    </xf>
    <xf numFmtId="0" fontId="65" fillId="0" borderId="7" xfId="0" applyFont="1" applyBorder="1" applyAlignment="1">
      <alignment horizontal="center"/>
    </xf>
    <xf numFmtId="0" fontId="85" fillId="0" borderId="0" xfId="0" applyFont="1" applyAlignment="1">
      <alignment horizontal="left"/>
    </xf>
    <xf numFmtId="0" fontId="0" fillId="19" borderId="0" xfId="0" applyFill="1"/>
    <xf numFmtId="11" fontId="0" fillId="19" borderId="0" xfId="0" applyNumberFormat="1" applyFill="1" applyAlignment="1">
      <alignment horizontal="center"/>
    </xf>
    <xf numFmtId="0" fontId="70" fillId="20" borderId="0" xfId="43" applyFont="1" applyFill="1"/>
    <xf numFmtId="0" fontId="71" fillId="20" borderId="0" xfId="43" applyFont="1" applyFill="1"/>
    <xf numFmtId="0" fontId="86" fillId="20" borderId="0" xfId="43" applyFont="1" applyFill="1"/>
    <xf numFmtId="0" fontId="69" fillId="20" borderId="0" xfId="43" applyFont="1" applyFill="1"/>
    <xf numFmtId="0" fontId="85" fillId="18" borderId="0" xfId="0" applyFont="1" applyFill="1"/>
    <xf numFmtId="0" fontId="87" fillId="0" borderId="0" xfId="0" applyFont="1"/>
    <xf numFmtId="0" fontId="87" fillId="0" borderId="0" xfId="0" applyFont="1" applyAlignment="1">
      <alignment horizontal="center"/>
    </xf>
    <xf numFmtId="0" fontId="17" fillId="21" borderId="9" xfId="520" applyFont="1" applyFill="1" applyBorder="1"/>
    <xf numFmtId="11" fontId="36" fillId="21" borderId="2" xfId="0" applyNumberFormat="1" applyFont="1" applyFill="1" applyBorder="1" applyAlignment="1">
      <alignment horizontal="center"/>
    </xf>
    <xf numFmtId="166" fontId="36" fillId="21" borderId="7" xfId="637" applyNumberFormat="1" applyFont="1" applyFill="1" applyBorder="1" applyAlignment="1">
      <alignment horizontal="center"/>
    </xf>
    <xf numFmtId="0" fontId="17" fillId="0" borderId="0" xfId="520" applyFont="1"/>
    <xf numFmtId="11" fontId="36" fillId="0" borderId="0" xfId="0" applyNumberFormat="1" applyFont="1" applyAlignment="1">
      <alignment horizontal="center"/>
    </xf>
    <xf numFmtId="1" fontId="87" fillId="0" borderId="0" xfId="0" applyNumberFormat="1" applyFont="1"/>
    <xf numFmtId="0" fontId="88" fillId="0" borderId="0" xfId="0" applyFont="1" applyAlignment="1">
      <alignment horizontal="center"/>
    </xf>
    <xf numFmtId="0" fontId="87" fillId="21" borderId="0" xfId="0" applyFont="1" applyFill="1" applyAlignment="1">
      <alignment horizontal="center"/>
    </xf>
    <xf numFmtId="11" fontId="87" fillId="21" borderId="0" xfId="0" applyNumberFormat="1" applyFont="1" applyFill="1" applyAlignment="1">
      <alignment horizontal="center"/>
    </xf>
    <xf numFmtId="11" fontId="87" fillId="21" borderId="0" xfId="637" applyNumberFormat="1" applyFont="1" applyFill="1" applyBorder="1" applyAlignment="1">
      <alignment horizontal="center"/>
    </xf>
    <xf numFmtId="1" fontId="87" fillId="21" borderId="0" xfId="0" applyNumberFormat="1" applyFont="1" applyFill="1" applyAlignment="1">
      <alignment horizontal="center"/>
    </xf>
    <xf numFmtId="9" fontId="87" fillId="21" borderId="0" xfId="637" applyFont="1" applyFill="1" applyBorder="1" applyAlignment="1">
      <alignment horizontal="center"/>
    </xf>
    <xf numFmtId="10" fontId="87" fillId="21" borderId="0" xfId="637" applyNumberFormat="1" applyFont="1" applyFill="1" applyBorder="1" applyAlignment="1">
      <alignment horizontal="center"/>
    </xf>
    <xf numFmtId="0" fontId="87" fillId="21" borderId="2" xfId="0" applyFont="1" applyFill="1" applyBorder="1"/>
    <xf numFmtId="0" fontId="87" fillId="0" borderId="0" xfId="0" applyFont="1" applyAlignment="1">
      <alignment horizontal="left"/>
    </xf>
    <xf numFmtId="11" fontId="87" fillId="0" borderId="0" xfId="0" applyNumberFormat="1" applyFont="1" applyAlignment="1">
      <alignment horizontal="center"/>
    </xf>
    <xf numFmtId="11" fontId="87" fillId="0" borderId="0" xfId="0" applyNumberFormat="1" applyFont="1"/>
    <xf numFmtId="2" fontId="87" fillId="0" borderId="0" xfId="0" applyNumberFormat="1" applyFont="1"/>
    <xf numFmtId="9" fontId="87" fillId="0" borderId="0" xfId="637" applyFont="1" applyAlignment="1">
      <alignment horizontal="center"/>
    </xf>
    <xf numFmtId="166" fontId="87" fillId="21" borderId="0" xfId="637" applyNumberFormat="1" applyFont="1" applyFill="1" applyBorder="1" applyAlignment="1">
      <alignment horizontal="center"/>
    </xf>
    <xf numFmtId="0" fontId="87" fillId="21" borderId="0" xfId="0" applyFont="1" applyFill="1"/>
    <xf numFmtId="9" fontId="87" fillId="0" borderId="0" xfId="0" applyNumberFormat="1" applyFont="1"/>
    <xf numFmtId="0" fontId="17" fillId="21" borderId="0" xfId="520" applyFont="1" applyFill="1"/>
    <xf numFmtId="0" fontId="87" fillId="21" borderId="6" xfId="0" applyFont="1" applyFill="1" applyBorder="1" applyAlignment="1">
      <alignment horizontal="center"/>
    </xf>
    <xf numFmtId="0" fontId="87" fillId="21" borderId="2" xfId="0" applyFont="1" applyFill="1" applyBorder="1" applyAlignment="1">
      <alignment horizontal="center"/>
    </xf>
    <xf numFmtId="0" fontId="87" fillId="21" borderId="7" xfId="0" applyFont="1" applyFill="1" applyBorder="1" applyAlignment="1">
      <alignment horizontal="center"/>
    </xf>
    <xf numFmtId="0" fontId="88" fillId="21" borderId="2" xfId="0" applyFont="1" applyFill="1" applyBorder="1" applyAlignment="1">
      <alignment horizontal="center"/>
    </xf>
    <xf numFmtId="0" fontId="87" fillId="21" borderId="0" xfId="0" applyFont="1" applyFill="1" applyAlignment="1">
      <alignment horizontal="left"/>
    </xf>
    <xf numFmtId="0" fontId="87" fillId="21" borderId="2" xfId="0" applyFont="1" applyFill="1" applyBorder="1" applyAlignment="1">
      <alignment horizontal="left"/>
    </xf>
    <xf numFmtId="171" fontId="87" fillId="21" borderId="7" xfId="637" applyNumberFormat="1" applyFont="1" applyFill="1" applyBorder="1" applyAlignment="1">
      <alignment horizontal="center"/>
    </xf>
    <xf numFmtId="168" fontId="87" fillId="21" borderId="0" xfId="637" applyNumberFormat="1" applyFont="1" applyFill="1" applyBorder="1" applyAlignment="1">
      <alignment horizontal="center"/>
    </xf>
    <xf numFmtId="0" fontId="87" fillId="21" borderId="9" xfId="0" applyFont="1" applyFill="1" applyBorder="1" applyAlignment="1">
      <alignment horizontal="center"/>
    </xf>
    <xf numFmtId="11" fontId="88" fillId="0" borderId="0" xfId="0" applyNumberFormat="1" applyFont="1" applyAlignment="1">
      <alignment horizontal="center"/>
    </xf>
    <xf numFmtId="10" fontId="87" fillId="0" borderId="0" xfId="637" applyNumberFormat="1" applyFont="1"/>
    <xf numFmtId="10" fontId="87" fillId="0" borderId="0" xfId="0" applyNumberFormat="1" applyFont="1"/>
    <xf numFmtId="0" fontId="89" fillId="0" borderId="0" xfId="0" applyFont="1" applyAlignment="1">
      <alignment horizontal="left"/>
    </xf>
    <xf numFmtId="0" fontId="0" fillId="0" borderId="3" xfId="0" applyBorder="1" applyAlignment="1">
      <alignment horizontal="center"/>
    </xf>
    <xf numFmtId="9" fontId="58" fillId="0" borderId="0" xfId="637" applyFont="1" applyFill="1"/>
    <xf numFmtId="10" fontId="58" fillId="0" borderId="0" xfId="637" applyNumberFormat="1" applyFont="1" applyFill="1"/>
    <xf numFmtId="1" fontId="58" fillId="0" borderId="0" xfId="637" applyNumberFormat="1" applyFont="1" applyFill="1"/>
    <xf numFmtId="0" fontId="85" fillId="0" borderId="0" xfId="0" applyFont="1" applyAlignment="1">
      <alignment horizontal="left" vertical="center"/>
    </xf>
    <xf numFmtId="0" fontId="85" fillId="0" borderId="0" xfId="0" applyFont="1" applyAlignment="1">
      <alignment vertical="center"/>
    </xf>
    <xf numFmtId="0" fontId="85" fillId="0" borderId="0" xfId="0" applyFont="1" applyAlignment="1">
      <alignment horizontal="center" vertical="center"/>
    </xf>
    <xf numFmtId="11" fontId="85" fillId="0" borderId="0" xfId="0" applyNumberFormat="1" applyFont="1" applyAlignment="1">
      <alignment vertical="center"/>
    </xf>
    <xf numFmtId="9" fontId="85" fillId="0" borderId="0" xfId="637" applyFont="1" applyFill="1" applyAlignment="1">
      <alignment vertical="center"/>
    </xf>
    <xf numFmtId="2" fontId="85" fillId="0" borderId="0" xfId="0" applyNumberFormat="1" applyFont="1" applyAlignment="1">
      <alignment horizontal="center" vertical="center"/>
    </xf>
    <xf numFmtId="11" fontId="85" fillId="0" borderId="0" xfId="0" applyNumberFormat="1" applyFont="1" applyAlignment="1">
      <alignment horizontal="center" vertical="center"/>
    </xf>
    <xf numFmtId="9" fontId="85" fillId="0" borderId="0" xfId="637" applyFont="1" applyFill="1" applyAlignment="1">
      <alignment horizontal="center" vertical="center"/>
    </xf>
    <xf numFmtId="166" fontId="0" fillId="0" borderId="0" xfId="0" applyNumberFormat="1" applyAlignment="1">
      <alignment horizontal="center"/>
    </xf>
    <xf numFmtId="0" fontId="70" fillId="0" borderId="0" xfId="0" applyFont="1"/>
    <xf numFmtId="10" fontId="70" fillId="0" borderId="0" xfId="637" applyNumberFormat="1" applyFont="1" applyAlignment="1">
      <alignment horizontal="center"/>
    </xf>
    <xf numFmtId="0" fontId="68" fillId="0" borderId="3" xfId="0" applyFont="1" applyBorder="1" applyAlignment="1">
      <alignment horizontal="left"/>
    </xf>
    <xf numFmtId="167" fontId="68" fillId="0" borderId="3" xfId="2" applyNumberFormat="1" applyFont="1" applyFill="1" applyBorder="1" applyAlignment="1">
      <alignment horizontal="left"/>
    </xf>
    <xf numFmtId="167" fontId="58" fillId="0" borderId="0" xfId="2" applyNumberFormat="1" applyFont="1" applyBorder="1"/>
    <xf numFmtId="167" fontId="58" fillId="0" borderId="0" xfId="2" applyNumberFormat="1" applyFont="1"/>
    <xf numFmtId="167" fontId="58" fillId="0" borderId="2" xfId="2" applyNumberFormat="1" applyFont="1" applyBorder="1"/>
    <xf numFmtId="0" fontId="0" fillId="0" borderId="3" xfId="0" applyBorder="1"/>
    <xf numFmtId="0" fontId="0" fillId="22" borderId="0" xfId="0" applyFill="1"/>
    <xf numFmtId="167" fontId="58" fillId="22" borderId="0" xfId="2" applyNumberFormat="1" applyFont="1" applyFill="1" applyBorder="1"/>
    <xf numFmtId="11" fontId="0" fillId="22" borderId="0" xfId="0" applyNumberFormat="1" applyFill="1"/>
    <xf numFmtId="167" fontId="58" fillId="22" borderId="0" xfId="2" applyNumberFormat="1" applyFont="1" applyFill="1"/>
    <xf numFmtId="0" fontId="85" fillId="14" borderId="0" xfId="0" applyFont="1" applyFill="1" applyAlignment="1">
      <alignment vertical="center"/>
    </xf>
    <xf numFmtId="11" fontId="0" fillId="15" borderId="2" xfId="0" applyNumberFormat="1" applyFill="1" applyBorder="1"/>
    <xf numFmtId="0" fontId="0" fillId="15" borderId="2" xfId="0" applyFill="1" applyBorder="1"/>
    <xf numFmtId="11" fontId="0" fillId="15" borderId="0" xfId="0" applyNumberFormat="1" applyFill="1" applyAlignment="1">
      <alignment horizontal="left"/>
    </xf>
    <xf numFmtId="1" fontId="0" fillId="15" borderId="0" xfId="0" applyNumberFormat="1" applyFill="1"/>
    <xf numFmtId="174" fontId="0" fillId="15" borderId="2" xfId="0" applyNumberFormat="1" applyFill="1" applyBorder="1"/>
    <xf numFmtId="0" fontId="85" fillId="20" borderId="0" xfId="0" applyFont="1" applyFill="1"/>
    <xf numFmtId="0" fontId="0" fillId="20" borderId="0" xfId="0" applyFill="1"/>
    <xf numFmtId="0" fontId="85" fillId="20" borderId="0" xfId="0" applyFont="1" applyFill="1" applyAlignment="1">
      <alignment horizontal="left"/>
    </xf>
    <xf numFmtId="0" fontId="67" fillId="0" borderId="0" xfId="0" applyFont="1" applyAlignment="1">
      <alignment horizontal="left" vertical="center"/>
    </xf>
    <xf numFmtId="2" fontId="0" fillId="0" borderId="2" xfId="0" applyNumberFormat="1" applyBorder="1" applyAlignment="1">
      <alignment horizontal="center"/>
    </xf>
    <xf numFmtId="0" fontId="85" fillId="0" borderId="0" xfId="0" applyFont="1"/>
    <xf numFmtId="1" fontId="58" fillId="17" borderId="0" xfId="637" applyNumberFormat="1" applyFont="1" applyFill="1"/>
    <xf numFmtId="11" fontId="71" fillId="9" borderId="0" xfId="43" applyNumberFormat="1" applyFont="1" applyFill="1" applyAlignment="1">
      <alignment horizontal="center"/>
    </xf>
    <xf numFmtId="0" fontId="90" fillId="0" borderId="0" xfId="0" applyFont="1" applyAlignment="1">
      <alignment horizontal="left" vertical="center"/>
    </xf>
    <xf numFmtId="0" fontId="91" fillId="0" borderId="0" xfId="0" applyFont="1"/>
    <xf numFmtId="0" fontId="92" fillId="0" borderId="0" xfId="0" applyFont="1" applyAlignment="1">
      <alignment wrapText="1"/>
    </xf>
    <xf numFmtId="0" fontId="93" fillId="0" borderId="0" xfId="0" applyFont="1"/>
    <xf numFmtId="0" fontId="92" fillId="0" borderId="0" xfId="0" applyFont="1" applyAlignment="1">
      <alignment vertical="center"/>
    </xf>
    <xf numFmtId="0" fontId="39" fillId="0" borderId="0" xfId="0" applyFont="1" applyAlignment="1">
      <alignment wrapText="1"/>
    </xf>
    <xf numFmtId="0" fontId="10" fillId="0" borderId="0" xfId="0" applyFont="1"/>
    <xf numFmtId="0" fontId="39" fillId="0" borderId="0" xfId="0" applyFont="1"/>
    <xf numFmtId="11" fontId="0" fillId="9" borderId="0" xfId="0" applyNumberFormat="1" applyFill="1" applyAlignment="1">
      <alignment horizontal="center"/>
    </xf>
    <xf numFmtId="0" fontId="94" fillId="0" borderId="0" xfId="0" applyFont="1"/>
    <xf numFmtId="0" fontId="65" fillId="0" borderId="0" xfId="0" applyFont="1" applyAlignment="1">
      <alignment horizontal="right"/>
    </xf>
    <xf numFmtId="0" fontId="0" fillId="9" borderId="0" xfId="0" applyFill="1" applyAlignment="1">
      <alignment horizontal="right"/>
    </xf>
    <xf numFmtId="0" fontId="0" fillId="16" borderId="0" xfId="0" applyFill="1" applyAlignment="1">
      <alignment horizontal="right"/>
    </xf>
    <xf numFmtId="0" fontId="0" fillId="17" borderId="0" xfId="0" applyFill="1" applyAlignment="1">
      <alignment horizontal="right"/>
    </xf>
    <xf numFmtId="0" fontId="0" fillId="14" borderId="0" xfId="0" applyFill="1" applyAlignment="1">
      <alignment horizontal="right"/>
    </xf>
    <xf numFmtId="0" fontId="0" fillId="15" borderId="0" xfId="0" applyFill="1" applyAlignment="1">
      <alignment horizontal="right"/>
    </xf>
    <xf numFmtId="0" fontId="85" fillId="0" borderId="0" xfId="0" applyFont="1" applyAlignment="1">
      <alignment horizontal="right" vertical="center"/>
    </xf>
    <xf numFmtId="0" fontId="0" fillId="10" borderId="0" xfId="0" applyFill="1" applyAlignment="1">
      <alignment horizontal="right"/>
    </xf>
    <xf numFmtId="0" fontId="0" fillId="13" borderId="0" xfId="0" applyFill="1" applyAlignment="1">
      <alignment horizontal="right"/>
    </xf>
    <xf numFmtId="11" fontId="0" fillId="13" borderId="0" xfId="0" applyNumberFormat="1" applyFill="1" applyAlignment="1">
      <alignment horizontal="right"/>
    </xf>
    <xf numFmtId="0" fontId="0" fillId="11" borderId="0" xfId="0" applyFill="1" applyAlignment="1">
      <alignment horizontal="right"/>
    </xf>
    <xf numFmtId="0" fontId="0" fillId="12" borderId="0" xfId="0" applyFill="1" applyAlignment="1">
      <alignment horizontal="right"/>
    </xf>
    <xf numFmtId="0" fontId="71" fillId="0" borderId="0" xfId="43" applyFont="1" applyAlignment="1">
      <alignment horizontal="left"/>
    </xf>
    <xf numFmtId="0" fontId="70" fillId="9" borderId="0" xfId="43" applyFont="1" applyFill="1"/>
    <xf numFmtId="14" fontId="0" fillId="0" borderId="0" xfId="0" applyNumberFormat="1" applyAlignment="1">
      <alignment horizontal="left"/>
    </xf>
    <xf numFmtId="11" fontId="0" fillId="23" borderId="0" xfId="0" applyNumberFormat="1" applyFill="1" applyAlignment="1">
      <alignment horizontal="center"/>
    </xf>
    <xf numFmtId="3" fontId="87" fillId="0" borderId="0" xfId="0" applyNumberFormat="1" applyFont="1"/>
    <xf numFmtId="3" fontId="0" fillId="0" borderId="0" xfId="0" applyNumberFormat="1"/>
    <xf numFmtId="165" fontId="0" fillId="0" borderId="0" xfId="0" applyNumberFormat="1"/>
    <xf numFmtId="1" fontId="0" fillId="24" borderId="0" xfId="0" applyNumberFormat="1" applyFill="1" applyAlignment="1">
      <alignment horizontal="center"/>
    </xf>
    <xf numFmtId="0" fontId="0" fillId="24" borderId="0" xfId="0" applyFill="1"/>
    <xf numFmtId="0" fontId="67" fillId="0" borderId="2" xfId="0" applyFont="1" applyBorder="1" applyAlignment="1">
      <alignment horizontal="left"/>
    </xf>
    <xf numFmtId="0" fontId="95" fillId="0" borderId="0" xfId="0" applyFont="1" applyAlignment="1">
      <alignment wrapText="1"/>
    </xf>
    <xf numFmtId="0" fontId="96" fillId="0" borderId="0" xfId="0" applyFont="1" applyAlignment="1">
      <alignment horizontal="center" wrapText="1"/>
    </xf>
    <xf numFmtId="0" fontId="95" fillId="0" borderId="0" xfId="0" applyFont="1" applyAlignment="1">
      <alignment horizontal="center" wrapText="1"/>
    </xf>
    <xf numFmtId="0" fontId="76" fillId="0" borderId="0" xfId="0" applyFont="1"/>
    <xf numFmtId="165" fontId="65" fillId="0" borderId="0" xfId="0" applyNumberFormat="1" applyFont="1"/>
    <xf numFmtId="0" fontId="96" fillId="0" borderId="0" xfId="0" applyFont="1"/>
    <xf numFmtId="0" fontId="95" fillId="0" borderId="0" xfId="0" applyFont="1"/>
    <xf numFmtId="174" fontId="67" fillId="0" borderId="0" xfId="0" applyNumberFormat="1" applyFont="1"/>
    <xf numFmtId="1" fontId="67" fillId="0" borderId="0" xfId="0" applyNumberFormat="1" applyFont="1" applyAlignment="1">
      <alignment horizontal="right"/>
    </xf>
    <xf numFmtId="1" fontId="67" fillId="0" borderId="0" xfId="2" applyNumberFormat="1" applyFont="1" applyFill="1" applyBorder="1" applyAlignment="1">
      <alignment horizontal="right"/>
    </xf>
    <xf numFmtId="1" fontId="67" fillId="0" borderId="0" xfId="2" applyNumberFormat="1" applyFont="1" applyFill="1" applyBorder="1" applyAlignment="1">
      <alignment horizontal="left"/>
    </xf>
    <xf numFmtId="11" fontId="67" fillId="0" borderId="0" xfId="2" applyNumberFormat="1" applyFont="1" applyFill="1" applyBorder="1" applyAlignment="1">
      <alignment horizontal="right"/>
    </xf>
    <xf numFmtId="0" fontId="0" fillId="24" borderId="0" xfId="0" applyFill="1" applyAlignment="1">
      <alignment horizontal="center"/>
    </xf>
    <xf numFmtId="0" fontId="67" fillId="0" borderId="0" xfId="0" applyFont="1" applyAlignment="1">
      <alignment horizontal="left"/>
    </xf>
    <xf numFmtId="0" fontId="0" fillId="25" borderId="0" xfId="0" applyFill="1"/>
    <xf numFmtId="179" fontId="67" fillId="0" borderId="0" xfId="0" applyNumberFormat="1" applyFont="1"/>
    <xf numFmtId="11" fontId="0" fillId="24" borderId="0" xfId="0" applyNumberFormat="1" applyFill="1"/>
    <xf numFmtId="9" fontId="67" fillId="0" borderId="0" xfId="637" applyFont="1"/>
    <xf numFmtId="0" fontId="97" fillId="0" borderId="0" xfId="0" applyFont="1"/>
    <xf numFmtId="0" fontId="85" fillId="0" borderId="0" xfId="0" applyFont="1" applyAlignment="1">
      <alignment vertical="top" wrapText="1"/>
    </xf>
    <xf numFmtId="11" fontId="58" fillId="0" borderId="1" xfId="637" applyNumberFormat="1" applyFont="1" applyFill="1" applyBorder="1"/>
    <xf numFmtId="0" fontId="88" fillId="15" borderId="3" xfId="0" applyFont="1" applyFill="1" applyBorder="1" applyAlignment="1">
      <alignment horizontal="center" wrapText="1"/>
    </xf>
    <xf numFmtId="0" fontId="69" fillId="0" borderId="0" xfId="0" applyFont="1" applyAlignment="1">
      <alignment vertical="center"/>
    </xf>
    <xf numFmtId="0" fontId="85" fillId="0" borderId="0" xfId="0" applyFont="1" applyAlignment="1">
      <alignment horizontal="center"/>
    </xf>
    <xf numFmtId="11" fontId="88" fillId="21" borderId="2" xfId="0" applyNumberFormat="1" applyFont="1" applyFill="1" applyBorder="1" applyAlignment="1">
      <alignment horizontal="center"/>
    </xf>
    <xf numFmtId="10" fontId="58" fillId="0" borderId="0" xfId="637" applyNumberFormat="1" applyFont="1"/>
    <xf numFmtId="9" fontId="58" fillId="0" borderId="0" xfId="637" applyFont="1"/>
    <xf numFmtId="9" fontId="0" fillId="0" borderId="0" xfId="0" applyNumberFormat="1"/>
    <xf numFmtId="0" fontId="67" fillId="0" borderId="2" xfId="0" applyFont="1" applyBorder="1" applyAlignment="1">
      <alignment horizontal="center" wrapText="1"/>
    </xf>
    <xf numFmtId="0" fontId="76" fillId="0" borderId="0" xfId="0" applyFont="1" applyAlignment="1">
      <alignment horizontal="right"/>
    </xf>
    <xf numFmtId="0" fontId="0" fillId="0" borderId="2" xfId="0" applyBorder="1" applyAlignment="1">
      <alignment horizontal="center" vertical="center"/>
    </xf>
    <xf numFmtId="0" fontId="67" fillId="0" borderId="10" xfId="0" applyFont="1" applyBorder="1" applyAlignment="1">
      <alignment horizontal="right"/>
    </xf>
    <xf numFmtId="0" fontId="67" fillId="0" borderId="11" xfId="0" applyFont="1" applyBorder="1"/>
    <xf numFmtId="0" fontId="67" fillId="0" borderId="12" xfId="0" applyFont="1" applyBorder="1" applyAlignment="1">
      <alignment horizontal="right"/>
    </xf>
    <xf numFmtId="0" fontId="67" fillId="0" borderId="13" xfId="0" applyFont="1" applyBorder="1"/>
    <xf numFmtId="0" fontId="67" fillId="0" borderId="14" xfId="0" applyFont="1" applyBorder="1"/>
    <xf numFmtId="0" fontId="67" fillId="0" borderId="0" xfId="0" applyFont="1" applyAlignment="1">
      <alignment horizontal="center" vertical="center"/>
    </xf>
    <xf numFmtId="174" fontId="67" fillId="0" borderId="2" xfId="0" applyNumberFormat="1" applyFont="1" applyBorder="1"/>
    <xf numFmtId="174" fontId="67" fillId="0" borderId="15" xfId="0" applyNumberFormat="1" applyFont="1" applyBorder="1"/>
    <xf numFmtId="0" fontId="76" fillId="0" borderId="13" xfId="0" applyFont="1" applyBorder="1" applyAlignment="1">
      <alignment horizontal="right"/>
    </xf>
    <xf numFmtId="174" fontId="67" fillId="0" borderId="13" xfId="0" applyNumberFormat="1" applyFont="1" applyBorder="1"/>
    <xf numFmtId="0" fontId="0" fillId="0" borderId="0" xfId="0" applyAlignment="1">
      <alignment horizontal="center" vertical="center"/>
    </xf>
    <xf numFmtId="11" fontId="42" fillId="0" borderId="0" xfId="6" applyNumberFormat="1" applyFont="1" applyFill="1" applyBorder="1" applyAlignment="1">
      <alignment horizontal="center" vertical="center"/>
    </xf>
    <xf numFmtId="11" fontId="0" fillId="0" borderId="0" xfId="0" applyNumberFormat="1" applyAlignment="1">
      <alignment horizontal="center" vertical="center"/>
    </xf>
    <xf numFmtId="174" fontId="0" fillId="0" borderId="2" xfId="0" applyNumberFormat="1" applyBorder="1" applyAlignment="1">
      <alignment horizontal="center"/>
    </xf>
    <xf numFmtId="11" fontId="0" fillId="0" borderId="2" xfId="0" applyNumberFormat="1" applyBorder="1" applyAlignment="1">
      <alignment horizontal="center" vertical="center"/>
    </xf>
    <xf numFmtId="174" fontId="65" fillId="0" borderId="0" xfId="0" applyNumberFormat="1" applyFont="1" applyAlignment="1">
      <alignment horizontal="center"/>
    </xf>
    <xf numFmtId="0" fontId="0" fillId="0" borderId="0" xfId="0" quotePrefix="1" applyAlignment="1">
      <alignment horizontal="center"/>
    </xf>
    <xf numFmtId="174" fontId="0" fillId="0" borderId="15" xfId="0" applyNumberFormat="1" applyBorder="1" applyAlignment="1">
      <alignment horizontal="center"/>
    </xf>
    <xf numFmtId="11" fontId="0" fillId="0" borderId="15" xfId="0" applyNumberFormat="1" applyBorder="1" applyAlignment="1">
      <alignment horizontal="center" vertical="center"/>
    </xf>
    <xf numFmtId="174" fontId="65" fillId="0" borderId="16" xfId="0" applyNumberFormat="1" applyFont="1" applyBorder="1" applyAlignment="1">
      <alignment horizontal="center"/>
    </xf>
    <xf numFmtId="0" fontId="0" fillId="0" borderId="13" xfId="0" quotePrefix="1" applyBorder="1" applyAlignment="1">
      <alignment horizontal="center"/>
    </xf>
    <xf numFmtId="11" fontId="65" fillId="0" borderId="13" xfId="0" applyNumberFormat="1" applyFont="1" applyBorder="1" applyAlignment="1">
      <alignment horizontal="center"/>
    </xf>
    <xf numFmtId="0" fontId="7" fillId="0" borderId="17" xfId="648" applyFont="1" applyBorder="1" applyAlignment="1">
      <alignment horizontal="center" vertical="center"/>
    </xf>
    <xf numFmtId="0" fontId="7" fillId="0" borderId="2" xfId="648" applyFont="1" applyBorder="1" applyAlignment="1">
      <alignment horizontal="center" vertical="center"/>
    </xf>
    <xf numFmtId="9" fontId="7" fillId="0" borderId="2" xfId="648" applyNumberFormat="1" applyFont="1" applyBorder="1" applyAlignment="1">
      <alignment horizontal="center" vertical="center"/>
    </xf>
    <xf numFmtId="0" fontId="7" fillId="0" borderId="0" xfId="648" applyFont="1" applyAlignment="1">
      <alignment horizontal="center" vertical="center"/>
    </xf>
    <xf numFmtId="9" fontId="7" fillId="0" borderId="0" xfId="648" applyNumberFormat="1" applyFont="1" applyAlignment="1">
      <alignment horizontal="center" vertical="center"/>
    </xf>
    <xf numFmtId="0" fontId="7" fillId="0" borderId="0" xfId="648" applyFont="1" applyAlignment="1">
      <alignment horizontal="left" vertical="center"/>
    </xf>
    <xf numFmtId="11" fontId="7" fillId="0" borderId="0" xfId="648" applyNumberFormat="1" applyFont="1" applyAlignment="1">
      <alignment horizontal="center"/>
    </xf>
    <xf numFmtId="164" fontId="7" fillId="0" borderId="0" xfId="645" applyFont="1" applyFill="1" applyBorder="1" applyAlignment="1">
      <alignment horizontal="center"/>
    </xf>
    <xf numFmtId="165" fontId="7" fillId="0" borderId="0" xfId="648" applyNumberFormat="1" applyFont="1" applyAlignment="1">
      <alignment horizontal="center"/>
    </xf>
    <xf numFmtId="11" fontId="7" fillId="0" borderId="0" xfId="1" applyNumberFormat="1" applyFont="1" applyFill="1" applyBorder="1" applyAlignment="1">
      <alignment horizontal="center" vertical="center"/>
    </xf>
    <xf numFmtId="11" fontId="7" fillId="0" borderId="0" xfId="648" applyNumberFormat="1" applyFont="1" applyAlignment="1">
      <alignment horizontal="center" vertical="center"/>
    </xf>
    <xf numFmtId="11" fontId="7" fillId="0" borderId="0" xfId="644" applyNumberFormat="1" applyFont="1" applyFill="1" applyBorder="1" applyAlignment="1">
      <alignment horizontal="center" vertical="center"/>
    </xf>
    <xf numFmtId="180" fontId="7" fillId="0" borderId="0" xfId="648" applyNumberFormat="1" applyFont="1" applyAlignment="1">
      <alignment horizontal="center" vertical="center"/>
    </xf>
    <xf numFmtId="0" fontId="7" fillId="0" borderId="0" xfId="646" applyFont="1" applyFill="1" applyBorder="1" applyAlignment="1">
      <alignment horizontal="left" vertical="center"/>
    </xf>
    <xf numFmtId="0" fontId="7" fillId="0" borderId="0" xfId="644" applyFont="1" applyFill="1" applyBorder="1" applyAlignment="1">
      <alignment horizontal="left" vertical="center"/>
    </xf>
    <xf numFmtId="11" fontId="7" fillId="0" borderId="2" xfId="648" applyNumberFormat="1" applyFont="1" applyBorder="1" applyAlignment="1">
      <alignment horizontal="center"/>
    </xf>
    <xf numFmtId="181" fontId="7" fillId="0" borderId="0" xfId="1" applyNumberFormat="1" applyFont="1" applyFill="1" applyBorder="1" applyAlignment="1">
      <alignment horizontal="center" vertical="center"/>
    </xf>
    <xf numFmtId="11" fontId="7" fillId="0" borderId="2" xfId="644" applyNumberFormat="1" applyFont="1" applyFill="1" applyBorder="1" applyAlignment="1">
      <alignment horizontal="center" vertical="center"/>
    </xf>
    <xf numFmtId="11" fontId="7" fillId="0" borderId="0" xfId="648" quotePrefix="1" applyNumberFormat="1" applyFont="1" applyAlignment="1">
      <alignment horizontal="center" vertical="center"/>
    </xf>
    <xf numFmtId="175" fontId="7" fillId="0" borderId="0" xfId="648" applyNumberFormat="1" applyFont="1" applyAlignment="1">
      <alignment horizontal="center" vertical="center"/>
    </xf>
    <xf numFmtId="11" fontId="7" fillId="0" borderId="0" xfId="644" quotePrefix="1" applyNumberFormat="1" applyFont="1" applyFill="1" applyBorder="1" applyAlignment="1">
      <alignment horizontal="center" vertical="center"/>
    </xf>
    <xf numFmtId="180" fontId="7" fillId="0" borderId="0" xfId="1" applyNumberFormat="1" applyFont="1" applyFill="1" applyBorder="1" applyAlignment="1">
      <alignment horizontal="center" vertical="center"/>
    </xf>
    <xf numFmtId="11" fontId="7" fillId="0" borderId="13" xfId="648" quotePrefix="1" applyNumberFormat="1" applyFont="1" applyBorder="1" applyAlignment="1">
      <alignment horizontal="center" vertical="center"/>
    </xf>
    <xf numFmtId="0" fontId="7" fillId="0" borderId="13" xfId="648" applyFont="1" applyBorder="1"/>
    <xf numFmtId="0" fontId="67" fillId="0" borderId="2" xfId="0" applyFont="1" applyBorder="1" applyAlignment="1">
      <alignment horizontal="center" vertical="center"/>
    </xf>
    <xf numFmtId="11" fontId="67" fillId="0" borderId="0" xfId="0" applyNumberFormat="1" applyFont="1" applyAlignment="1">
      <alignment horizontal="center" vertical="center"/>
    </xf>
    <xf numFmtId="2" fontId="67" fillId="0" borderId="0" xfId="0" applyNumberFormat="1" applyFont="1" applyAlignment="1">
      <alignment horizontal="center" vertical="center"/>
    </xf>
    <xf numFmtId="11" fontId="46" fillId="0" borderId="0" xfId="6" applyNumberFormat="1" applyFont="1" applyFill="1" applyBorder="1" applyAlignment="1">
      <alignment horizontal="center" vertical="center"/>
    </xf>
    <xf numFmtId="1" fontId="67" fillId="0" borderId="0" xfId="0" applyNumberFormat="1" applyFont="1" applyAlignment="1">
      <alignment horizontal="center" vertical="center"/>
    </xf>
    <xf numFmtId="11" fontId="67" fillId="0" borderId="2" xfId="0" applyNumberFormat="1" applyFont="1" applyBorder="1" applyAlignment="1">
      <alignment horizontal="center" vertical="center"/>
    </xf>
    <xf numFmtId="0" fontId="76" fillId="0" borderId="13" xfId="0" applyFont="1" applyBorder="1" applyAlignment="1">
      <alignment horizontal="right" vertical="center"/>
    </xf>
    <xf numFmtId="11" fontId="76" fillId="0" borderId="13" xfId="0" applyNumberFormat="1" applyFont="1" applyBorder="1" applyAlignment="1">
      <alignment horizontal="center" vertical="center"/>
    </xf>
    <xf numFmtId="11" fontId="67" fillId="0" borderId="13" xfId="0" applyNumberFormat="1" applyFont="1" applyBorder="1" applyAlignment="1">
      <alignment horizontal="center" vertical="center"/>
    </xf>
    <xf numFmtId="11" fontId="67" fillId="0" borderId="13" xfId="0" applyNumberFormat="1" applyFont="1" applyBorder="1" applyAlignment="1">
      <alignment horizontal="center"/>
    </xf>
    <xf numFmtId="11" fontId="76" fillId="0" borderId="13" xfId="0" applyNumberFormat="1" applyFont="1" applyBorder="1" applyAlignment="1">
      <alignment horizontal="center"/>
    </xf>
    <xf numFmtId="180" fontId="67" fillId="0" borderId="13" xfId="0" applyNumberFormat="1" applyFont="1" applyBorder="1" applyAlignment="1">
      <alignment horizontal="center" vertical="center"/>
    </xf>
    <xf numFmtId="0" fontId="7" fillId="0" borderId="17" xfId="648" applyFont="1" applyBorder="1" applyAlignment="1">
      <alignment horizontal="center" vertical="center" wrapText="1"/>
    </xf>
    <xf numFmtId="11" fontId="7" fillId="0" borderId="17" xfId="647" applyNumberFormat="1" applyFont="1" applyFill="1" applyBorder="1" applyAlignment="1">
      <alignment horizontal="center" vertical="center" wrapText="1"/>
    </xf>
    <xf numFmtId="0" fontId="0" fillId="0" borderId="18" xfId="0" applyBorder="1"/>
    <xf numFmtId="0" fontId="7" fillId="0" borderId="2" xfId="644" applyFont="1" applyFill="1" applyBorder="1" applyAlignment="1">
      <alignment horizontal="center" vertical="center"/>
    </xf>
    <xf numFmtId="0" fontId="7" fillId="0" borderId="0" xfId="644" applyFont="1" applyFill="1" applyBorder="1" applyAlignment="1">
      <alignment horizontal="center" vertical="center"/>
    </xf>
    <xf numFmtId="11" fontId="7" fillId="0" borderId="0" xfId="7" applyNumberFormat="1" applyFont="1" applyAlignment="1">
      <alignment horizontal="center" vertical="center"/>
    </xf>
    <xf numFmtId="11" fontId="7" fillId="0" borderId="2" xfId="7" applyNumberFormat="1" applyFont="1" applyBorder="1" applyAlignment="1">
      <alignment horizontal="center" vertical="center"/>
    </xf>
    <xf numFmtId="0" fontId="0" fillId="0" borderId="13" xfId="0" applyBorder="1"/>
    <xf numFmtId="11" fontId="7" fillId="0" borderId="13" xfId="644" applyNumberFormat="1" applyFont="1" applyFill="1" applyBorder="1"/>
    <xf numFmtId="164" fontId="7" fillId="0" borderId="2" xfId="645" applyFont="1" applyFill="1" applyBorder="1" applyAlignment="1">
      <alignment horizontal="center"/>
    </xf>
    <xf numFmtId="165" fontId="7" fillId="0" borderId="2" xfId="648" applyNumberFormat="1" applyFont="1" applyBorder="1" applyAlignment="1">
      <alignment horizontal="center"/>
    </xf>
    <xf numFmtId="181" fontId="7" fillId="0" borderId="2" xfId="1" applyNumberFormat="1" applyFont="1" applyFill="1" applyBorder="1" applyAlignment="1">
      <alignment horizontal="center" vertical="center"/>
    </xf>
    <xf numFmtId="11" fontId="7" fillId="0" borderId="2" xfId="648" applyNumberFormat="1" applyFont="1" applyBorder="1" applyAlignment="1">
      <alignment horizontal="center" vertical="center"/>
    </xf>
    <xf numFmtId="174" fontId="65" fillId="0" borderId="13" xfId="0" applyNumberFormat="1" applyFont="1" applyBorder="1" applyAlignment="1">
      <alignment horizontal="center"/>
    </xf>
    <xf numFmtId="11" fontId="7" fillId="0" borderId="15" xfId="648" applyNumberFormat="1" applyFont="1" applyBorder="1" applyAlignment="1">
      <alignment horizontal="center"/>
    </xf>
    <xf numFmtId="164" fontId="7" fillId="0" borderId="15" xfId="645" applyFont="1" applyFill="1" applyBorder="1" applyAlignment="1">
      <alignment horizontal="center"/>
    </xf>
    <xf numFmtId="165" fontId="7" fillId="0" borderId="15" xfId="648" applyNumberFormat="1" applyFont="1" applyBorder="1" applyAlignment="1">
      <alignment horizontal="center"/>
    </xf>
    <xf numFmtId="11" fontId="7" fillId="0" borderId="15" xfId="644" applyNumberFormat="1" applyFont="1" applyFill="1" applyBorder="1" applyAlignment="1">
      <alignment horizontal="center" vertical="center"/>
    </xf>
    <xf numFmtId="11" fontId="7" fillId="0" borderId="15" xfId="1" applyNumberFormat="1" applyFont="1" applyFill="1" applyBorder="1" applyAlignment="1">
      <alignment horizontal="center" vertical="center"/>
    </xf>
    <xf numFmtId="175" fontId="7" fillId="0" borderId="15" xfId="648" applyNumberFormat="1" applyFont="1" applyBorder="1" applyAlignment="1">
      <alignment horizontal="center" vertical="center"/>
    </xf>
    <xf numFmtId="11" fontId="42" fillId="0" borderId="15" xfId="6" applyNumberFormat="1" applyFont="1" applyFill="1" applyBorder="1" applyAlignment="1">
      <alignment horizontal="center" vertical="center"/>
    </xf>
    <xf numFmtId="2" fontId="67" fillId="0" borderId="2" xfId="0" applyNumberFormat="1" applyFont="1" applyBorder="1" applyAlignment="1">
      <alignment horizontal="center" vertical="center"/>
    </xf>
    <xf numFmtId="11" fontId="46" fillId="0" borderId="2" xfId="6" applyNumberFormat="1" applyFont="1" applyFill="1" applyBorder="1" applyAlignment="1">
      <alignment horizontal="center" vertical="center"/>
    </xf>
    <xf numFmtId="1" fontId="67" fillId="0" borderId="2" xfId="0" applyNumberFormat="1" applyFont="1" applyBorder="1" applyAlignment="1">
      <alignment horizontal="center" vertical="center"/>
    </xf>
    <xf numFmtId="0" fontId="7" fillId="0" borderId="2" xfId="648" applyFont="1" applyBorder="1" applyAlignment="1">
      <alignment horizontal="center" vertical="center" wrapText="1"/>
    </xf>
    <xf numFmtId="0" fontId="67" fillId="0" borderId="2" xfId="0" applyFont="1" applyBorder="1" applyAlignment="1">
      <alignment horizontal="center" vertical="center" wrapText="1"/>
    </xf>
    <xf numFmtId="11" fontId="42" fillId="0" borderId="2" xfId="6" applyNumberFormat="1" applyFont="1" applyFill="1" applyBorder="1" applyAlignment="1">
      <alignment horizontal="center" vertical="center"/>
    </xf>
    <xf numFmtId="0" fontId="98" fillId="11" borderId="13" xfId="0" applyFont="1" applyFill="1" applyBorder="1" applyAlignment="1">
      <alignment vertical="center"/>
    </xf>
    <xf numFmtId="0" fontId="64" fillId="24" borderId="0" xfId="0" applyFont="1" applyFill="1"/>
    <xf numFmtId="0" fontId="0" fillId="24" borderId="0" xfId="0" applyFill="1" applyAlignment="1">
      <alignment horizontal="right"/>
    </xf>
    <xf numFmtId="9" fontId="58" fillId="24" borderId="0" xfId="637" applyFont="1" applyFill="1"/>
    <xf numFmtId="2" fontId="0" fillId="24" borderId="0" xfId="0" applyNumberFormat="1" applyFill="1" applyAlignment="1">
      <alignment horizontal="center"/>
    </xf>
    <xf numFmtId="11" fontId="0" fillId="24" borderId="0" xfId="0" applyNumberFormat="1" applyFill="1" applyAlignment="1">
      <alignment horizontal="center"/>
    </xf>
    <xf numFmtId="9" fontId="58" fillId="24" borderId="0" xfId="637" applyFont="1" applyFill="1" applyAlignment="1">
      <alignment horizontal="center"/>
    </xf>
    <xf numFmtId="170" fontId="0" fillId="0" borderId="0" xfId="0" applyNumberFormat="1" applyAlignment="1">
      <alignment horizontal="left"/>
    </xf>
    <xf numFmtId="0" fontId="0" fillId="0" borderId="0" xfId="0" applyAlignment="1">
      <alignment horizontal="center" wrapText="1"/>
    </xf>
    <xf numFmtId="9" fontId="58" fillId="0" borderId="1" xfId="637" applyFont="1" applyFill="1" applyBorder="1"/>
    <xf numFmtId="2" fontId="0" fillId="0" borderId="1" xfId="0" applyNumberFormat="1" applyBorder="1"/>
    <xf numFmtId="0" fontId="99" fillId="0" borderId="1" xfId="0" applyFont="1" applyBorder="1" applyAlignment="1">
      <alignment horizontal="center"/>
    </xf>
    <xf numFmtId="0" fontId="100" fillId="0" borderId="0" xfId="0" applyFont="1" applyAlignment="1">
      <alignment horizontal="left"/>
    </xf>
    <xf numFmtId="0" fontId="67" fillId="0" borderId="0" xfId="0" applyFont="1" applyAlignment="1">
      <alignment horizontal="center" vertical="center" wrapText="1"/>
    </xf>
    <xf numFmtId="0" fontId="0" fillId="0" borderId="0" xfId="0" applyAlignment="1">
      <alignment horizontal="center" vertical="center" wrapText="1"/>
    </xf>
    <xf numFmtId="0" fontId="67" fillId="0" borderId="2" xfId="0" applyFont="1" applyBorder="1" applyAlignment="1">
      <alignment vertical="center"/>
    </xf>
    <xf numFmtId="0" fontId="98" fillId="11" borderId="13" xfId="0" applyFont="1" applyFill="1" applyBorder="1"/>
    <xf numFmtId="0" fontId="101" fillId="0" borderId="0" xfId="0" applyFont="1" applyAlignment="1">
      <alignment horizontal="center" vertical="center"/>
    </xf>
    <xf numFmtId="166" fontId="58" fillId="0" borderId="1" xfId="637" applyNumberFormat="1" applyFont="1" applyFill="1" applyBorder="1"/>
    <xf numFmtId="177" fontId="0" fillId="0" borderId="1" xfId="0" applyNumberFormat="1" applyBorder="1"/>
    <xf numFmtId="2" fontId="66" fillId="0" borderId="1" xfId="0" applyNumberFormat="1" applyFont="1" applyBorder="1"/>
    <xf numFmtId="170" fontId="0" fillId="0" borderId="1" xfId="0" applyNumberFormat="1" applyBorder="1"/>
    <xf numFmtId="178" fontId="58" fillId="0" borderId="1" xfId="637" applyNumberFormat="1" applyFont="1" applyFill="1" applyBorder="1"/>
    <xf numFmtId="170" fontId="58" fillId="0" borderId="1" xfId="637" applyNumberFormat="1" applyFont="1" applyFill="1" applyBorder="1"/>
    <xf numFmtId="2" fontId="58" fillId="0" borderId="1" xfId="637" applyNumberFormat="1" applyFont="1" applyFill="1" applyBorder="1"/>
    <xf numFmtId="10" fontId="58" fillId="0" borderId="1" xfId="637" applyNumberFormat="1" applyFont="1" applyFill="1" applyBorder="1"/>
    <xf numFmtId="176" fontId="0" fillId="0" borderId="1" xfId="0" applyNumberFormat="1" applyBorder="1"/>
    <xf numFmtId="9" fontId="61" fillId="0" borderId="1" xfId="4" applyNumberFormat="1" applyFill="1" applyBorder="1"/>
    <xf numFmtId="178" fontId="0" fillId="0" borderId="1" xfId="0" applyNumberFormat="1" applyBorder="1"/>
    <xf numFmtId="168" fontId="58" fillId="0" borderId="1" xfId="637" applyNumberFormat="1" applyFont="1" applyFill="1" applyBorder="1"/>
    <xf numFmtId="169" fontId="58" fillId="0" borderId="1" xfId="637" applyNumberFormat="1" applyFont="1" applyFill="1" applyBorder="1"/>
    <xf numFmtId="0" fontId="0" fillId="0" borderId="5" xfId="0" applyBorder="1" applyAlignment="1">
      <alignment horizontal="center"/>
    </xf>
    <xf numFmtId="9" fontId="58" fillId="0" borderId="5" xfId="637" applyFont="1" applyFill="1" applyBorder="1"/>
    <xf numFmtId="2" fontId="0" fillId="0" borderId="5" xfId="0" applyNumberFormat="1" applyBorder="1"/>
    <xf numFmtId="170" fontId="0" fillId="0" borderId="0" xfId="0" applyNumberFormat="1" applyAlignment="1">
      <alignment horizontal="right"/>
    </xf>
    <xf numFmtId="11" fontId="58" fillId="0" borderId="5" xfId="637" applyNumberFormat="1" applyFont="1" applyFill="1" applyBorder="1"/>
    <xf numFmtId="11" fontId="0" fillId="0" borderId="0" xfId="0" applyNumberFormat="1" applyAlignment="1">
      <alignment horizontal="right"/>
    </xf>
    <xf numFmtId="0" fontId="102" fillId="0" borderId="0" xfId="0" applyFont="1" applyAlignment="1">
      <alignment horizontal="center"/>
    </xf>
    <xf numFmtId="11" fontId="103" fillId="21" borderId="2" xfId="0" applyNumberFormat="1" applyFont="1" applyFill="1" applyBorder="1" applyAlignment="1">
      <alignment horizontal="center"/>
    </xf>
    <xf numFmtId="0" fontId="64" fillId="14" borderId="0" xfId="0" applyFont="1" applyFill="1"/>
    <xf numFmtId="2" fontId="87" fillId="21" borderId="0" xfId="637" applyNumberFormat="1" applyFont="1" applyFill="1" applyBorder="1" applyAlignment="1">
      <alignment horizontal="center"/>
    </xf>
    <xf numFmtId="1" fontId="87" fillId="21" borderId="0" xfId="637" applyNumberFormat="1" applyFont="1" applyFill="1" applyBorder="1" applyAlignment="1">
      <alignment horizontal="center"/>
    </xf>
    <xf numFmtId="165" fontId="0" fillId="0" borderId="0" xfId="0" applyNumberFormat="1" applyAlignment="1">
      <alignment horizontal="right"/>
    </xf>
    <xf numFmtId="2" fontId="74" fillId="0" borderId="1" xfId="0" applyNumberFormat="1" applyFont="1" applyBorder="1"/>
    <xf numFmtId="2" fontId="0" fillId="24" borderId="1" xfId="0" applyNumberFormat="1" applyFill="1" applyBorder="1"/>
    <xf numFmtId="2" fontId="74" fillId="11" borderId="1" xfId="0" applyNumberFormat="1" applyFont="1" applyFill="1" applyBorder="1"/>
    <xf numFmtId="177" fontId="0" fillId="11" borderId="1" xfId="0" applyNumberFormat="1" applyFill="1" applyBorder="1"/>
    <xf numFmtId="170" fontId="0" fillId="11" borderId="1" xfId="0" applyNumberFormat="1" applyFill="1" applyBorder="1"/>
    <xf numFmtId="1" fontId="88" fillId="21" borderId="2" xfId="0" applyNumberFormat="1" applyFont="1" applyFill="1" applyBorder="1" applyAlignment="1">
      <alignment horizontal="center"/>
    </xf>
    <xf numFmtId="9" fontId="88" fillId="21" borderId="2" xfId="637" applyFont="1" applyFill="1" applyBorder="1" applyAlignment="1">
      <alignment horizontal="center"/>
    </xf>
    <xf numFmtId="9" fontId="88" fillId="21" borderId="2" xfId="0" applyNumberFormat="1" applyFont="1" applyFill="1" applyBorder="1" applyAlignment="1">
      <alignment horizontal="center"/>
    </xf>
    <xf numFmtId="0" fontId="87" fillId="15" borderId="3" xfId="0" applyFont="1" applyFill="1" applyBorder="1" applyAlignment="1">
      <alignment horizontal="center" wrapText="1"/>
    </xf>
    <xf numFmtId="0" fontId="48" fillId="15" borderId="3" xfId="0" applyFont="1" applyFill="1" applyBorder="1" applyAlignment="1">
      <alignment horizontal="center" wrapText="1"/>
    </xf>
    <xf numFmtId="0" fontId="104" fillId="15" borderId="3" xfId="0" applyFont="1" applyFill="1" applyBorder="1" applyAlignment="1">
      <alignment horizontal="center" wrapText="1"/>
    </xf>
    <xf numFmtId="11" fontId="104" fillId="15" borderId="3" xfId="0" applyNumberFormat="1" applyFont="1" applyFill="1" applyBorder="1" applyAlignment="1">
      <alignment horizontal="center" wrapText="1"/>
    </xf>
    <xf numFmtId="165" fontId="69" fillId="0" borderId="0" xfId="0" applyNumberFormat="1" applyFont="1"/>
    <xf numFmtId="165" fontId="48" fillId="15" borderId="3" xfId="0" applyNumberFormat="1" applyFont="1" applyFill="1" applyBorder="1" applyAlignment="1">
      <alignment horizontal="center" wrapText="1"/>
    </xf>
    <xf numFmtId="165" fontId="103" fillId="21" borderId="2" xfId="0" applyNumberFormat="1" applyFont="1" applyFill="1" applyBorder="1" applyAlignment="1">
      <alignment horizontal="center"/>
    </xf>
    <xf numFmtId="165" fontId="88" fillId="0" borderId="0" xfId="0" applyNumberFormat="1" applyFont="1" applyAlignment="1">
      <alignment horizontal="center"/>
    </xf>
    <xf numFmtId="165" fontId="87" fillId="0" borderId="0" xfId="0" applyNumberFormat="1" applyFont="1"/>
    <xf numFmtId="11" fontId="85" fillId="21" borderId="2" xfId="0" applyNumberFormat="1" applyFont="1" applyFill="1" applyBorder="1" applyAlignment="1">
      <alignment horizontal="center"/>
    </xf>
    <xf numFmtId="0" fontId="105" fillId="0" borderId="0" xfId="0" applyFont="1" applyAlignment="1">
      <alignment horizontal="center" vertical="center"/>
    </xf>
    <xf numFmtId="0" fontId="85" fillId="26" borderId="6" xfId="0" applyFont="1" applyFill="1" applyBorder="1" applyAlignment="1">
      <alignment horizontal="center" vertical="center"/>
    </xf>
    <xf numFmtId="0" fontId="85" fillId="26" borderId="7" xfId="0" applyFont="1" applyFill="1" applyBorder="1" applyAlignment="1">
      <alignment horizontal="center" vertical="center"/>
    </xf>
    <xf numFmtId="0" fontId="106" fillId="0" borderId="0" xfId="0" applyFont="1"/>
    <xf numFmtId="0" fontId="107" fillId="0" borderId="2" xfId="0" applyFont="1" applyBorder="1" applyAlignment="1">
      <alignment horizontal="left"/>
    </xf>
    <xf numFmtId="0" fontId="107" fillId="0" borderId="0" xfId="0" applyFont="1" applyAlignment="1">
      <alignment horizontal="left"/>
    </xf>
    <xf numFmtId="0" fontId="106" fillId="0" borderId="0" xfId="0" applyFont="1" applyAlignment="1">
      <alignment horizontal="center"/>
    </xf>
    <xf numFmtId="0" fontId="77" fillId="27" borderId="2" xfId="0" applyFont="1" applyFill="1" applyBorder="1" applyAlignment="1">
      <alignment horizontal="right"/>
    </xf>
    <xf numFmtId="0" fontId="77" fillId="27" borderId="2" xfId="0" applyFont="1" applyFill="1" applyBorder="1"/>
    <xf numFmtId="9" fontId="77" fillId="27" borderId="2" xfId="0" applyNumberFormat="1" applyFont="1" applyFill="1" applyBorder="1"/>
    <xf numFmtId="11" fontId="77" fillId="27" borderId="2" xfId="0" applyNumberFormat="1" applyFont="1" applyFill="1" applyBorder="1" applyAlignment="1">
      <alignment horizontal="center"/>
    </xf>
    <xf numFmtId="165" fontId="77" fillId="27" borderId="2" xfId="0" applyNumberFormat="1" applyFont="1" applyFill="1" applyBorder="1" applyAlignment="1">
      <alignment horizontal="center"/>
    </xf>
    <xf numFmtId="11" fontId="65" fillId="27" borderId="2" xfId="0" applyNumberFormat="1" applyFont="1" applyFill="1" applyBorder="1"/>
    <xf numFmtId="0" fontId="0" fillId="27" borderId="2" xfId="0" applyFill="1" applyBorder="1"/>
    <xf numFmtId="11" fontId="0" fillId="27" borderId="2" xfId="0" applyNumberFormat="1" applyFill="1" applyBorder="1" applyAlignment="1">
      <alignment horizontal="center"/>
    </xf>
    <xf numFmtId="166" fontId="77" fillId="27" borderId="2" xfId="0" applyNumberFormat="1" applyFont="1" applyFill="1" applyBorder="1"/>
    <xf numFmtId="0" fontId="65" fillId="0" borderId="0" xfId="0" applyFont="1" applyAlignment="1">
      <alignment horizontal="center" wrapText="1"/>
    </xf>
    <xf numFmtId="165" fontId="65" fillId="0" borderId="0" xfId="0" applyNumberFormat="1" applyFont="1" applyAlignment="1">
      <alignment horizontal="center" wrapText="1"/>
    </xf>
    <xf numFmtId="166" fontId="77" fillId="27" borderId="2" xfId="0" applyNumberFormat="1" applyFont="1" applyFill="1" applyBorder="1" applyAlignment="1">
      <alignment horizontal="center"/>
    </xf>
    <xf numFmtId="165" fontId="65" fillId="27" borderId="2" xfId="0" applyNumberFormat="1" applyFont="1" applyFill="1" applyBorder="1" applyAlignment="1">
      <alignment horizontal="center"/>
    </xf>
    <xf numFmtId="0" fontId="65" fillId="27" borderId="2" xfId="0" applyFont="1" applyFill="1" applyBorder="1"/>
    <xf numFmtId="10" fontId="77" fillId="27" borderId="2" xfId="0" applyNumberFormat="1" applyFont="1" applyFill="1" applyBorder="1"/>
    <xf numFmtId="0" fontId="107" fillId="0" borderId="2" xfId="0" applyFont="1" applyBorder="1"/>
    <xf numFmtId="0" fontId="64" fillId="27" borderId="2" xfId="0" applyFont="1" applyFill="1" applyBorder="1"/>
    <xf numFmtId="165" fontId="64" fillId="27" borderId="2" xfId="0" applyNumberFormat="1" applyFont="1" applyFill="1" applyBorder="1" applyAlignment="1">
      <alignment horizontal="center"/>
    </xf>
    <xf numFmtId="165" fontId="0" fillId="0" borderId="0" xfId="0" applyNumberFormat="1" applyAlignment="1">
      <alignment horizontal="center" wrapText="1"/>
    </xf>
    <xf numFmtId="9" fontId="64" fillId="27" borderId="2" xfId="0" applyNumberFormat="1" applyFont="1" applyFill="1" applyBorder="1"/>
    <xf numFmtId="0" fontId="85" fillId="28" borderId="3" xfId="0" applyFont="1" applyFill="1" applyBorder="1" applyAlignment="1">
      <alignment horizontal="center"/>
    </xf>
    <xf numFmtId="0" fontId="65" fillId="28" borderId="3" xfId="0" applyFont="1" applyFill="1" applyBorder="1" applyAlignment="1">
      <alignment horizontal="center"/>
    </xf>
    <xf numFmtId="0" fontId="87" fillId="28" borderId="3" xfId="0" applyFont="1" applyFill="1" applyBorder="1" applyAlignment="1">
      <alignment horizontal="center" wrapText="1"/>
    </xf>
    <xf numFmtId="0" fontId="48" fillId="28" borderId="3" xfId="0" applyFont="1" applyFill="1" applyBorder="1" applyAlignment="1">
      <alignment horizontal="center" wrapText="1"/>
    </xf>
    <xf numFmtId="0" fontId="88" fillId="28" borderId="3" xfId="0" applyFont="1" applyFill="1" applyBorder="1" applyAlignment="1">
      <alignment horizontal="center" wrapText="1"/>
    </xf>
    <xf numFmtId="0" fontId="104" fillId="28" borderId="3" xfId="0" applyFont="1" applyFill="1" applyBorder="1" applyAlignment="1">
      <alignment horizontal="center" wrapText="1"/>
    </xf>
    <xf numFmtId="11" fontId="104" fillId="28" borderId="3" xfId="0" applyNumberFormat="1" applyFont="1" applyFill="1" applyBorder="1" applyAlignment="1">
      <alignment horizontal="center" wrapText="1"/>
    </xf>
    <xf numFmtId="0" fontId="64" fillId="27" borderId="0" xfId="0" applyFont="1" applyFill="1"/>
    <xf numFmtId="0" fontId="69" fillId="21" borderId="19" xfId="0" applyFont="1" applyFill="1" applyBorder="1"/>
    <xf numFmtId="0" fontId="69" fillId="21" borderId="20" xfId="0" applyFont="1" applyFill="1" applyBorder="1"/>
    <xf numFmtId="0" fontId="69" fillId="21" borderId="8" xfId="0" applyFont="1" applyFill="1" applyBorder="1"/>
    <xf numFmtId="0" fontId="69" fillId="21" borderId="6" xfId="0" applyFont="1" applyFill="1" applyBorder="1"/>
    <xf numFmtId="0" fontId="69" fillId="21" borderId="9" xfId="0" applyFont="1" applyFill="1" applyBorder="1"/>
    <xf numFmtId="0" fontId="69" fillId="21" borderId="7" xfId="0" applyFont="1" applyFill="1" applyBorder="1"/>
    <xf numFmtId="0" fontId="85" fillId="26" borderId="0" xfId="0" applyFont="1" applyFill="1" applyAlignment="1">
      <alignment horizontal="left" vertical="center" indent="2"/>
    </xf>
    <xf numFmtId="0" fontId="69" fillId="26" borderId="19" xfId="0" applyFont="1" applyFill="1" applyBorder="1" applyAlignment="1">
      <alignment horizontal="left" vertical="center"/>
    </xf>
    <xf numFmtId="0" fontId="85" fillId="26" borderId="4" xfId="0" applyFont="1" applyFill="1" applyBorder="1" applyAlignment="1">
      <alignment horizontal="left" vertical="center" indent="2"/>
    </xf>
    <xf numFmtId="0" fontId="69" fillId="26" borderId="8" xfId="0" applyFont="1" applyFill="1" applyBorder="1" applyAlignment="1">
      <alignment horizontal="left" vertical="center"/>
    </xf>
    <xf numFmtId="0" fontId="69" fillId="26" borderId="9" xfId="0" applyFont="1" applyFill="1" applyBorder="1" applyAlignment="1">
      <alignment horizontal="left" vertical="center"/>
    </xf>
    <xf numFmtId="0" fontId="85" fillId="26" borderId="2" xfId="0" applyFont="1" applyFill="1" applyBorder="1" applyAlignment="1">
      <alignment horizontal="left" vertical="center" indent="2"/>
    </xf>
    <xf numFmtId="0" fontId="105" fillId="0" borderId="0" xfId="0" applyFont="1" applyAlignment="1">
      <alignment horizontal="left" vertical="center"/>
    </xf>
    <xf numFmtId="0" fontId="85" fillId="28" borderId="21" xfId="0" applyFont="1" applyFill="1" applyBorder="1" applyAlignment="1">
      <alignment horizontal="center"/>
    </xf>
    <xf numFmtId="0" fontId="78" fillId="28" borderId="22" xfId="0" applyFont="1" applyFill="1" applyBorder="1" applyAlignment="1">
      <alignment horizontal="center" wrapText="1"/>
    </xf>
    <xf numFmtId="0" fontId="64" fillId="27" borderId="8" xfId="0" applyFont="1" applyFill="1" applyBorder="1"/>
    <xf numFmtId="49" fontId="64" fillId="27" borderId="0" xfId="0" applyNumberFormat="1" applyFont="1" applyFill="1"/>
    <xf numFmtId="9" fontId="64" fillId="27" borderId="0" xfId="637" applyFont="1" applyFill="1" applyBorder="1"/>
    <xf numFmtId="11" fontId="64" fillId="27" borderId="0" xfId="637" applyNumberFormat="1" applyFont="1" applyFill="1" applyBorder="1" applyAlignment="1">
      <alignment horizontal="center"/>
    </xf>
    <xf numFmtId="165" fontId="64" fillId="27" borderId="0" xfId="637" applyNumberFormat="1" applyFont="1" applyFill="1" applyBorder="1" applyAlignment="1">
      <alignment horizontal="center"/>
    </xf>
    <xf numFmtId="11" fontId="0" fillId="27" borderId="0" xfId="0" applyNumberFormat="1" applyFill="1" applyAlignment="1">
      <alignment horizontal="center"/>
    </xf>
    <xf numFmtId="11" fontId="0" fillId="27" borderId="0" xfId="0" applyNumberFormat="1" applyFill="1"/>
    <xf numFmtId="170" fontId="0" fillId="27" borderId="0" xfId="0" applyNumberFormat="1" applyFill="1" applyAlignment="1">
      <alignment horizontal="center"/>
    </xf>
    <xf numFmtId="11" fontId="0" fillId="27" borderId="6" xfId="0" applyNumberFormat="1" applyFill="1" applyBorder="1" applyAlignment="1">
      <alignment horizontal="center"/>
    </xf>
    <xf numFmtId="0" fontId="64" fillId="27" borderId="9" xfId="0" applyFont="1" applyFill="1" applyBorder="1" applyAlignment="1">
      <alignment horizontal="left"/>
    </xf>
    <xf numFmtId="11" fontId="77" fillId="28" borderId="7" xfId="0" applyNumberFormat="1" applyFont="1" applyFill="1" applyBorder="1" applyAlignment="1">
      <alignment horizontal="center"/>
    </xf>
    <xf numFmtId="166" fontId="64" fillId="27" borderId="0" xfId="637" applyNumberFormat="1" applyFont="1" applyFill="1" applyBorder="1"/>
    <xf numFmtId="0" fontId="64" fillId="27" borderId="9" xfId="0" applyFont="1" applyFill="1" applyBorder="1"/>
    <xf numFmtId="166" fontId="64" fillId="27" borderId="0" xfId="637" applyNumberFormat="1" applyFont="1" applyFill="1" applyBorder="1" applyAlignment="1">
      <alignment horizontal="center"/>
    </xf>
    <xf numFmtId="10" fontId="64" fillId="27" borderId="0" xfId="637" applyNumberFormat="1" applyFont="1" applyFill="1" applyBorder="1"/>
    <xf numFmtId="11" fontId="64" fillId="27" borderId="0" xfId="0" applyNumberFormat="1" applyFont="1" applyFill="1" applyAlignment="1">
      <alignment horizontal="center"/>
    </xf>
    <xf numFmtId="0" fontId="88" fillId="15" borderId="4" xfId="0" applyFont="1" applyFill="1" applyBorder="1" applyAlignment="1">
      <alignment horizontal="center" wrapText="1"/>
    </xf>
    <xf numFmtId="0" fontId="88" fillId="15" borderId="19" xfId="0" applyFont="1" applyFill="1" applyBorder="1" applyAlignment="1">
      <alignment horizontal="center" wrapText="1"/>
    </xf>
    <xf numFmtId="0" fontId="17" fillId="21" borderId="2" xfId="520" applyFont="1" applyFill="1" applyBorder="1"/>
    <xf numFmtId="0" fontId="88" fillId="15" borderId="21" xfId="0" applyFont="1" applyFill="1" applyBorder="1" applyAlignment="1">
      <alignment horizontal="center" wrapText="1"/>
    </xf>
    <xf numFmtId="0" fontId="88" fillId="15" borderId="22" xfId="0" applyFont="1" applyFill="1" applyBorder="1" applyAlignment="1">
      <alignment horizontal="center" wrapText="1"/>
    </xf>
    <xf numFmtId="0" fontId="17" fillId="21" borderId="21" xfId="520" applyFont="1" applyFill="1" applyBorder="1"/>
    <xf numFmtId="0" fontId="17" fillId="21" borderId="3" xfId="520" applyFont="1" applyFill="1" applyBorder="1"/>
    <xf numFmtId="0" fontId="17" fillId="21" borderId="22" xfId="520" applyFont="1" applyFill="1" applyBorder="1"/>
    <xf numFmtId="0" fontId="87" fillId="15" borderId="4" xfId="0" applyFont="1" applyFill="1" applyBorder="1" applyAlignment="1">
      <alignment horizontal="center" wrapText="1"/>
    </xf>
    <xf numFmtId="0" fontId="48" fillId="15" borderId="4" xfId="0" applyFont="1" applyFill="1" applyBorder="1" applyAlignment="1">
      <alignment horizontal="center" wrapText="1"/>
    </xf>
    <xf numFmtId="0" fontId="104" fillId="15" borderId="4" xfId="0" applyFont="1" applyFill="1" applyBorder="1" applyAlignment="1">
      <alignment horizontal="center" wrapText="1"/>
    </xf>
    <xf numFmtId="165" fontId="48" fillId="15" borderId="4" xfId="0" applyNumberFormat="1" applyFont="1" applyFill="1" applyBorder="1" applyAlignment="1">
      <alignment horizontal="center" wrapText="1"/>
    </xf>
    <xf numFmtId="11" fontId="104" fillId="15" borderId="4" xfId="0" applyNumberFormat="1" applyFont="1" applyFill="1" applyBorder="1" applyAlignment="1">
      <alignment horizontal="center" wrapText="1"/>
    </xf>
    <xf numFmtId="11" fontId="104" fillId="15" borderId="20" xfId="0" applyNumberFormat="1" applyFont="1" applyFill="1" applyBorder="1" applyAlignment="1">
      <alignment horizontal="center" wrapText="1"/>
    </xf>
    <xf numFmtId="0" fontId="87" fillId="21" borderId="8" xfId="0" applyFont="1" applyFill="1" applyBorder="1"/>
    <xf numFmtId="11" fontId="103" fillId="21" borderId="0" xfId="0" applyNumberFormat="1" applyFont="1" applyFill="1" applyAlignment="1">
      <alignment horizontal="center"/>
    </xf>
    <xf numFmtId="165" fontId="103" fillId="21" borderId="0" xfId="0" applyNumberFormat="1" applyFont="1" applyFill="1" applyAlignment="1">
      <alignment horizontal="center"/>
    </xf>
    <xf numFmtId="11" fontId="85" fillId="21" borderId="7" xfId="0" applyNumberFormat="1" applyFont="1" applyFill="1" applyBorder="1" applyAlignment="1">
      <alignment horizontal="center"/>
    </xf>
    <xf numFmtId="11" fontId="104" fillId="15" borderId="22" xfId="0" applyNumberFormat="1" applyFont="1" applyFill="1" applyBorder="1" applyAlignment="1">
      <alignment horizontal="center" wrapText="1"/>
    </xf>
    <xf numFmtId="0" fontId="17" fillId="21" borderId="19" xfId="520" applyFont="1" applyFill="1" applyBorder="1"/>
    <xf numFmtId="0" fontId="17" fillId="21" borderId="4" xfId="520" applyFont="1" applyFill="1" applyBorder="1"/>
    <xf numFmtId="0" fontId="17" fillId="21" borderId="20" xfId="520" applyFont="1" applyFill="1" applyBorder="1"/>
    <xf numFmtId="0" fontId="87" fillId="0" borderId="9" xfId="0" applyFont="1" applyBorder="1"/>
    <xf numFmtId="0" fontId="87" fillId="21" borderId="19" xfId="0" applyFont="1" applyFill="1" applyBorder="1"/>
    <xf numFmtId="0" fontId="87" fillId="21" borderId="4" xfId="0" applyFont="1" applyFill="1" applyBorder="1" applyAlignment="1">
      <alignment horizontal="center"/>
    </xf>
    <xf numFmtId="0" fontId="87" fillId="21" borderId="4" xfId="0" applyFont="1" applyFill="1" applyBorder="1"/>
    <xf numFmtId="11" fontId="87" fillId="21" borderId="4" xfId="0" applyNumberFormat="1" applyFont="1" applyFill="1" applyBorder="1" applyAlignment="1">
      <alignment horizontal="center"/>
    </xf>
    <xf numFmtId="1" fontId="87" fillId="21" borderId="4" xfId="0" applyNumberFormat="1" applyFont="1" applyFill="1" applyBorder="1" applyAlignment="1">
      <alignment horizontal="center"/>
    </xf>
    <xf numFmtId="11" fontId="87" fillId="21" borderId="4" xfId="637" applyNumberFormat="1" applyFont="1" applyFill="1" applyBorder="1" applyAlignment="1">
      <alignment horizontal="center"/>
    </xf>
    <xf numFmtId="166" fontId="87" fillId="21" borderId="4" xfId="637" applyNumberFormat="1" applyFont="1" applyFill="1" applyBorder="1" applyAlignment="1">
      <alignment horizontal="center"/>
    </xf>
    <xf numFmtId="11" fontId="103" fillId="21" borderId="4" xfId="0" applyNumberFormat="1" applyFont="1" applyFill="1" applyBorder="1" applyAlignment="1">
      <alignment horizontal="center"/>
    </xf>
    <xf numFmtId="165" fontId="103" fillId="21" borderId="4" xfId="0" applyNumberFormat="1" applyFont="1" applyFill="1" applyBorder="1" applyAlignment="1">
      <alignment horizontal="center"/>
    </xf>
    <xf numFmtId="9" fontId="87" fillId="21" borderId="4" xfId="637" applyFont="1" applyFill="1" applyBorder="1" applyAlignment="1">
      <alignment horizontal="center"/>
    </xf>
    <xf numFmtId="2" fontId="87" fillId="21" borderId="4" xfId="637" applyNumberFormat="1" applyFont="1" applyFill="1" applyBorder="1" applyAlignment="1">
      <alignment horizontal="center"/>
    </xf>
    <xf numFmtId="1" fontId="87" fillId="21" borderId="4" xfId="637" applyNumberFormat="1" applyFont="1" applyFill="1" applyBorder="1" applyAlignment="1">
      <alignment horizontal="center"/>
    </xf>
    <xf numFmtId="168" fontId="87" fillId="21" borderId="4" xfId="637" applyNumberFormat="1" applyFont="1" applyFill="1" applyBorder="1" applyAlignment="1">
      <alignment horizontal="center"/>
    </xf>
    <xf numFmtId="10" fontId="87" fillId="21" borderId="4" xfId="637" applyNumberFormat="1" applyFont="1" applyFill="1" applyBorder="1" applyAlignment="1">
      <alignment horizontal="center"/>
    </xf>
    <xf numFmtId="0" fontId="87" fillId="21" borderId="4" xfId="0" applyFont="1" applyFill="1" applyBorder="1" applyAlignment="1">
      <alignment horizontal="left"/>
    </xf>
    <xf numFmtId="0" fontId="0" fillId="21" borderId="0" xfId="0" applyFill="1"/>
    <xf numFmtId="0" fontId="87" fillId="0" borderId="0" xfId="0" applyFont="1" applyAlignment="1">
      <alignment horizontal="left" vertical="center" wrapText="1"/>
    </xf>
    <xf numFmtId="0" fontId="87" fillId="21" borderId="9" xfId="0" applyFont="1" applyFill="1" applyBorder="1"/>
    <xf numFmtId="1" fontId="58" fillId="0" borderId="1" xfId="637" applyNumberFormat="1" applyFont="1" applyFill="1" applyBorder="1"/>
    <xf numFmtId="11" fontId="0" fillId="0" borderId="1" xfId="0" applyNumberFormat="1" applyBorder="1"/>
    <xf numFmtId="11" fontId="0" fillId="0" borderId="23" xfId="0" applyNumberFormat="1" applyBorder="1"/>
    <xf numFmtId="1" fontId="58" fillId="0" borderId="5" xfId="637" applyNumberFormat="1" applyFont="1" applyFill="1" applyBorder="1"/>
    <xf numFmtId="11" fontId="0" fillId="0" borderId="5" xfId="0" applyNumberFormat="1" applyBorder="1"/>
    <xf numFmtId="11" fontId="0" fillId="0" borderId="24" xfId="0" applyNumberFormat="1" applyBorder="1"/>
    <xf numFmtId="0" fontId="0" fillId="21" borderId="4" xfId="0" applyFill="1" applyBorder="1"/>
    <xf numFmtId="0" fontId="87" fillId="21" borderId="20" xfId="0" applyFont="1" applyFill="1" applyBorder="1"/>
    <xf numFmtId="0" fontId="87" fillId="21" borderId="6" xfId="0" applyFont="1" applyFill="1" applyBorder="1"/>
    <xf numFmtId="11" fontId="87" fillId="21" borderId="20" xfId="0" applyNumberFormat="1" applyFont="1" applyFill="1" applyBorder="1" applyAlignment="1">
      <alignment horizontal="center"/>
    </xf>
    <xf numFmtId="11" fontId="87" fillId="21" borderId="6" xfId="0" applyNumberFormat="1" applyFont="1" applyFill="1" applyBorder="1" applyAlignment="1">
      <alignment horizontal="center"/>
    </xf>
    <xf numFmtId="11" fontId="88" fillId="21" borderId="7" xfId="0" applyNumberFormat="1" applyFont="1" applyFill="1" applyBorder="1" applyAlignment="1">
      <alignment horizontal="center"/>
    </xf>
    <xf numFmtId="10" fontId="36" fillId="21" borderId="7" xfId="637" applyNumberFormat="1" applyFont="1" applyFill="1" applyBorder="1" applyAlignment="1">
      <alignment horizontal="center"/>
    </xf>
    <xf numFmtId="167" fontId="0" fillId="22" borderId="0" xfId="0" applyNumberFormat="1" applyFill="1"/>
    <xf numFmtId="11" fontId="87" fillId="21" borderId="20" xfId="637" applyNumberFormat="1" applyFont="1" applyFill="1" applyBorder="1" applyAlignment="1">
      <alignment horizontal="center"/>
    </xf>
    <xf numFmtId="11" fontId="87" fillId="21" borderId="6" xfId="637" applyNumberFormat="1" applyFont="1" applyFill="1" applyBorder="1" applyAlignment="1">
      <alignment horizontal="center"/>
    </xf>
    <xf numFmtId="165" fontId="0" fillId="16" borderId="0" xfId="0" applyNumberFormat="1" applyFill="1"/>
    <xf numFmtId="1" fontId="0" fillId="16" borderId="0" xfId="0" applyNumberFormat="1" applyFill="1"/>
    <xf numFmtId="2" fontId="0" fillId="14" borderId="0" xfId="0" applyNumberFormat="1" applyFill="1" applyAlignment="1">
      <alignment horizontal="center"/>
    </xf>
    <xf numFmtId="1" fontId="65" fillId="0" borderId="0" xfId="637" applyNumberFormat="1" applyFont="1" applyFill="1" applyAlignment="1">
      <alignment horizontal="center"/>
    </xf>
    <xf numFmtId="0" fontId="0" fillId="29" borderId="0" xfId="0" applyFill="1"/>
    <xf numFmtId="0" fontId="0" fillId="29" borderId="0" xfId="0" applyFill="1" applyAlignment="1">
      <alignment horizontal="center"/>
    </xf>
    <xf numFmtId="11" fontId="0" fillId="29" borderId="0" xfId="0" applyNumberFormat="1" applyFill="1"/>
    <xf numFmtId="0" fontId="0" fillId="29" borderId="0" xfId="0" applyFill="1" applyAlignment="1">
      <alignment horizontal="right"/>
    </xf>
    <xf numFmtId="11" fontId="58" fillId="29" borderId="0" xfId="637" applyNumberFormat="1" applyFont="1" applyFill="1"/>
    <xf numFmtId="0" fontId="64" fillId="13" borderId="0" xfId="0" applyFont="1" applyFill="1"/>
    <xf numFmtId="0" fontId="64" fillId="11" borderId="0" xfId="0" applyFont="1" applyFill="1"/>
    <xf numFmtId="1" fontId="0" fillId="11" borderId="0" xfId="0" applyNumberFormat="1" applyFill="1"/>
    <xf numFmtId="0" fontId="64" fillId="0" borderId="0" xfId="215"/>
    <xf numFmtId="0" fontId="77" fillId="0" borderId="0" xfId="215" applyFont="1" applyAlignment="1">
      <alignment horizontal="left"/>
    </xf>
    <xf numFmtId="0" fontId="64" fillId="0" borderId="0" xfId="215" applyAlignment="1">
      <alignment horizontal="left"/>
    </xf>
    <xf numFmtId="0" fontId="108" fillId="0" borderId="0" xfId="215" applyFont="1"/>
    <xf numFmtId="0" fontId="109" fillId="0" borderId="0" xfId="215" applyFont="1"/>
    <xf numFmtId="0" fontId="77" fillId="0" borderId="2" xfId="215" applyFont="1" applyBorder="1"/>
    <xf numFmtId="0" fontId="64" fillId="0" borderId="2" xfId="215" applyBorder="1"/>
    <xf numFmtId="0" fontId="64" fillId="16" borderId="25" xfId="215" applyFill="1" applyBorder="1"/>
    <xf numFmtId="0" fontId="64" fillId="16" borderId="26" xfId="215" applyFill="1" applyBorder="1" applyAlignment="1">
      <alignment horizontal="center"/>
    </xf>
    <xf numFmtId="0" fontId="64" fillId="16" borderId="27" xfId="215" applyFill="1" applyBorder="1" applyAlignment="1">
      <alignment horizontal="center"/>
    </xf>
    <xf numFmtId="0" fontId="64" fillId="0" borderId="8" xfId="215" applyBorder="1"/>
    <xf numFmtId="0" fontId="109" fillId="22" borderId="3" xfId="215" applyFont="1" applyFill="1" applyBorder="1"/>
    <xf numFmtId="0" fontId="77" fillId="0" borderId="0" xfId="215" applyFont="1"/>
    <xf numFmtId="0" fontId="64" fillId="0" borderId="28" xfId="215" applyBorder="1"/>
    <xf numFmtId="2" fontId="64" fillId="0" borderId="8" xfId="215" applyNumberFormat="1" applyBorder="1" applyAlignment="1">
      <alignment horizontal="center"/>
    </xf>
    <xf numFmtId="1" fontId="64" fillId="0" borderId="0" xfId="215" applyNumberFormat="1" applyAlignment="1">
      <alignment horizontal="center"/>
    </xf>
    <xf numFmtId="2" fontId="64" fillId="0" borderId="0" xfId="215" applyNumberFormat="1" applyAlignment="1">
      <alignment horizontal="center"/>
    </xf>
    <xf numFmtId="10" fontId="58" fillId="24" borderId="0" xfId="643" applyNumberFormat="1" applyFont="1" applyFill="1"/>
    <xf numFmtId="11" fontId="64" fillId="0" borderId="0" xfId="215" applyNumberFormat="1"/>
    <xf numFmtId="166" fontId="58" fillId="24" borderId="0" xfId="643" applyNumberFormat="1" applyFont="1" applyFill="1"/>
    <xf numFmtId="0" fontId="64" fillId="24" borderId="0" xfId="215" applyFill="1"/>
    <xf numFmtId="166" fontId="58" fillId="24" borderId="2" xfId="643" applyNumberFormat="1" applyFont="1" applyFill="1" applyBorder="1"/>
    <xf numFmtId="11" fontId="64" fillId="0" borderId="2" xfId="215" applyNumberFormat="1" applyBorder="1"/>
    <xf numFmtId="0" fontId="64" fillId="0" borderId="29" xfId="215" applyBorder="1"/>
    <xf numFmtId="1" fontId="64" fillId="0" borderId="2" xfId="215" applyNumberFormat="1" applyBorder="1" applyAlignment="1">
      <alignment horizontal="center"/>
    </xf>
    <xf numFmtId="2" fontId="64" fillId="0" borderId="2" xfId="215" applyNumberFormat="1" applyBorder="1" applyAlignment="1">
      <alignment horizontal="center"/>
    </xf>
    <xf numFmtId="0" fontId="109" fillId="0" borderId="2" xfId="215" applyFont="1" applyBorder="1"/>
    <xf numFmtId="166" fontId="109" fillId="0" borderId="2" xfId="215" applyNumberFormat="1" applyFont="1" applyBorder="1"/>
    <xf numFmtId="11" fontId="109" fillId="0" borderId="2" xfId="215" applyNumberFormat="1" applyFont="1" applyBorder="1"/>
    <xf numFmtId="166" fontId="109" fillId="0" borderId="0" xfId="215" applyNumberFormat="1" applyFont="1"/>
    <xf numFmtId="11" fontId="109" fillId="0" borderId="0" xfId="215" applyNumberFormat="1" applyFont="1"/>
    <xf numFmtId="11" fontId="64" fillId="24" borderId="0" xfId="215" applyNumberFormat="1" applyFill="1"/>
    <xf numFmtId="0" fontId="64" fillId="16" borderId="27" xfId="215" applyFill="1" applyBorder="1" applyAlignment="1">
      <alignment horizontal="center" wrapText="1"/>
    </xf>
    <xf numFmtId="0" fontId="64" fillId="0" borderId="0" xfId="215" applyAlignment="1">
      <alignment horizontal="center"/>
    </xf>
    <xf numFmtId="1" fontId="77" fillId="22" borderId="0" xfId="215" applyNumberFormat="1" applyFont="1" applyFill="1" applyAlignment="1">
      <alignment horizontal="center"/>
    </xf>
    <xf numFmtId="166" fontId="64" fillId="0" borderId="0" xfId="215" applyNumberFormat="1"/>
    <xf numFmtId="11" fontId="64" fillId="0" borderId="0" xfId="215" applyNumberFormat="1" applyAlignment="1">
      <alignment horizontal="center"/>
    </xf>
    <xf numFmtId="11" fontId="64" fillId="0" borderId="2" xfId="215" applyNumberFormat="1" applyBorder="1" applyAlignment="1">
      <alignment horizontal="center"/>
    </xf>
    <xf numFmtId="11" fontId="64" fillId="24" borderId="2" xfId="215" applyNumberFormat="1" applyFill="1" applyBorder="1"/>
    <xf numFmtId="0" fontId="64" fillId="24" borderId="3" xfId="215" applyFill="1" applyBorder="1"/>
    <xf numFmtId="174" fontId="64" fillId="0" borderId="0" xfId="215" applyNumberFormat="1"/>
    <xf numFmtId="166" fontId="58" fillId="0" borderId="0" xfId="643" applyNumberFormat="1" applyFont="1"/>
    <xf numFmtId="166" fontId="58" fillId="0" borderId="2" xfId="643" applyNumberFormat="1" applyFont="1" applyBorder="1"/>
    <xf numFmtId="166" fontId="58" fillId="0" borderId="0" xfId="643" applyNumberFormat="1" applyFont="1" applyFill="1"/>
    <xf numFmtId="166" fontId="58" fillId="0" borderId="2" xfId="643" applyNumberFormat="1" applyFont="1" applyFill="1" applyBorder="1"/>
    <xf numFmtId="0" fontId="64" fillId="24" borderId="3" xfId="215" applyFill="1" applyBorder="1" applyAlignment="1">
      <alignment horizontal="center"/>
    </xf>
    <xf numFmtId="174" fontId="64" fillId="0" borderId="2" xfId="215" applyNumberFormat="1" applyBorder="1"/>
    <xf numFmtId="14" fontId="0" fillId="0" borderId="0" xfId="0" applyNumberFormat="1"/>
    <xf numFmtId="0" fontId="74" fillId="9" borderId="0" xfId="0" applyFont="1" applyFill="1"/>
    <xf numFmtId="167" fontId="67" fillId="0" borderId="0" xfId="2" applyNumberFormat="1" applyFont="1" applyFill="1" applyAlignment="1">
      <alignment horizontal="right"/>
    </xf>
    <xf numFmtId="0" fontId="0" fillId="0" borderId="30" xfId="0" applyBorder="1"/>
    <xf numFmtId="0" fontId="0" fillId="0" borderId="31" xfId="0" applyBorder="1"/>
    <xf numFmtId="0" fontId="0" fillId="0" borderId="32" xfId="0" applyBorder="1"/>
    <xf numFmtId="0" fontId="0" fillId="0" borderId="29" xfId="0" applyBorder="1" applyAlignment="1">
      <alignment horizontal="center"/>
    </xf>
    <xf numFmtId="0" fontId="0" fillId="0" borderId="29" xfId="0" applyBorder="1"/>
    <xf numFmtId="2" fontId="75" fillId="0" borderId="29" xfId="0" applyNumberFormat="1" applyFont="1" applyBorder="1" applyAlignment="1">
      <alignment horizontal="center"/>
    </xf>
    <xf numFmtId="11" fontId="0" fillId="0" borderId="29" xfId="0" applyNumberFormat="1" applyBorder="1" applyAlignment="1">
      <alignment horizontal="center"/>
    </xf>
    <xf numFmtId="165" fontId="0" fillId="0" borderId="29" xfId="0" applyNumberFormat="1" applyBorder="1" applyAlignment="1">
      <alignment horizontal="center"/>
    </xf>
    <xf numFmtId="9" fontId="58" fillId="0" borderId="29" xfId="637" applyFont="1" applyFill="1" applyBorder="1"/>
    <xf numFmtId="2" fontId="0" fillId="0" borderId="29" xfId="0" applyNumberFormat="1" applyBorder="1"/>
    <xf numFmtId="11" fontId="58" fillId="0" borderId="29" xfId="637" applyNumberFormat="1" applyFont="1" applyFill="1" applyBorder="1"/>
    <xf numFmtId="1" fontId="58" fillId="0" borderId="29" xfId="637" applyNumberFormat="1" applyFont="1" applyFill="1" applyBorder="1"/>
    <xf numFmtId="11" fontId="0" fillId="0" borderId="29" xfId="0" applyNumberFormat="1" applyBorder="1"/>
    <xf numFmtId="11" fontId="0" fillId="0" borderId="33" xfId="0" applyNumberFormat="1" applyBorder="1"/>
    <xf numFmtId="0" fontId="77" fillId="0" borderId="34" xfId="0" applyFont="1" applyBorder="1" applyAlignment="1">
      <alignment horizontal="center" vertical="center"/>
    </xf>
    <xf numFmtId="0" fontId="77" fillId="0" borderId="35" xfId="0" applyFont="1" applyBorder="1" applyAlignment="1">
      <alignment horizontal="center" vertical="center"/>
    </xf>
    <xf numFmtId="0" fontId="77" fillId="0" borderId="35" xfId="0" applyFont="1" applyBorder="1" applyAlignment="1">
      <alignment horizontal="center" vertical="center" wrapText="1"/>
    </xf>
    <xf numFmtId="11" fontId="77" fillId="0" borderId="35" xfId="0" applyNumberFormat="1" applyFont="1" applyBorder="1" applyAlignment="1">
      <alignment horizontal="center" vertical="center" wrapText="1"/>
    </xf>
    <xf numFmtId="0" fontId="110" fillId="0" borderId="35" xfId="0" applyFont="1" applyBorder="1" applyAlignment="1">
      <alignment horizontal="center" vertical="center" wrapText="1"/>
    </xf>
    <xf numFmtId="9" fontId="77" fillId="0" borderId="35" xfId="637" applyFont="1" applyFill="1" applyBorder="1" applyAlignment="1">
      <alignment horizontal="center" vertical="center"/>
    </xf>
    <xf numFmtId="2" fontId="77" fillId="0" borderId="35" xfId="0" applyNumberFormat="1" applyFont="1" applyBorder="1" applyAlignment="1">
      <alignment horizontal="center" vertical="center" wrapText="1"/>
    </xf>
    <xf numFmtId="1" fontId="77" fillId="0" borderId="35" xfId="0" applyNumberFormat="1" applyFont="1" applyBorder="1" applyAlignment="1">
      <alignment horizontal="center" vertical="center" wrapText="1"/>
    </xf>
    <xf numFmtId="11" fontId="77" fillId="0" borderId="36" xfId="0" applyNumberFormat="1" applyFont="1" applyBorder="1" applyAlignment="1">
      <alignment horizontal="center" vertical="center" wrapText="1"/>
    </xf>
    <xf numFmtId="1" fontId="0" fillId="0" borderId="2" xfId="0" applyNumberFormat="1" applyBorder="1"/>
    <xf numFmtId="166" fontId="58" fillId="0" borderId="0" xfId="637" applyNumberFormat="1" applyFont="1" applyAlignment="1">
      <alignment horizontal="right"/>
    </xf>
    <xf numFmtId="9" fontId="58" fillId="0" borderId="0" xfId="637" applyFont="1" applyAlignment="1">
      <alignment horizontal="right"/>
    </xf>
    <xf numFmtId="1" fontId="0" fillId="0" borderId="0" xfId="0" applyNumberFormat="1" applyAlignment="1">
      <alignment horizontal="right"/>
    </xf>
    <xf numFmtId="10" fontId="58" fillId="0" borderId="0" xfId="637" applyNumberFormat="1" applyFont="1" applyAlignment="1">
      <alignment horizontal="right"/>
    </xf>
    <xf numFmtId="167" fontId="58" fillId="0" borderId="0" xfId="2" applyNumberFormat="1" applyFont="1" applyFill="1" applyAlignment="1">
      <alignment horizontal="right"/>
    </xf>
    <xf numFmtId="168" fontId="58" fillId="0" borderId="0" xfId="637" applyNumberFormat="1" applyFont="1" applyAlignment="1">
      <alignment horizontal="right"/>
    </xf>
    <xf numFmtId="169" fontId="58" fillId="0" borderId="0" xfId="637" applyNumberFormat="1" applyFont="1" applyAlignment="1">
      <alignment horizontal="right"/>
    </xf>
    <xf numFmtId="11" fontId="75" fillId="0" borderId="0" xfId="0" applyNumberFormat="1" applyFont="1" applyAlignment="1">
      <alignment horizontal="right"/>
    </xf>
    <xf numFmtId="171" fontId="58" fillId="0" borderId="0" xfId="637" applyNumberFormat="1" applyFont="1" applyAlignment="1">
      <alignment horizontal="right"/>
    </xf>
    <xf numFmtId="0" fontId="95" fillId="11" borderId="13" xfId="0" applyFont="1" applyFill="1" applyBorder="1" applyAlignment="1">
      <alignment vertical="center"/>
    </xf>
    <xf numFmtId="0" fontId="95" fillId="11" borderId="13" xfId="0" applyFont="1" applyFill="1" applyBorder="1"/>
    <xf numFmtId="0" fontId="95" fillId="11" borderId="0" xfId="0" applyFont="1" applyFill="1" applyAlignment="1">
      <alignment vertical="center"/>
    </xf>
    <xf numFmtId="0" fontId="67" fillId="0" borderId="15" xfId="0" applyFont="1" applyBorder="1"/>
    <xf numFmtId="0" fontId="7" fillId="0" borderId="15" xfId="644" applyFont="1" applyFill="1" applyBorder="1" applyAlignment="1">
      <alignment horizontal="left" vertical="center"/>
    </xf>
    <xf numFmtId="0" fontId="7" fillId="0" borderId="2" xfId="644" applyFont="1" applyFill="1" applyBorder="1" applyAlignment="1">
      <alignment horizontal="left" vertical="center"/>
    </xf>
    <xf numFmtId="0" fontId="67" fillId="0" borderId="2" xfId="0" applyFont="1" applyBorder="1" applyAlignment="1">
      <alignment horizontal="left" vertical="center"/>
    </xf>
    <xf numFmtId="0" fontId="29" fillId="0" borderId="0" xfId="0" applyFont="1" applyAlignment="1">
      <alignment horizontal="left" vertical="top"/>
    </xf>
    <xf numFmtId="0" fontId="111" fillId="0" borderId="0" xfId="0" applyFont="1"/>
    <xf numFmtId="0" fontId="97" fillId="0" borderId="0" xfId="0" applyFont="1" applyAlignment="1">
      <alignment horizontal="left" vertical="center"/>
    </xf>
    <xf numFmtId="0" fontId="97" fillId="0" borderId="0" xfId="215" applyFont="1"/>
    <xf numFmtId="0" fontId="112" fillId="0" borderId="0" xfId="0" applyFont="1"/>
    <xf numFmtId="0" fontId="65" fillId="0" borderId="0" xfId="0" applyFont="1" applyAlignment="1">
      <alignment horizontal="center" vertical="center"/>
    </xf>
    <xf numFmtId="11" fontId="0" fillId="0" borderId="0" xfId="0" applyNumberFormat="1" applyAlignment="1">
      <alignment horizontal="left"/>
    </xf>
    <xf numFmtId="2" fontId="58" fillId="0" borderId="0" xfId="215" applyNumberFormat="1" applyFont="1"/>
    <xf numFmtId="0" fontId="64" fillId="17" borderId="0" xfId="0" applyFont="1" applyFill="1"/>
    <xf numFmtId="1" fontId="0" fillId="17" borderId="0" xfId="0" applyNumberFormat="1" applyFill="1"/>
    <xf numFmtId="11" fontId="64" fillId="30" borderId="0" xfId="637" applyNumberFormat="1" applyFont="1" applyFill="1" applyBorder="1" applyAlignment="1">
      <alignment horizontal="center"/>
    </xf>
    <xf numFmtId="174" fontId="0" fillId="31" borderId="0" xfId="0" applyNumberFormat="1" applyFill="1" applyAlignment="1">
      <alignment horizontal="center"/>
    </xf>
    <xf numFmtId="1" fontId="67" fillId="31" borderId="0" xfId="0" applyNumberFormat="1" applyFont="1" applyFill="1"/>
    <xf numFmtId="0" fontId="0" fillId="32" borderId="0" xfId="0" applyFill="1" applyAlignment="1">
      <alignment horizontal="right"/>
    </xf>
    <xf numFmtId="0" fontId="0" fillId="32" borderId="2" xfId="0" applyFill="1" applyBorder="1" applyAlignment="1">
      <alignment horizontal="right"/>
    </xf>
    <xf numFmtId="0" fontId="0" fillId="32" borderId="0" xfId="0" applyFill="1"/>
    <xf numFmtId="11" fontId="0" fillId="32" borderId="0" xfId="0" applyNumberFormat="1" applyFill="1"/>
    <xf numFmtId="0" fontId="0" fillId="32" borderId="2" xfId="0" applyFill="1" applyBorder="1"/>
    <xf numFmtId="11" fontId="0" fillId="32" borderId="2" xfId="0" applyNumberFormat="1" applyFill="1" applyBorder="1"/>
    <xf numFmtId="0" fontId="113" fillId="0" borderId="0" xfId="215" applyFont="1"/>
    <xf numFmtId="0" fontId="113" fillId="0" borderId="0" xfId="0" applyFont="1"/>
    <xf numFmtId="1" fontId="67" fillId="0" borderId="2" xfId="2" applyNumberFormat="1" applyFont="1" applyFill="1" applyBorder="1" applyAlignment="1">
      <alignment horizontal="left"/>
    </xf>
    <xf numFmtId="0" fontId="114" fillId="0" borderId="0" xfId="215" applyFont="1"/>
    <xf numFmtId="11" fontId="64" fillId="9" borderId="0" xfId="215" applyNumberFormat="1" applyFill="1"/>
    <xf numFmtId="11" fontId="64" fillId="11" borderId="8" xfId="215" applyNumberFormat="1" applyFill="1" applyBorder="1" applyAlignment="1">
      <alignment horizontal="center"/>
    </xf>
    <xf numFmtId="11" fontId="64" fillId="11" borderId="9" xfId="215" applyNumberFormat="1" applyFill="1" applyBorder="1" applyAlignment="1">
      <alignment horizontal="center"/>
    </xf>
    <xf numFmtId="11" fontId="64" fillId="9" borderId="9" xfId="215" applyNumberFormat="1" applyFill="1" applyBorder="1"/>
    <xf numFmtId="0" fontId="115" fillId="0" borderId="0" xfId="0" applyFont="1" applyAlignment="1">
      <alignment wrapText="1"/>
    </xf>
    <xf numFmtId="11" fontId="116" fillId="0" borderId="0" xfId="215" applyNumberFormat="1" applyFont="1"/>
    <xf numFmtId="0" fontId="117" fillId="0" borderId="0" xfId="0" applyFont="1"/>
    <xf numFmtId="0" fontId="118" fillId="0" borderId="0" xfId="0" applyFont="1"/>
    <xf numFmtId="0" fontId="119" fillId="0" borderId="0" xfId="0" applyFont="1"/>
    <xf numFmtId="0" fontId="120" fillId="0" borderId="35" xfId="0" applyFont="1" applyBorder="1" applyAlignment="1">
      <alignment horizontal="center" vertical="center" wrapText="1"/>
    </xf>
    <xf numFmtId="0" fontId="110" fillId="9" borderId="35" xfId="0" applyFont="1" applyFill="1" applyBorder="1" applyAlignment="1">
      <alignment horizontal="center" vertical="center" wrapText="1"/>
    </xf>
    <xf numFmtId="0" fontId="116" fillId="0" borderId="0" xfId="0" applyFont="1" applyAlignment="1">
      <alignment horizontal="center" wrapText="1"/>
    </xf>
    <xf numFmtId="0" fontId="116" fillId="0" borderId="0" xfId="0" applyFont="1"/>
    <xf numFmtId="11" fontId="0" fillId="15" borderId="2" xfId="0" applyNumberFormat="1" applyFill="1" applyBorder="1" applyAlignment="1">
      <alignment horizontal="center"/>
    </xf>
    <xf numFmtId="0" fontId="66" fillId="0" borderId="0" xfId="0" applyFont="1"/>
    <xf numFmtId="0" fontId="121" fillId="0" borderId="0" xfId="0" applyFont="1"/>
    <xf numFmtId="0" fontId="115" fillId="0" borderId="0" xfId="0" applyFont="1"/>
    <xf numFmtId="9" fontId="66" fillId="9" borderId="0" xfId="637" applyFont="1" applyFill="1" applyAlignment="1">
      <alignment horizontal="center"/>
    </xf>
    <xf numFmtId="0" fontId="66" fillId="9" borderId="0" xfId="0" applyFont="1" applyFill="1" applyAlignment="1">
      <alignment horizontal="center"/>
    </xf>
    <xf numFmtId="9" fontId="66" fillId="9" borderId="0" xfId="0" applyNumberFormat="1" applyFont="1" applyFill="1" applyAlignment="1">
      <alignment horizontal="center"/>
    </xf>
    <xf numFmtId="0" fontId="122" fillId="0" borderId="0" xfId="0" applyFont="1" applyAlignment="1">
      <alignment horizontal="center" vertical="center" wrapText="1"/>
    </xf>
    <xf numFmtId="0" fontId="114" fillId="0" borderId="0" xfId="0" applyFont="1"/>
    <xf numFmtId="0" fontId="123" fillId="0" borderId="0" xfId="0" applyFont="1" applyAlignment="1">
      <alignment horizontal="center" wrapText="1"/>
    </xf>
    <xf numFmtId="0" fontId="123" fillId="0" borderId="0" xfId="0" applyFont="1" applyAlignment="1">
      <alignment horizontal="center" vertical="center" wrapText="1"/>
    </xf>
    <xf numFmtId="0" fontId="0" fillId="0" borderId="0" xfId="0" applyAlignment="1">
      <alignment vertical="center"/>
    </xf>
    <xf numFmtId="0" fontId="29" fillId="0" borderId="0" xfId="215" applyFont="1"/>
    <xf numFmtId="0" fontId="124" fillId="0" borderId="0" xfId="0" applyFont="1"/>
    <xf numFmtId="0" fontId="81" fillId="0" borderId="0" xfId="0" applyFont="1"/>
    <xf numFmtId="0" fontId="85" fillId="26" borderId="4" xfId="0" applyFont="1" applyFill="1" applyBorder="1" applyAlignment="1">
      <alignment horizontal="center" vertical="center"/>
    </xf>
    <xf numFmtId="0" fontId="85" fillId="0" borderId="0" xfId="0" applyFont="1" applyBorder="1" applyAlignment="1">
      <alignment horizontal="center" vertical="center"/>
    </xf>
    <xf numFmtId="0" fontId="0" fillId="0" borderId="0" xfId="0" applyBorder="1"/>
    <xf numFmtId="0" fontId="97" fillId="0" borderId="0" xfId="0" applyFont="1" applyAlignment="1">
      <alignment horizontal="center"/>
    </xf>
    <xf numFmtId="0" fontId="66" fillId="0" borderId="0" xfId="0" applyFont="1" applyFill="1"/>
    <xf numFmtId="0" fontId="0" fillId="0" borderId="0" xfId="0" applyFill="1"/>
    <xf numFmtId="0" fontId="67" fillId="0" borderId="0" xfId="0" applyFont="1" applyFill="1"/>
    <xf numFmtId="11" fontId="67" fillId="0" borderId="0" xfId="0" applyNumberFormat="1" applyFont="1" applyFill="1"/>
    <xf numFmtId="1" fontId="67" fillId="0" borderId="0" xfId="0" applyNumberFormat="1" applyFont="1" applyFill="1" applyAlignment="1">
      <alignment horizontal="left"/>
    </xf>
    <xf numFmtId="11" fontId="0" fillId="0" borderId="0" xfId="0" applyNumberFormat="1" applyFill="1"/>
    <xf numFmtId="0" fontId="0" fillId="0" borderId="0" xfId="0" applyFill="1" applyAlignment="1">
      <alignment horizontal="left"/>
    </xf>
    <xf numFmtId="2" fontId="67" fillId="0" borderId="0" xfId="0" applyNumberFormat="1" applyFont="1" applyFill="1"/>
    <xf numFmtId="0" fontId="67" fillId="0" borderId="0" xfId="0" applyFont="1" applyFill="1" applyAlignment="1">
      <alignment horizontal="left" vertical="center"/>
    </xf>
    <xf numFmtId="0" fontId="67" fillId="0" borderId="2" xfId="0" applyFont="1" applyFill="1" applyBorder="1"/>
    <xf numFmtId="9" fontId="67" fillId="0" borderId="0" xfId="637" applyFont="1" applyFill="1"/>
    <xf numFmtId="1" fontId="67" fillId="0" borderId="0" xfId="0" applyNumberFormat="1" applyFont="1" applyFill="1"/>
    <xf numFmtId="0" fontId="95" fillId="0" borderId="2" xfId="0" applyFont="1" applyFill="1" applyBorder="1"/>
    <xf numFmtId="167" fontId="67" fillId="0" borderId="0" xfId="2" applyNumberFormat="1" applyFont="1" applyFill="1" applyBorder="1"/>
    <xf numFmtId="2" fontId="58" fillId="0" borderId="0" xfId="215" applyNumberFormat="1" applyFont="1" applyFill="1"/>
    <xf numFmtId="174" fontId="67" fillId="0" borderId="0" xfId="0" applyNumberFormat="1" applyFont="1" applyFill="1"/>
    <xf numFmtId="1" fontId="67" fillId="0" borderId="2" xfId="0" applyNumberFormat="1" applyFont="1" applyFill="1" applyBorder="1" applyAlignment="1">
      <alignment horizontal="left"/>
    </xf>
    <xf numFmtId="11" fontId="67" fillId="0" borderId="0" xfId="2" applyNumberFormat="1" applyFont="1" applyFill="1" applyAlignment="1">
      <alignment horizontal="right"/>
    </xf>
    <xf numFmtId="11" fontId="67" fillId="0" borderId="0" xfId="0" applyNumberFormat="1" applyFont="1" applyFill="1" applyAlignment="1">
      <alignment horizontal="center"/>
    </xf>
    <xf numFmtId="0" fontId="67" fillId="0" borderId="0" xfId="0" applyFont="1" applyFill="1" applyAlignment="1">
      <alignment horizontal="right"/>
    </xf>
    <xf numFmtId="0" fontId="67" fillId="0" borderId="0" xfId="0" applyFont="1" applyFill="1" applyAlignment="1">
      <alignment horizontal="left"/>
    </xf>
    <xf numFmtId="11" fontId="67" fillId="0" borderId="0" xfId="0" applyNumberFormat="1" applyFont="1" applyFill="1" applyAlignment="1">
      <alignment horizontal="right"/>
    </xf>
    <xf numFmtId="11" fontId="67" fillId="0" borderId="0" xfId="0" applyNumberFormat="1" applyFont="1" applyFill="1" applyAlignment="1">
      <alignment horizontal="left"/>
    </xf>
    <xf numFmtId="1" fontId="95" fillId="0" borderId="2" xfId="0" applyNumberFormat="1" applyFont="1" applyFill="1" applyBorder="1"/>
    <xf numFmtId="11" fontId="67" fillId="0" borderId="2" xfId="0" applyNumberFormat="1" applyFont="1" applyFill="1" applyBorder="1" applyAlignment="1">
      <alignment horizontal="left"/>
    </xf>
    <xf numFmtId="0" fontId="7" fillId="0" borderId="0" xfId="0" applyFont="1" applyFill="1" applyAlignment="1">
      <alignment horizontal="left"/>
    </xf>
    <xf numFmtId="0" fontId="70" fillId="0" borderId="0" xfId="215" applyFont="1"/>
    <xf numFmtId="0" fontId="125" fillId="0" borderId="0" xfId="0" applyFont="1" applyAlignment="1">
      <alignment horizontal="left"/>
    </xf>
    <xf numFmtId="0" fontId="0" fillId="0" borderId="0" xfId="0" applyFont="1"/>
    <xf numFmtId="0" fontId="7" fillId="0" borderId="2" xfId="0" applyFont="1" applyBorder="1" applyAlignment="1">
      <alignment horizontal="center" wrapText="1"/>
    </xf>
    <xf numFmtId="0" fontId="97" fillId="0" borderId="0" xfId="0" applyFont="1" applyAlignment="1">
      <alignment vertical="center"/>
    </xf>
    <xf numFmtId="0" fontId="69" fillId="0" borderId="0" xfId="0" applyFont="1" applyFill="1" applyAlignment="1">
      <alignment horizontal="left"/>
    </xf>
    <xf numFmtId="0" fontId="69" fillId="0" borderId="0" xfId="0" applyFont="1" applyFill="1"/>
    <xf numFmtId="0" fontId="104" fillId="0" borderId="3" xfId="0" applyFont="1" applyBorder="1" applyAlignment="1">
      <alignment horizontal="center" vertical="center" wrapText="1"/>
    </xf>
    <xf numFmtId="0" fontId="110" fillId="0" borderId="3" xfId="0" applyFont="1" applyBorder="1" applyAlignment="1">
      <alignment horizontal="center" vertical="center" wrapText="1"/>
    </xf>
    <xf numFmtId="2" fontId="74" fillId="0" borderId="0" xfId="0" applyNumberFormat="1" applyFont="1" applyFill="1" applyAlignment="1">
      <alignment horizontal="center"/>
    </xf>
    <xf numFmtId="11" fontId="74" fillId="0" borderId="0" xfId="0" applyNumberFormat="1" applyFont="1" applyFill="1" applyAlignment="1">
      <alignment horizontal="center"/>
    </xf>
    <xf numFmtId="0" fontId="0" fillId="0" borderId="0" xfId="0" applyFont="1" applyAlignment="1">
      <alignment horizontal="center"/>
    </xf>
    <xf numFmtId="0" fontId="95" fillId="0" borderId="2" xfId="0" applyFont="1" applyBorder="1" applyAlignment="1">
      <alignment horizontal="left" wrapText="1"/>
    </xf>
    <xf numFmtId="0" fontId="42" fillId="0" borderId="2" xfId="0" applyFont="1" applyFill="1" applyBorder="1" applyAlignment="1">
      <alignment horizontal="left" wrapText="1"/>
    </xf>
    <xf numFmtId="0" fontId="95" fillId="0" borderId="0" xfId="0" applyFont="1" applyAlignment="1">
      <alignment horizontal="center" wrapText="1"/>
    </xf>
    <xf numFmtId="0" fontId="95" fillId="0" borderId="2" xfId="0" applyFont="1" applyFill="1" applyBorder="1" applyAlignment="1">
      <alignment horizontal="left"/>
    </xf>
    <xf numFmtId="0" fontId="95" fillId="0" borderId="2" xfId="0" applyFont="1" applyFill="1" applyBorder="1" applyAlignment="1">
      <alignment horizontal="left" wrapText="1"/>
    </xf>
    <xf numFmtId="0" fontId="120" fillId="17" borderId="2" xfId="0" applyFont="1" applyFill="1" applyBorder="1" applyAlignment="1">
      <alignment horizontal="center"/>
    </xf>
    <xf numFmtId="0" fontId="68" fillId="0" borderId="0" xfId="0" applyFont="1" applyAlignment="1">
      <alignment horizontal="center" wrapText="1"/>
    </xf>
    <xf numFmtId="0" fontId="0" fillId="0" borderId="0" xfId="0" applyAlignment="1">
      <alignment horizontal="right"/>
    </xf>
    <xf numFmtId="0" fontId="78" fillId="0" borderId="3" xfId="0" applyFont="1" applyBorder="1" applyAlignment="1">
      <alignment horizontal="center" wrapText="1"/>
    </xf>
    <xf numFmtId="0" fontId="85" fillId="16" borderId="2" xfId="0" applyFont="1" applyFill="1" applyBorder="1" applyAlignment="1">
      <alignment horizontal="left" vertical="center"/>
    </xf>
    <xf numFmtId="0" fontId="0" fillId="9" borderId="37" xfId="0" applyFill="1" applyBorder="1" applyAlignment="1">
      <alignment horizontal="center" wrapText="1"/>
    </xf>
    <xf numFmtId="0" fontId="0" fillId="9" borderId="18" xfId="0" applyFill="1" applyBorder="1" applyAlignment="1">
      <alignment horizontal="center" wrapText="1"/>
    </xf>
    <xf numFmtId="0" fontId="0" fillId="9" borderId="38" xfId="0" applyFill="1" applyBorder="1" applyAlignment="1">
      <alignment horizontal="center" wrapText="1"/>
    </xf>
    <xf numFmtId="0" fontId="85" fillId="14" borderId="0" xfId="0" applyFont="1" applyFill="1" applyAlignment="1">
      <alignment horizontal="left" vertical="center"/>
    </xf>
    <xf numFmtId="0" fontId="105" fillId="33" borderId="10" xfId="0" applyFont="1" applyFill="1" applyBorder="1" applyAlignment="1">
      <alignment horizontal="center" vertical="top" wrapText="1"/>
    </xf>
    <xf numFmtId="0" fontId="105" fillId="33" borderId="0" xfId="0" applyFont="1" applyFill="1" applyAlignment="1">
      <alignment horizontal="center" vertical="top" wrapText="1"/>
    </xf>
    <xf numFmtId="0" fontId="69" fillId="0" borderId="0" xfId="0" applyFont="1" applyAlignment="1">
      <alignment horizontal="left" vertical="top" wrapText="1"/>
    </xf>
    <xf numFmtId="0" fontId="107" fillId="0" borderId="2" xfId="0" applyFont="1" applyBorder="1" applyAlignment="1">
      <alignment horizontal="left" wrapText="1"/>
    </xf>
    <xf numFmtId="0" fontId="116" fillId="0" borderId="0" xfId="0" applyFont="1" applyBorder="1" applyAlignment="1">
      <alignment horizontal="center" wrapText="1"/>
    </xf>
    <xf numFmtId="0" fontId="85" fillId="16" borderId="39" xfId="0" applyFont="1" applyFill="1" applyBorder="1" applyAlignment="1">
      <alignment horizontal="left" wrapText="1"/>
    </xf>
    <xf numFmtId="0" fontId="85" fillId="16" borderId="2" xfId="0" applyFont="1" applyFill="1" applyBorder="1" applyAlignment="1">
      <alignment horizontal="left" wrapText="1"/>
    </xf>
    <xf numFmtId="0" fontId="65" fillId="18" borderId="2" xfId="0" applyFont="1" applyFill="1" applyBorder="1" applyAlignment="1">
      <alignment horizontal="right"/>
    </xf>
    <xf numFmtId="0" fontId="66" fillId="0" borderId="0" xfId="0" applyFont="1" applyFill="1" applyAlignment="1">
      <alignment horizontal="center" wrapText="1"/>
    </xf>
    <xf numFmtId="0" fontId="126" fillId="0" borderId="0" xfId="0" applyFont="1" applyAlignment="1">
      <alignment horizontal="left" vertical="center"/>
    </xf>
    <xf numFmtId="0" fontId="126" fillId="0" borderId="0" xfId="0" applyFont="1" applyAlignment="1">
      <alignment horizontal="left"/>
    </xf>
    <xf numFmtId="0" fontId="95" fillId="11" borderId="40" xfId="0" applyFont="1" applyFill="1" applyBorder="1" applyAlignment="1">
      <alignment horizontal="center"/>
    </xf>
    <xf numFmtId="0" fontId="95" fillId="11" borderId="17" xfId="0" applyFont="1" applyFill="1" applyBorder="1" applyAlignment="1">
      <alignment horizontal="center"/>
    </xf>
    <xf numFmtId="0" fontId="95" fillId="11" borderId="41" xfId="0" applyFont="1" applyFill="1" applyBorder="1" applyAlignment="1">
      <alignment horizontal="center"/>
    </xf>
    <xf numFmtId="0" fontId="67" fillId="0" borderId="0" xfId="0" applyFont="1" applyAlignment="1">
      <alignment horizontal="center" vertical="center"/>
    </xf>
    <xf numFmtId="0" fontId="67" fillId="0" borderId="2" xfId="0" applyFont="1" applyBorder="1" applyAlignment="1">
      <alignment horizontal="center" vertical="center"/>
    </xf>
    <xf numFmtId="0" fontId="67" fillId="0" borderId="18" xfId="648" applyFont="1" applyBorder="1" applyAlignment="1">
      <alignment horizontal="center" vertical="center"/>
    </xf>
    <xf numFmtId="0" fontId="67" fillId="0" borderId="2" xfId="648" applyFont="1" applyBorder="1" applyAlignment="1">
      <alignment horizontal="center" vertical="center"/>
    </xf>
    <xf numFmtId="0" fontId="7" fillId="0" borderId="17" xfId="644" applyFont="1" applyFill="1" applyBorder="1" applyAlignment="1">
      <alignment horizontal="center" vertical="center"/>
    </xf>
    <xf numFmtId="0" fontId="7" fillId="0" borderId="2" xfId="648" applyFont="1" applyBorder="1" applyAlignment="1">
      <alignment horizontal="center" vertical="center"/>
    </xf>
    <xf numFmtId="0" fontId="85" fillId="14" borderId="0" xfId="0" applyFont="1" applyFill="1" applyAlignment="1">
      <alignment horizontal="left"/>
    </xf>
    <xf numFmtId="0" fontId="85" fillId="14" borderId="2" xfId="0" applyFont="1" applyFill="1" applyBorder="1" applyAlignment="1">
      <alignment horizontal="left" vertical="center" wrapText="1"/>
    </xf>
    <xf numFmtId="0" fontId="85" fillId="14" borderId="2" xfId="0" applyFont="1" applyFill="1" applyBorder="1" applyAlignment="1">
      <alignment horizontal="left" vertical="center"/>
    </xf>
    <xf numFmtId="0" fontId="33" fillId="0" borderId="4" xfId="7" applyFont="1" applyBorder="1" applyAlignment="1">
      <alignment horizontal="center" wrapText="1"/>
    </xf>
    <xf numFmtId="11" fontId="70" fillId="0" borderId="0" xfId="43" applyNumberFormat="1" applyFont="1" applyAlignment="1">
      <alignment horizontal="left"/>
    </xf>
    <xf numFmtId="11" fontId="70" fillId="0" borderId="2" xfId="43" applyNumberFormat="1" applyFont="1" applyBorder="1" applyAlignment="1">
      <alignment horizontal="left"/>
    </xf>
    <xf numFmtId="0" fontId="83" fillId="0" borderId="4" xfId="43" applyFont="1" applyBorder="1" applyAlignment="1">
      <alignment horizontal="center"/>
    </xf>
    <xf numFmtId="0" fontId="71" fillId="0" borderId="4" xfId="43" applyFont="1" applyBorder="1" applyAlignment="1">
      <alignment horizontal="right"/>
    </xf>
    <xf numFmtId="0" fontId="70" fillId="0" borderId="0" xfId="43" applyFont="1" applyAlignment="1">
      <alignment horizontal="left" wrapText="1"/>
    </xf>
    <xf numFmtId="0" fontId="80" fillId="0" borderId="4" xfId="43" applyFont="1" applyBorder="1" applyAlignment="1">
      <alignment vertical="center"/>
    </xf>
    <xf numFmtId="0" fontId="80" fillId="0" borderId="2" xfId="43" applyFont="1" applyBorder="1" applyAlignment="1">
      <alignment vertical="center"/>
    </xf>
    <xf numFmtId="0" fontId="83" fillId="0" borderId="4" xfId="43" applyFont="1" applyBorder="1" applyAlignment="1">
      <alignment horizontal="center" wrapText="1"/>
    </xf>
    <xf numFmtId="0" fontId="10" fillId="0" borderId="4" xfId="7" applyBorder="1" applyAlignment="1">
      <alignment horizontal="left" wrapText="1"/>
    </xf>
    <xf numFmtId="0" fontId="10" fillId="0" borderId="0" xfId="7" applyAlignment="1">
      <alignment horizontal="left" wrapText="1"/>
    </xf>
    <xf numFmtId="0" fontId="127" fillId="0" borderId="4" xfId="43" applyFont="1" applyBorder="1" applyAlignment="1">
      <alignment horizontal="center" wrapText="1"/>
    </xf>
    <xf numFmtId="0" fontId="69" fillId="20" borderId="0" xfId="7" applyFont="1" applyFill="1" applyAlignment="1">
      <alignment horizontal="left" wrapText="1"/>
    </xf>
    <xf numFmtId="0" fontId="80" fillId="0" borderId="0" xfId="43" applyFont="1" applyAlignment="1">
      <alignment horizontal="center" wrapText="1"/>
    </xf>
    <xf numFmtId="0" fontId="80" fillId="0" borderId="2" xfId="43" applyFont="1" applyBorder="1" applyAlignment="1">
      <alignment horizontal="center" wrapText="1"/>
    </xf>
    <xf numFmtId="0" fontId="80" fillId="0" borderId="4" xfId="43" applyFont="1" applyBorder="1" applyAlignment="1">
      <alignment horizontal="center" vertical="center" wrapText="1"/>
    </xf>
    <xf numFmtId="0" fontId="80" fillId="0" borderId="2" xfId="43" applyFont="1" applyBorder="1" applyAlignment="1">
      <alignment horizontal="center" vertical="center" wrapText="1"/>
    </xf>
    <xf numFmtId="0" fontId="80" fillId="0" borderId="4" xfId="43" applyFont="1" applyBorder="1" applyAlignment="1">
      <alignment horizontal="center" wrapText="1"/>
    </xf>
    <xf numFmtId="0" fontId="84" fillId="0" borderId="3" xfId="43" applyFont="1" applyBorder="1" applyAlignment="1">
      <alignment horizontal="center" vertical="center"/>
    </xf>
    <xf numFmtId="0" fontId="80" fillId="0" borderId="3" xfId="43" applyFont="1" applyBorder="1" applyAlignment="1">
      <alignment horizontal="center"/>
    </xf>
    <xf numFmtId="0" fontId="125" fillId="20" borderId="2" xfId="43" applyFont="1" applyFill="1" applyBorder="1" applyAlignment="1">
      <alignment horizontal="left"/>
    </xf>
    <xf numFmtId="0" fontId="85" fillId="20" borderId="0" xfId="0" applyFont="1" applyFill="1" applyAlignment="1">
      <alignment horizontal="center"/>
    </xf>
    <xf numFmtId="0" fontId="128" fillId="0" borderId="4" xfId="0" applyFont="1" applyBorder="1" applyAlignment="1">
      <alignment horizontal="center" wrapText="1"/>
    </xf>
    <xf numFmtId="0" fontId="128" fillId="0" borderId="0" xfId="0" applyFont="1" applyAlignment="1">
      <alignment horizontal="center" wrapText="1"/>
    </xf>
    <xf numFmtId="0" fontId="0" fillId="0" borderId="4" xfId="0" applyBorder="1" applyAlignment="1">
      <alignment horizontal="center" wrapText="1"/>
    </xf>
    <xf numFmtId="0" fontId="0" fillId="0" borderId="4" xfId="0" applyBorder="1" applyAlignment="1">
      <alignment horizontal="center"/>
    </xf>
    <xf numFmtId="0" fontId="0" fillId="0" borderId="4"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wrapText="1"/>
    </xf>
    <xf numFmtId="0" fontId="85" fillId="20" borderId="2" xfId="0" applyFont="1" applyFill="1" applyBorder="1" applyAlignment="1">
      <alignment horizontal="center" wrapText="1"/>
    </xf>
    <xf numFmtId="0" fontId="68" fillId="0" borderId="4" xfId="0" applyFont="1" applyBorder="1" applyAlignment="1">
      <alignment horizontal="center" wrapText="1"/>
    </xf>
    <xf numFmtId="0" fontId="65" fillId="0" borderId="8" xfId="0" applyFont="1" applyBorder="1" applyAlignment="1">
      <alignment horizontal="center" wrapText="1"/>
    </xf>
    <xf numFmtId="0" fontId="65" fillId="0" borderId="0" xfId="0" applyFont="1" applyAlignment="1">
      <alignment horizontal="center" wrapText="1"/>
    </xf>
    <xf numFmtId="0" fontId="65" fillId="0" borderId="6" xfId="0" applyFont="1" applyBorder="1" applyAlignment="1">
      <alignment horizontal="center" wrapText="1"/>
    </xf>
    <xf numFmtId="0" fontId="68" fillId="0" borderId="20" xfId="0" applyFont="1" applyBorder="1" applyAlignment="1">
      <alignment horizontal="center" wrapText="1"/>
    </xf>
    <xf numFmtId="0" fontId="68" fillId="0" borderId="19" xfId="0" applyFont="1" applyBorder="1" applyAlignment="1">
      <alignment horizontal="center" wrapText="1"/>
    </xf>
    <xf numFmtId="0" fontId="29" fillId="0" borderId="0" xfId="0" applyFont="1" applyAlignment="1">
      <alignment horizontal="left" wrapText="1"/>
    </xf>
    <xf numFmtId="0" fontId="129" fillId="0" borderId="0" xfId="0" applyFont="1"/>
  </cellXfs>
  <cellStyles count="649">
    <cellStyle name="20% - 강조색1 2" xfId="1" xr:uid="{00000000-0005-0000-0000-000000000000}"/>
    <cellStyle name="Comma" xfId="2" builtinId="3"/>
    <cellStyle name="Comma 2" xfId="3" xr:uid="{00000000-0005-0000-0000-000002000000}"/>
    <cellStyle name="Hyperlink" xfId="4" builtinId="8"/>
    <cellStyle name="Hyperlink 2" xfId="5" xr:uid="{00000000-0005-0000-0000-000004000000}"/>
    <cellStyle name="Neutral" xfId="6" builtinId="28"/>
    <cellStyle name="Normal" xfId="0" builtinId="0"/>
    <cellStyle name="Normal 10" xfId="7" xr:uid="{00000000-0005-0000-0000-000007000000}"/>
    <cellStyle name="Normal 10 2" xfId="8" xr:uid="{00000000-0005-0000-0000-000008000000}"/>
    <cellStyle name="Normal 10 3" xfId="9" xr:uid="{00000000-0005-0000-0000-000009000000}"/>
    <cellStyle name="Normal 10 4" xfId="10" xr:uid="{00000000-0005-0000-0000-00000A000000}"/>
    <cellStyle name="Normal 11" xfId="11" xr:uid="{00000000-0005-0000-0000-00000B000000}"/>
    <cellStyle name="Normal 11 2" xfId="12" xr:uid="{00000000-0005-0000-0000-00000C000000}"/>
    <cellStyle name="Normal 11 3" xfId="13" xr:uid="{00000000-0005-0000-0000-00000D000000}"/>
    <cellStyle name="Normal 11 4" xfId="14" xr:uid="{00000000-0005-0000-0000-00000E000000}"/>
    <cellStyle name="Normal 11 5" xfId="15" xr:uid="{00000000-0005-0000-0000-00000F000000}"/>
    <cellStyle name="Normal 12" xfId="16" xr:uid="{00000000-0005-0000-0000-000010000000}"/>
    <cellStyle name="Normal 12 2" xfId="17" xr:uid="{00000000-0005-0000-0000-000011000000}"/>
    <cellStyle name="Normal 12 3" xfId="18" xr:uid="{00000000-0005-0000-0000-000012000000}"/>
    <cellStyle name="Normal 12 4" xfId="19" xr:uid="{00000000-0005-0000-0000-000013000000}"/>
    <cellStyle name="Normal 12 5" xfId="20" xr:uid="{00000000-0005-0000-0000-000014000000}"/>
    <cellStyle name="Normal 12 6" xfId="21" xr:uid="{00000000-0005-0000-0000-000015000000}"/>
    <cellStyle name="Normal 13" xfId="22" xr:uid="{00000000-0005-0000-0000-000016000000}"/>
    <cellStyle name="Normal 13 2" xfId="23" xr:uid="{00000000-0005-0000-0000-000017000000}"/>
    <cellStyle name="Normal 13 3" xfId="24" xr:uid="{00000000-0005-0000-0000-000018000000}"/>
    <cellStyle name="Normal 13 4" xfId="25" xr:uid="{00000000-0005-0000-0000-000019000000}"/>
    <cellStyle name="Normal 13 5" xfId="26" xr:uid="{00000000-0005-0000-0000-00001A000000}"/>
    <cellStyle name="Normal 14" xfId="27" xr:uid="{00000000-0005-0000-0000-00001B000000}"/>
    <cellStyle name="Normal 14 2" xfId="28" xr:uid="{00000000-0005-0000-0000-00001C000000}"/>
    <cellStyle name="Normal 14 3" xfId="29" xr:uid="{00000000-0005-0000-0000-00001D000000}"/>
    <cellStyle name="Normal 14 4" xfId="30" xr:uid="{00000000-0005-0000-0000-00001E000000}"/>
    <cellStyle name="Normal 14 5" xfId="31" xr:uid="{00000000-0005-0000-0000-00001F000000}"/>
    <cellStyle name="Normal 14 6" xfId="32" xr:uid="{00000000-0005-0000-0000-000020000000}"/>
    <cellStyle name="Normal 15" xfId="33" xr:uid="{00000000-0005-0000-0000-000021000000}"/>
    <cellStyle name="Normal 15 2" xfId="34" xr:uid="{00000000-0005-0000-0000-000022000000}"/>
    <cellStyle name="Normal 15 3" xfId="35" xr:uid="{00000000-0005-0000-0000-000023000000}"/>
    <cellStyle name="Normal 15 4" xfId="36" xr:uid="{00000000-0005-0000-0000-000024000000}"/>
    <cellStyle name="Normal 15 5" xfId="37" xr:uid="{00000000-0005-0000-0000-000025000000}"/>
    <cellStyle name="Normal 16" xfId="38" xr:uid="{00000000-0005-0000-0000-000026000000}"/>
    <cellStyle name="Normal 16 2" xfId="39" xr:uid="{00000000-0005-0000-0000-000027000000}"/>
    <cellStyle name="Normal 16 3" xfId="40" xr:uid="{00000000-0005-0000-0000-000028000000}"/>
    <cellStyle name="Normal 16 4" xfId="41" xr:uid="{00000000-0005-0000-0000-000029000000}"/>
    <cellStyle name="Normal 16 5" xfId="42" xr:uid="{00000000-0005-0000-0000-00002A000000}"/>
    <cellStyle name="Normal 17" xfId="43" xr:uid="{00000000-0005-0000-0000-00002B000000}"/>
    <cellStyle name="Normal 17 2" xfId="44" xr:uid="{00000000-0005-0000-0000-00002C000000}"/>
    <cellStyle name="Normal 17 3" xfId="45" xr:uid="{00000000-0005-0000-0000-00002D000000}"/>
    <cellStyle name="Normal 17 4" xfId="46" xr:uid="{00000000-0005-0000-0000-00002E000000}"/>
    <cellStyle name="Normal 17 5" xfId="47" xr:uid="{00000000-0005-0000-0000-00002F000000}"/>
    <cellStyle name="Normal 18" xfId="48" xr:uid="{00000000-0005-0000-0000-000030000000}"/>
    <cellStyle name="Normal 18 2" xfId="49" xr:uid="{00000000-0005-0000-0000-000031000000}"/>
    <cellStyle name="Normal 18 3" xfId="50" xr:uid="{00000000-0005-0000-0000-000032000000}"/>
    <cellStyle name="Normal 18 4" xfId="51" xr:uid="{00000000-0005-0000-0000-000033000000}"/>
    <cellStyle name="Normal 19" xfId="52" xr:uid="{00000000-0005-0000-0000-000034000000}"/>
    <cellStyle name="Normal 19 2" xfId="53" xr:uid="{00000000-0005-0000-0000-000035000000}"/>
    <cellStyle name="Normal 19 3" xfId="54" xr:uid="{00000000-0005-0000-0000-000036000000}"/>
    <cellStyle name="Normal 19 4" xfId="55" xr:uid="{00000000-0005-0000-0000-000037000000}"/>
    <cellStyle name="Normal 2" xfId="56" xr:uid="{00000000-0005-0000-0000-000038000000}"/>
    <cellStyle name="Normal 2 10" xfId="57" xr:uid="{00000000-0005-0000-0000-000039000000}"/>
    <cellStyle name="Normal 2 11" xfId="58" xr:uid="{00000000-0005-0000-0000-00003A000000}"/>
    <cellStyle name="Normal 2 12" xfId="59" xr:uid="{00000000-0005-0000-0000-00003B000000}"/>
    <cellStyle name="Normal 2 13" xfId="60" xr:uid="{00000000-0005-0000-0000-00003C000000}"/>
    <cellStyle name="Normal 2 14" xfId="61" xr:uid="{00000000-0005-0000-0000-00003D000000}"/>
    <cellStyle name="Normal 2 15" xfId="62" xr:uid="{00000000-0005-0000-0000-00003E000000}"/>
    <cellStyle name="Normal 2 16" xfId="63" xr:uid="{00000000-0005-0000-0000-00003F000000}"/>
    <cellStyle name="Normal 2 17" xfId="64" xr:uid="{00000000-0005-0000-0000-000040000000}"/>
    <cellStyle name="Normal 2 18" xfId="65" xr:uid="{00000000-0005-0000-0000-000041000000}"/>
    <cellStyle name="Normal 2 19" xfId="66" xr:uid="{00000000-0005-0000-0000-000042000000}"/>
    <cellStyle name="Normal 2 2" xfId="67" xr:uid="{00000000-0005-0000-0000-000043000000}"/>
    <cellStyle name="Normal 2 2 10" xfId="68" xr:uid="{00000000-0005-0000-0000-000044000000}"/>
    <cellStyle name="Normal 2 2 11" xfId="69" xr:uid="{00000000-0005-0000-0000-000045000000}"/>
    <cellStyle name="Normal 2 2 12" xfId="70" xr:uid="{00000000-0005-0000-0000-000046000000}"/>
    <cellStyle name="Normal 2 2 13" xfId="71" xr:uid="{00000000-0005-0000-0000-000047000000}"/>
    <cellStyle name="Normal 2 2 14" xfId="72" xr:uid="{00000000-0005-0000-0000-000048000000}"/>
    <cellStyle name="Normal 2 2 15" xfId="73" xr:uid="{00000000-0005-0000-0000-000049000000}"/>
    <cellStyle name="Normal 2 2 16" xfId="74" xr:uid="{00000000-0005-0000-0000-00004A000000}"/>
    <cellStyle name="Normal 2 2 17" xfId="75" xr:uid="{00000000-0005-0000-0000-00004B000000}"/>
    <cellStyle name="Normal 2 2 18" xfId="76" xr:uid="{00000000-0005-0000-0000-00004C000000}"/>
    <cellStyle name="Normal 2 2 19" xfId="77" xr:uid="{00000000-0005-0000-0000-00004D000000}"/>
    <cellStyle name="Normal 2 2 2" xfId="78" xr:uid="{00000000-0005-0000-0000-00004E000000}"/>
    <cellStyle name="Normal 2 2 2 10" xfId="79" xr:uid="{00000000-0005-0000-0000-00004F000000}"/>
    <cellStyle name="Normal 2 2 2 11" xfId="80" xr:uid="{00000000-0005-0000-0000-000050000000}"/>
    <cellStyle name="Normal 2 2 2 12" xfId="81" xr:uid="{00000000-0005-0000-0000-000051000000}"/>
    <cellStyle name="Normal 2 2 2 13" xfId="82" xr:uid="{00000000-0005-0000-0000-000052000000}"/>
    <cellStyle name="Normal 2 2 2 14" xfId="83" xr:uid="{00000000-0005-0000-0000-000053000000}"/>
    <cellStyle name="Normal 2 2 2 15" xfId="84" xr:uid="{00000000-0005-0000-0000-000054000000}"/>
    <cellStyle name="Normal 2 2 2 16" xfId="85" xr:uid="{00000000-0005-0000-0000-000055000000}"/>
    <cellStyle name="Normal 2 2 2 17" xfId="86" xr:uid="{00000000-0005-0000-0000-000056000000}"/>
    <cellStyle name="Normal 2 2 2 18" xfId="87" xr:uid="{00000000-0005-0000-0000-000057000000}"/>
    <cellStyle name="Normal 2 2 2 19" xfId="88" xr:uid="{00000000-0005-0000-0000-000058000000}"/>
    <cellStyle name="Normal 2 2 2 2" xfId="89" xr:uid="{00000000-0005-0000-0000-000059000000}"/>
    <cellStyle name="Normal 2 2 2 2 10" xfId="90" xr:uid="{00000000-0005-0000-0000-00005A000000}"/>
    <cellStyle name="Normal 2 2 2 2 11" xfId="91" xr:uid="{00000000-0005-0000-0000-00005B000000}"/>
    <cellStyle name="Normal 2 2 2 2 12" xfId="92" xr:uid="{00000000-0005-0000-0000-00005C000000}"/>
    <cellStyle name="Normal 2 2 2 2 13" xfId="93" xr:uid="{00000000-0005-0000-0000-00005D000000}"/>
    <cellStyle name="Normal 2 2 2 2 14" xfId="94" xr:uid="{00000000-0005-0000-0000-00005E000000}"/>
    <cellStyle name="Normal 2 2 2 2 15" xfId="95" xr:uid="{00000000-0005-0000-0000-00005F000000}"/>
    <cellStyle name="Normal 2 2 2 2 16" xfId="96" xr:uid="{00000000-0005-0000-0000-000060000000}"/>
    <cellStyle name="Normal 2 2 2 2 17" xfId="97" xr:uid="{00000000-0005-0000-0000-000061000000}"/>
    <cellStyle name="Normal 2 2 2 2 18" xfId="98" xr:uid="{00000000-0005-0000-0000-000062000000}"/>
    <cellStyle name="Normal 2 2 2 2 19" xfId="99" xr:uid="{00000000-0005-0000-0000-000063000000}"/>
    <cellStyle name="Normal 2 2 2 2 2" xfId="100" xr:uid="{00000000-0005-0000-0000-000064000000}"/>
    <cellStyle name="Normal 2 2 2 2 2 2" xfId="101" xr:uid="{00000000-0005-0000-0000-000065000000}"/>
    <cellStyle name="Normal 2 2 2 2 2 3" xfId="102" xr:uid="{00000000-0005-0000-0000-000066000000}"/>
    <cellStyle name="Normal 2 2 2 2 2 4" xfId="103" xr:uid="{00000000-0005-0000-0000-000067000000}"/>
    <cellStyle name="Normal 2 2 2 2 20" xfId="104" xr:uid="{00000000-0005-0000-0000-000068000000}"/>
    <cellStyle name="Normal 2 2 2 2 21" xfId="105" xr:uid="{00000000-0005-0000-0000-000069000000}"/>
    <cellStyle name="Normal 2 2 2 2 22" xfId="106" xr:uid="{00000000-0005-0000-0000-00006A000000}"/>
    <cellStyle name="Normal 2 2 2 2 23" xfId="107" xr:uid="{00000000-0005-0000-0000-00006B000000}"/>
    <cellStyle name="Normal 2 2 2 2 24" xfId="108" xr:uid="{00000000-0005-0000-0000-00006C000000}"/>
    <cellStyle name="Normal 2 2 2 2 25" xfId="109" xr:uid="{00000000-0005-0000-0000-00006D000000}"/>
    <cellStyle name="Normal 2 2 2 2 26" xfId="110" xr:uid="{00000000-0005-0000-0000-00006E000000}"/>
    <cellStyle name="Normal 2 2 2 2 27" xfId="111" xr:uid="{00000000-0005-0000-0000-00006F000000}"/>
    <cellStyle name="Normal 2 2 2 2 28" xfId="112" xr:uid="{00000000-0005-0000-0000-000070000000}"/>
    <cellStyle name="Normal 2 2 2 2 29" xfId="113" xr:uid="{00000000-0005-0000-0000-000071000000}"/>
    <cellStyle name="Normal 2 2 2 2 3" xfId="114" xr:uid="{00000000-0005-0000-0000-000072000000}"/>
    <cellStyle name="Normal 2 2 2 2 30" xfId="115" xr:uid="{00000000-0005-0000-0000-000073000000}"/>
    <cellStyle name="Normal 2 2 2 2 31" xfId="116" xr:uid="{00000000-0005-0000-0000-000074000000}"/>
    <cellStyle name="Normal 2 2 2 2 32" xfId="117" xr:uid="{00000000-0005-0000-0000-000075000000}"/>
    <cellStyle name="Normal 2 2 2 2 33" xfId="118" xr:uid="{00000000-0005-0000-0000-000076000000}"/>
    <cellStyle name="Normal 2 2 2 2 34" xfId="119" xr:uid="{00000000-0005-0000-0000-000077000000}"/>
    <cellStyle name="Normal 2 2 2 2 35" xfId="120" xr:uid="{00000000-0005-0000-0000-000078000000}"/>
    <cellStyle name="Normal 2 2 2 2 36" xfId="121" xr:uid="{00000000-0005-0000-0000-000079000000}"/>
    <cellStyle name="Normal 2 2 2 2 37" xfId="122" xr:uid="{00000000-0005-0000-0000-00007A000000}"/>
    <cellStyle name="Normal 2 2 2 2 4" xfId="123" xr:uid="{00000000-0005-0000-0000-00007B000000}"/>
    <cellStyle name="Normal 2 2 2 2 5" xfId="124" xr:uid="{00000000-0005-0000-0000-00007C000000}"/>
    <cellStyle name="Normal 2 2 2 2 6" xfId="125" xr:uid="{00000000-0005-0000-0000-00007D000000}"/>
    <cellStyle name="Normal 2 2 2 2 7" xfId="126" xr:uid="{00000000-0005-0000-0000-00007E000000}"/>
    <cellStyle name="Normal 2 2 2 2 8" xfId="127" xr:uid="{00000000-0005-0000-0000-00007F000000}"/>
    <cellStyle name="Normal 2 2 2 2 9" xfId="128" xr:uid="{00000000-0005-0000-0000-000080000000}"/>
    <cellStyle name="Normal 2 2 2 20" xfId="129" xr:uid="{00000000-0005-0000-0000-000081000000}"/>
    <cellStyle name="Normal 2 2 2 21" xfId="130" xr:uid="{00000000-0005-0000-0000-000082000000}"/>
    <cellStyle name="Normal 2 2 2 22" xfId="131" xr:uid="{00000000-0005-0000-0000-000083000000}"/>
    <cellStyle name="Normal 2 2 2 23" xfId="132" xr:uid="{00000000-0005-0000-0000-000084000000}"/>
    <cellStyle name="Normal 2 2 2 24" xfId="133" xr:uid="{00000000-0005-0000-0000-000085000000}"/>
    <cellStyle name="Normal 2 2 2 25" xfId="134" xr:uid="{00000000-0005-0000-0000-000086000000}"/>
    <cellStyle name="Normal 2 2 2 26" xfId="135" xr:uid="{00000000-0005-0000-0000-000087000000}"/>
    <cellStyle name="Normal 2 2 2 27" xfId="136" xr:uid="{00000000-0005-0000-0000-000088000000}"/>
    <cellStyle name="Normal 2 2 2 28" xfId="137" xr:uid="{00000000-0005-0000-0000-000089000000}"/>
    <cellStyle name="Normal 2 2 2 29" xfId="138" xr:uid="{00000000-0005-0000-0000-00008A000000}"/>
    <cellStyle name="Normal 2 2 2 3" xfId="139" xr:uid="{00000000-0005-0000-0000-00008B000000}"/>
    <cellStyle name="Normal 2 2 2 3 2" xfId="140" xr:uid="{00000000-0005-0000-0000-00008C000000}"/>
    <cellStyle name="Normal 2 2 2 3 3" xfId="141" xr:uid="{00000000-0005-0000-0000-00008D000000}"/>
    <cellStyle name="Normal 2 2 2 3 4" xfId="142" xr:uid="{00000000-0005-0000-0000-00008E000000}"/>
    <cellStyle name="Normal 2 2 2 30" xfId="143" xr:uid="{00000000-0005-0000-0000-00008F000000}"/>
    <cellStyle name="Normal 2 2 2 31" xfId="144" xr:uid="{00000000-0005-0000-0000-000090000000}"/>
    <cellStyle name="Normal 2 2 2 32" xfId="145" xr:uid="{00000000-0005-0000-0000-000091000000}"/>
    <cellStyle name="Normal 2 2 2 33" xfId="146" xr:uid="{00000000-0005-0000-0000-000092000000}"/>
    <cellStyle name="Normal 2 2 2 34" xfId="147" xr:uid="{00000000-0005-0000-0000-000093000000}"/>
    <cellStyle name="Normal 2 2 2 35" xfId="148" xr:uid="{00000000-0005-0000-0000-000094000000}"/>
    <cellStyle name="Normal 2 2 2 36" xfId="149" xr:uid="{00000000-0005-0000-0000-000095000000}"/>
    <cellStyle name="Normal 2 2 2 37" xfId="150" xr:uid="{00000000-0005-0000-0000-000096000000}"/>
    <cellStyle name="Normal 2 2 2 4" xfId="151" xr:uid="{00000000-0005-0000-0000-000097000000}"/>
    <cellStyle name="Normal 2 2 2 5" xfId="152" xr:uid="{00000000-0005-0000-0000-000098000000}"/>
    <cellStyle name="Normal 2 2 2 6" xfId="153" xr:uid="{00000000-0005-0000-0000-000099000000}"/>
    <cellStyle name="Normal 2 2 2 7" xfId="154" xr:uid="{00000000-0005-0000-0000-00009A000000}"/>
    <cellStyle name="Normal 2 2 2 8" xfId="155" xr:uid="{00000000-0005-0000-0000-00009B000000}"/>
    <cellStyle name="Normal 2 2 2 9" xfId="156" xr:uid="{00000000-0005-0000-0000-00009C000000}"/>
    <cellStyle name="Normal 2 2 20" xfId="157" xr:uid="{00000000-0005-0000-0000-00009D000000}"/>
    <cellStyle name="Normal 2 2 21" xfId="158" xr:uid="{00000000-0005-0000-0000-00009E000000}"/>
    <cellStyle name="Normal 2 2 22" xfId="159" xr:uid="{00000000-0005-0000-0000-00009F000000}"/>
    <cellStyle name="Normal 2 2 23" xfId="160" xr:uid="{00000000-0005-0000-0000-0000A0000000}"/>
    <cellStyle name="Normal 2 2 24" xfId="161" xr:uid="{00000000-0005-0000-0000-0000A1000000}"/>
    <cellStyle name="Normal 2 2 25" xfId="162" xr:uid="{00000000-0005-0000-0000-0000A2000000}"/>
    <cellStyle name="Normal 2 2 26" xfId="163" xr:uid="{00000000-0005-0000-0000-0000A3000000}"/>
    <cellStyle name="Normal 2 2 27" xfId="164" xr:uid="{00000000-0005-0000-0000-0000A4000000}"/>
    <cellStyle name="Normal 2 2 28" xfId="165" xr:uid="{00000000-0005-0000-0000-0000A5000000}"/>
    <cellStyle name="Normal 2 2 29" xfId="166" xr:uid="{00000000-0005-0000-0000-0000A6000000}"/>
    <cellStyle name="Normal 2 2 3" xfId="167" xr:uid="{00000000-0005-0000-0000-0000A7000000}"/>
    <cellStyle name="Normal 2 2 3 2" xfId="168" xr:uid="{00000000-0005-0000-0000-0000A8000000}"/>
    <cellStyle name="Normal 2 2 3 3" xfId="169" xr:uid="{00000000-0005-0000-0000-0000A9000000}"/>
    <cellStyle name="Normal 2 2 3 4" xfId="170" xr:uid="{00000000-0005-0000-0000-0000AA000000}"/>
    <cellStyle name="Normal 2 2 30" xfId="171" xr:uid="{00000000-0005-0000-0000-0000AB000000}"/>
    <cellStyle name="Normal 2 2 31" xfId="172" xr:uid="{00000000-0005-0000-0000-0000AC000000}"/>
    <cellStyle name="Normal 2 2 32" xfId="173" xr:uid="{00000000-0005-0000-0000-0000AD000000}"/>
    <cellStyle name="Normal 2 2 33" xfId="174" xr:uid="{00000000-0005-0000-0000-0000AE000000}"/>
    <cellStyle name="Normal 2 2 34" xfId="175" xr:uid="{00000000-0005-0000-0000-0000AF000000}"/>
    <cellStyle name="Normal 2 2 35" xfId="176" xr:uid="{00000000-0005-0000-0000-0000B0000000}"/>
    <cellStyle name="Normal 2 2 36" xfId="177" xr:uid="{00000000-0005-0000-0000-0000B1000000}"/>
    <cellStyle name="Normal 2 2 37" xfId="178" xr:uid="{00000000-0005-0000-0000-0000B2000000}"/>
    <cellStyle name="Normal 2 2 4" xfId="179" xr:uid="{00000000-0005-0000-0000-0000B3000000}"/>
    <cellStyle name="Normal 2 2 5" xfId="180" xr:uid="{00000000-0005-0000-0000-0000B4000000}"/>
    <cellStyle name="Normal 2 2 6" xfId="181" xr:uid="{00000000-0005-0000-0000-0000B5000000}"/>
    <cellStyle name="Normal 2 2 7" xfId="182" xr:uid="{00000000-0005-0000-0000-0000B6000000}"/>
    <cellStyle name="Normal 2 2 8" xfId="183" xr:uid="{00000000-0005-0000-0000-0000B7000000}"/>
    <cellStyle name="Normal 2 2 9" xfId="184" xr:uid="{00000000-0005-0000-0000-0000B8000000}"/>
    <cellStyle name="Normal 2 20" xfId="185" xr:uid="{00000000-0005-0000-0000-0000B9000000}"/>
    <cellStyle name="Normal 2 21" xfId="186" xr:uid="{00000000-0005-0000-0000-0000BA000000}"/>
    <cellStyle name="Normal 2 22" xfId="187" xr:uid="{00000000-0005-0000-0000-0000BB000000}"/>
    <cellStyle name="Normal 2 23" xfId="188" xr:uid="{00000000-0005-0000-0000-0000BC000000}"/>
    <cellStyle name="Normal 2 24" xfId="189" xr:uid="{00000000-0005-0000-0000-0000BD000000}"/>
    <cellStyle name="Normal 2 25" xfId="190" xr:uid="{00000000-0005-0000-0000-0000BE000000}"/>
    <cellStyle name="Normal 2 26" xfId="191" xr:uid="{00000000-0005-0000-0000-0000BF000000}"/>
    <cellStyle name="Normal 2 27" xfId="192" xr:uid="{00000000-0005-0000-0000-0000C0000000}"/>
    <cellStyle name="Normal 2 28" xfId="193" xr:uid="{00000000-0005-0000-0000-0000C1000000}"/>
    <cellStyle name="Normal 2 29" xfId="194" xr:uid="{00000000-0005-0000-0000-0000C2000000}"/>
    <cellStyle name="Normal 2 3" xfId="195" xr:uid="{00000000-0005-0000-0000-0000C3000000}"/>
    <cellStyle name="Normal 2 30" xfId="196" xr:uid="{00000000-0005-0000-0000-0000C4000000}"/>
    <cellStyle name="Normal 2 31" xfId="197" xr:uid="{00000000-0005-0000-0000-0000C5000000}"/>
    <cellStyle name="Normal 2 32" xfId="198" xr:uid="{00000000-0005-0000-0000-0000C6000000}"/>
    <cellStyle name="Normal 2 33" xfId="199" xr:uid="{00000000-0005-0000-0000-0000C7000000}"/>
    <cellStyle name="Normal 2 34" xfId="200" xr:uid="{00000000-0005-0000-0000-0000C8000000}"/>
    <cellStyle name="Normal 2 35" xfId="201" xr:uid="{00000000-0005-0000-0000-0000C9000000}"/>
    <cellStyle name="Normal 2 36" xfId="202" xr:uid="{00000000-0005-0000-0000-0000CA000000}"/>
    <cellStyle name="Normal 2 37" xfId="203" xr:uid="{00000000-0005-0000-0000-0000CB000000}"/>
    <cellStyle name="Normal 2 38" xfId="204" xr:uid="{00000000-0005-0000-0000-0000CC000000}"/>
    <cellStyle name="Normal 2 39" xfId="205" xr:uid="{00000000-0005-0000-0000-0000CD000000}"/>
    <cellStyle name="Normal 2 4" xfId="206" xr:uid="{00000000-0005-0000-0000-0000CE000000}"/>
    <cellStyle name="Normal 2 4 2" xfId="207" xr:uid="{00000000-0005-0000-0000-0000CF000000}"/>
    <cellStyle name="Normal 2 4 3" xfId="208" xr:uid="{00000000-0005-0000-0000-0000D0000000}"/>
    <cellStyle name="Normal 2 4 4" xfId="209" xr:uid="{00000000-0005-0000-0000-0000D1000000}"/>
    <cellStyle name="Normal 2 5" xfId="210" xr:uid="{00000000-0005-0000-0000-0000D2000000}"/>
    <cellStyle name="Normal 2 6" xfId="211" xr:uid="{00000000-0005-0000-0000-0000D3000000}"/>
    <cellStyle name="Normal 2 7" xfId="212" xr:uid="{00000000-0005-0000-0000-0000D4000000}"/>
    <cellStyle name="Normal 2 8" xfId="213" xr:uid="{00000000-0005-0000-0000-0000D5000000}"/>
    <cellStyle name="Normal 2 9" xfId="214" xr:uid="{00000000-0005-0000-0000-0000D6000000}"/>
    <cellStyle name="Normal 20" xfId="215" xr:uid="{00000000-0005-0000-0000-0000D7000000}"/>
    <cellStyle name="Normal 20 2" xfId="216" xr:uid="{00000000-0005-0000-0000-0000D8000000}"/>
    <cellStyle name="Normal 20 3" xfId="217" xr:uid="{00000000-0005-0000-0000-0000D9000000}"/>
    <cellStyle name="Normal 20 4" xfId="218" xr:uid="{00000000-0005-0000-0000-0000DA000000}"/>
    <cellStyle name="Normal 21" xfId="219" xr:uid="{00000000-0005-0000-0000-0000DB000000}"/>
    <cellStyle name="Normal 21 10" xfId="220" xr:uid="{00000000-0005-0000-0000-0000DC000000}"/>
    <cellStyle name="Normal 21 11" xfId="221" xr:uid="{00000000-0005-0000-0000-0000DD000000}"/>
    <cellStyle name="Normal 21 12" xfId="222" xr:uid="{00000000-0005-0000-0000-0000DE000000}"/>
    <cellStyle name="Normal 21 13" xfId="223" xr:uid="{00000000-0005-0000-0000-0000DF000000}"/>
    <cellStyle name="Normal 21 14" xfId="224" xr:uid="{00000000-0005-0000-0000-0000E0000000}"/>
    <cellStyle name="Normal 21 15" xfId="225" xr:uid="{00000000-0005-0000-0000-0000E1000000}"/>
    <cellStyle name="Normal 21 16" xfId="226" xr:uid="{00000000-0005-0000-0000-0000E2000000}"/>
    <cellStyle name="Normal 21 17" xfId="227" xr:uid="{00000000-0005-0000-0000-0000E3000000}"/>
    <cellStyle name="Normal 21 18" xfId="228" xr:uid="{00000000-0005-0000-0000-0000E4000000}"/>
    <cellStyle name="Normal 21 19" xfId="229" xr:uid="{00000000-0005-0000-0000-0000E5000000}"/>
    <cellStyle name="Normal 21 2" xfId="230" xr:uid="{00000000-0005-0000-0000-0000E6000000}"/>
    <cellStyle name="Normal 21 2 2" xfId="231" xr:uid="{00000000-0005-0000-0000-0000E7000000}"/>
    <cellStyle name="Normal 21 2 3" xfId="232" xr:uid="{00000000-0005-0000-0000-0000E8000000}"/>
    <cellStyle name="Normal 21 2 4" xfId="233" xr:uid="{00000000-0005-0000-0000-0000E9000000}"/>
    <cellStyle name="Normal 21 20" xfId="234" xr:uid="{00000000-0005-0000-0000-0000EA000000}"/>
    <cellStyle name="Normal 21 21" xfId="235" xr:uid="{00000000-0005-0000-0000-0000EB000000}"/>
    <cellStyle name="Normal 21 22" xfId="236" xr:uid="{00000000-0005-0000-0000-0000EC000000}"/>
    <cellStyle name="Normal 21 23" xfId="237" xr:uid="{00000000-0005-0000-0000-0000ED000000}"/>
    <cellStyle name="Normal 21 24" xfId="238" xr:uid="{00000000-0005-0000-0000-0000EE000000}"/>
    <cellStyle name="Normal 21 25" xfId="239" xr:uid="{00000000-0005-0000-0000-0000EF000000}"/>
    <cellStyle name="Normal 21 26" xfId="240" xr:uid="{00000000-0005-0000-0000-0000F0000000}"/>
    <cellStyle name="Normal 21 27" xfId="241" xr:uid="{00000000-0005-0000-0000-0000F1000000}"/>
    <cellStyle name="Normal 21 28" xfId="242" xr:uid="{00000000-0005-0000-0000-0000F2000000}"/>
    <cellStyle name="Normal 21 29" xfId="243" xr:uid="{00000000-0005-0000-0000-0000F3000000}"/>
    <cellStyle name="Normal 21 3" xfId="244" xr:uid="{00000000-0005-0000-0000-0000F4000000}"/>
    <cellStyle name="Normal 21 30" xfId="245" xr:uid="{00000000-0005-0000-0000-0000F5000000}"/>
    <cellStyle name="Normal 21 31" xfId="246" xr:uid="{00000000-0005-0000-0000-0000F6000000}"/>
    <cellStyle name="Normal 21 32" xfId="247" xr:uid="{00000000-0005-0000-0000-0000F7000000}"/>
    <cellStyle name="Normal 21 33" xfId="248" xr:uid="{00000000-0005-0000-0000-0000F8000000}"/>
    <cellStyle name="Normal 21 34" xfId="249" xr:uid="{00000000-0005-0000-0000-0000F9000000}"/>
    <cellStyle name="Normal 21 4" xfId="250" xr:uid="{00000000-0005-0000-0000-0000FA000000}"/>
    <cellStyle name="Normal 21 5" xfId="251" xr:uid="{00000000-0005-0000-0000-0000FB000000}"/>
    <cellStyle name="Normal 21 6" xfId="252" xr:uid="{00000000-0005-0000-0000-0000FC000000}"/>
    <cellStyle name="Normal 21 7" xfId="253" xr:uid="{00000000-0005-0000-0000-0000FD000000}"/>
    <cellStyle name="Normal 21 8" xfId="254" xr:uid="{00000000-0005-0000-0000-0000FE000000}"/>
    <cellStyle name="Normal 21 9" xfId="255" xr:uid="{00000000-0005-0000-0000-0000FF000000}"/>
    <cellStyle name="Normal 22" xfId="256" xr:uid="{00000000-0005-0000-0000-000000010000}"/>
    <cellStyle name="Normal 22 10" xfId="257" xr:uid="{00000000-0005-0000-0000-000001010000}"/>
    <cellStyle name="Normal 22 11" xfId="258" xr:uid="{00000000-0005-0000-0000-000002010000}"/>
    <cellStyle name="Normal 22 12" xfId="259" xr:uid="{00000000-0005-0000-0000-000003010000}"/>
    <cellStyle name="Normal 22 13" xfId="260" xr:uid="{00000000-0005-0000-0000-000004010000}"/>
    <cellStyle name="Normal 22 14" xfId="261" xr:uid="{00000000-0005-0000-0000-000005010000}"/>
    <cellStyle name="Normal 22 15" xfId="262" xr:uid="{00000000-0005-0000-0000-000006010000}"/>
    <cellStyle name="Normal 22 16" xfId="263" xr:uid="{00000000-0005-0000-0000-000007010000}"/>
    <cellStyle name="Normal 22 17" xfId="264" xr:uid="{00000000-0005-0000-0000-000008010000}"/>
    <cellStyle name="Normal 22 18" xfId="265" xr:uid="{00000000-0005-0000-0000-000009010000}"/>
    <cellStyle name="Normal 22 19" xfId="266" xr:uid="{00000000-0005-0000-0000-00000A010000}"/>
    <cellStyle name="Normal 22 2" xfId="267" xr:uid="{00000000-0005-0000-0000-00000B010000}"/>
    <cellStyle name="Normal 22 2 2" xfId="268" xr:uid="{00000000-0005-0000-0000-00000C010000}"/>
    <cellStyle name="Normal 22 2 3" xfId="269" xr:uid="{00000000-0005-0000-0000-00000D010000}"/>
    <cellStyle name="Normal 22 2 4" xfId="270" xr:uid="{00000000-0005-0000-0000-00000E010000}"/>
    <cellStyle name="Normal 22 20" xfId="271" xr:uid="{00000000-0005-0000-0000-00000F010000}"/>
    <cellStyle name="Normal 22 21" xfId="272" xr:uid="{00000000-0005-0000-0000-000010010000}"/>
    <cellStyle name="Normal 22 22" xfId="273" xr:uid="{00000000-0005-0000-0000-000011010000}"/>
    <cellStyle name="Normal 22 23" xfId="274" xr:uid="{00000000-0005-0000-0000-000012010000}"/>
    <cellStyle name="Normal 22 24" xfId="275" xr:uid="{00000000-0005-0000-0000-000013010000}"/>
    <cellStyle name="Normal 22 25" xfId="276" xr:uid="{00000000-0005-0000-0000-000014010000}"/>
    <cellStyle name="Normal 22 26" xfId="277" xr:uid="{00000000-0005-0000-0000-000015010000}"/>
    <cellStyle name="Normal 22 27" xfId="278" xr:uid="{00000000-0005-0000-0000-000016010000}"/>
    <cellStyle name="Normal 22 28" xfId="279" xr:uid="{00000000-0005-0000-0000-000017010000}"/>
    <cellStyle name="Normal 22 29" xfId="280" xr:uid="{00000000-0005-0000-0000-000018010000}"/>
    <cellStyle name="Normal 22 3" xfId="281" xr:uid="{00000000-0005-0000-0000-000019010000}"/>
    <cellStyle name="Normal 22 30" xfId="282" xr:uid="{00000000-0005-0000-0000-00001A010000}"/>
    <cellStyle name="Normal 22 31" xfId="283" xr:uid="{00000000-0005-0000-0000-00001B010000}"/>
    <cellStyle name="Normal 22 32" xfId="284" xr:uid="{00000000-0005-0000-0000-00001C010000}"/>
    <cellStyle name="Normal 22 33" xfId="285" xr:uid="{00000000-0005-0000-0000-00001D010000}"/>
    <cellStyle name="Normal 22 34" xfId="286" xr:uid="{00000000-0005-0000-0000-00001E010000}"/>
    <cellStyle name="Normal 22 4" xfId="287" xr:uid="{00000000-0005-0000-0000-00001F010000}"/>
    <cellStyle name="Normal 22 5" xfId="288" xr:uid="{00000000-0005-0000-0000-000020010000}"/>
    <cellStyle name="Normal 22 6" xfId="289" xr:uid="{00000000-0005-0000-0000-000021010000}"/>
    <cellStyle name="Normal 22 7" xfId="290" xr:uid="{00000000-0005-0000-0000-000022010000}"/>
    <cellStyle name="Normal 22 8" xfId="291" xr:uid="{00000000-0005-0000-0000-000023010000}"/>
    <cellStyle name="Normal 22 9" xfId="292" xr:uid="{00000000-0005-0000-0000-000024010000}"/>
    <cellStyle name="Normal 23" xfId="293" xr:uid="{00000000-0005-0000-0000-000025010000}"/>
    <cellStyle name="Normal 23 2" xfId="294" xr:uid="{00000000-0005-0000-0000-000026010000}"/>
    <cellStyle name="Normal 23 3" xfId="295" xr:uid="{00000000-0005-0000-0000-000027010000}"/>
    <cellStyle name="Normal 23 4" xfId="296" xr:uid="{00000000-0005-0000-0000-000028010000}"/>
    <cellStyle name="Normal 23 5" xfId="297" xr:uid="{00000000-0005-0000-0000-000029010000}"/>
    <cellStyle name="Normal 24" xfId="298" xr:uid="{00000000-0005-0000-0000-00002A010000}"/>
    <cellStyle name="Normal 24 10" xfId="299" xr:uid="{00000000-0005-0000-0000-00002B010000}"/>
    <cellStyle name="Normal 24 11" xfId="300" xr:uid="{00000000-0005-0000-0000-00002C010000}"/>
    <cellStyle name="Normal 24 12" xfId="301" xr:uid="{00000000-0005-0000-0000-00002D010000}"/>
    <cellStyle name="Normal 24 13" xfId="302" xr:uid="{00000000-0005-0000-0000-00002E010000}"/>
    <cellStyle name="Normal 24 14" xfId="303" xr:uid="{00000000-0005-0000-0000-00002F010000}"/>
    <cellStyle name="Normal 24 15" xfId="304" xr:uid="{00000000-0005-0000-0000-000030010000}"/>
    <cellStyle name="Normal 24 16" xfId="305" xr:uid="{00000000-0005-0000-0000-000031010000}"/>
    <cellStyle name="Normal 24 17" xfId="306" xr:uid="{00000000-0005-0000-0000-000032010000}"/>
    <cellStyle name="Normal 24 18" xfId="307" xr:uid="{00000000-0005-0000-0000-000033010000}"/>
    <cellStyle name="Normal 24 2" xfId="308" xr:uid="{00000000-0005-0000-0000-000034010000}"/>
    <cellStyle name="Normal 24 2 2" xfId="309" xr:uid="{00000000-0005-0000-0000-000035010000}"/>
    <cellStyle name="Normal 24 2 3" xfId="310" xr:uid="{00000000-0005-0000-0000-000036010000}"/>
    <cellStyle name="Normal 24 2 4" xfId="311" xr:uid="{00000000-0005-0000-0000-000037010000}"/>
    <cellStyle name="Normal 24 3" xfId="312" xr:uid="{00000000-0005-0000-0000-000038010000}"/>
    <cellStyle name="Normal 24 4" xfId="313" xr:uid="{00000000-0005-0000-0000-000039010000}"/>
    <cellStyle name="Normal 24 5" xfId="314" xr:uid="{00000000-0005-0000-0000-00003A010000}"/>
    <cellStyle name="Normal 24 6" xfId="315" xr:uid="{00000000-0005-0000-0000-00003B010000}"/>
    <cellStyle name="Normal 24 7" xfId="316" xr:uid="{00000000-0005-0000-0000-00003C010000}"/>
    <cellStyle name="Normal 24 8" xfId="317" xr:uid="{00000000-0005-0000-0000-00003D010000}"/>
    <cellStyle name="Normal 24 9" xfId="318" xr:uid="{00000000-0005-0000-0000-00003E010000}"/>
    <cellStyle name="Normal 25" xfId="319" xr:uid="{00000000-0005-0000-0000-00003F010000}"/>
    <cellStyle name="Normal 25 10" xfId="320" xr:uid="{00000000-0005-0000-0000-000040010000}"/>
    <cellStyle name="Normal 25 11" xfId="321" xr:uid="{00000000-0005-0000-0000-000041010000}"/>
    <cellStyle name="Normal 25 12" xfId="322" xr:uid="{00000000-0005-0000-0000-000042010000}"/>
    <cellStyle name="Normal 25 13" xfId="323" xr:uid="{00000000-0005-0000-0000-000043010000}"/>
    <cellStyle name="Normal 25 14" xfId="324" xr:uid="{00000000-0005-0000-0000-000044010000}"/>
    <cellStyle name="Normal 25 15" xfId="325" xr:uid="{00000000-0005-0000-0000-000045010000}"/>
    <cellStyle name="Normal 25 16" xfId="326" xr:uid="{00000000-0005-0000-0000-000046010000}"/>
    <cellStyle name="Normal 25 17" xfId="327" xr:uid="{00000000-0005-0000-0000-000047010000}"/>
    <cellStyle name="Normal 25 18" xfId="328" xr:uid="{00000000-0005-0000-0000-000048010000}"/>
    <cellStyle name="Normal 25 2" xfId="329" xr:uid="{00000000-0005-0000-0000-000049010000}"/>
    <cellStyle name="Normal 25 2 2" xfId="330" xr:uid="{00000000-0005-0000-0000-00004A010000}"/>
    <cellStyle name="Normal 25 2 3" xfId="331" xr:uid="{00000000-0005-0000-0000-00004B010000}"/>
    <cellStyle name="Normal 25 2 4" xfId="332" xr:uid="{00000000-0005-0000-0000-00004C010000}"/>
    <cellStyle name="Normal 25 3" xfId="333" xr:uid="{00000000-0005-0000-0000-00004D010000}"/>
    <cellStyle name="Normal 25 4" xfId="334" xr:uid="{00000000-0005-0000-0000-00004E010000}"/>
    <cellStyle name="Normal 25 5" xfId="335" xr:uid="{00000000-0005-0000-0000-00004F010000}"/>
    <cellStyle name="Normal 25 6" xfId="336" xr:uid="{00000000-0005-0000-0000-000050010000}"/>
    <cellStyle name="Normal 25 7" xfId="337" xr:uid="{00000000-0005-0000-0000-000051010000}"/>
    <cellStyle name="Normal 25 8" xfId="338" xr:uid="{00000000-0005-0000-0000-000052010000}"/>
    <cellStyle name="Normal 25 9" xfId="339" xr:uid="{00000000-0005-0000-0000-000053010000}"/>
    <cellStyle name="Normal 26" xfId="340" xr:uid="{00000000-0005-0000-0000-000054010000}"/>
    <cellStyle name="Normal 26 2" xfId="341" xr:uid="{00000000-0005-0000-0000-000055010000}"/>
    <cellStyle name="Normal 26 3" xfId="342" xr:uid="{00000000-0005-0000-0000-000056010000}"/>
    <cellStyle name="Normal 26 4" xfId="343" xr:uid="{00000000-0005-0000-0000-000057010000}"/>
    <cellStyle name="Normal 27" xfId="344" xr:uid="{00000000-0005-0000-0000-000058010000}"/>
    <cellStyle name="Normal 27 2" xfId="345" xr:uid="{00000000-0005-0000-0000-000059010000}"/>
    <cellStyle name="Normal 27 3" xfId="346" xr:uid="{00000000-0005-0000-0000-00005A010000}"/>
    <cellStyle name="Normal 27 4" xfId="347" xr:uid="{00000000-0005-0000-0000-00005B010000}"/>
    <cellStyle name="Normal 28 2" xfId="348" xr:uid="{00000000-0005-0000-0000-00005C010000}"/>
    <cellStyle name="Normal 28 3" xfId="349" xr:uid="{00000000-0005-0000-0000-00005D010000}"/>
    <cellStyle name="Normal 28 4" xfId="350" xr:uid="{00000000-0005-0000-0000-00005E010000}"/>
    <cellStyle name="Normal 29 2" xfId="351" xr:uid="{00000000-0005-0000-0000-00005F010000}"/>
    <cellStyle name="Normal 29 3" xfId="352" xr:uid="{00000000-0005-0000-0000-000060010000}"/>
    <cellStyle name="Normal 29 4" xfId="353" xr:uid="{00000000-0005-0000-0000-000061010000}"/>
    <cellStyle name="Normal 3" xfId="354" xr:uid="{00000000-0005-0000-0000-000062010000}"/>
    <cellStyle name="Normal 3 2" xfId="355" xr:uid="{00000000-0005-0000-0000-000063010000}"/>
    <cellStyle name="Normal 3 2 2" xfId="356" xr:uid="{00000000-0005-0000-0000-000064010000}"/>
    <cellStyle name="Normal 3 2 3" xfId="357" xr:uid="{00000000-0005-0000-0000-000065010000}"/>
    <cellStyle name="Normal 3 2 4" xfId="358" xr:uid="{00000000-0005-0000-0000-000066010000}"/>
    <cellStyle name="Normal 3 2 5" xfId="359" xr:uid="{00000000-0005-0000-0000-000067010000}"/>
    <cellStyle name="Normal 3 3" xfId="360" xr:uid="{00000000-0005-0000-0000-000068010000}"/>
    <cellStyle name="Normal 3 4" xfId="361" xr:uid="{00000000-0005-0000-0000-000069010000}"/>
    <cellStyle name="Normal 3 5" xfId="362" xr:uid="{00000000-0005-0000-0000-00006A010000}"/>
    <cellStyle name="Normal 3 6" xfId="363" xr:uid="{00000000-0005-0000-0000-00006B010000}"/>
    <cellStyle name="Normal 30" xfId="364" xr:uid="{00000000-0005-0000-0000-00006C010000}"/>
    <cellStyle name="Normal 30 2" xfId="365" xr:uid="{00000000-0005-0000-0000-00006D010000}"/>
    <cellStyle name="Normal 30 3" xfId="366" xr:uid="{00000000-0005-0000-0000-00006E010000}"/>
    <cellStyle name="Normal 30 4" xfId="367" xr:uid="{00000000-0005-0000-0000-00006F010000}"/>
    <cellStyle name="Normal 31" xfId="368" xr:uid="{00000000-0005-0000-0000-000070010000}"/>
    <cellStyle name="Normal 31 2" xfId="369" xr:uid="{00000000-0005-0000-0000-000071010000}"/>
    <cellStyle name="Normal 31 3" xfId="370" xr:uid="{00000000-0005-0000-0000-000072010000}"/>
    <cellStyle name="Normal 31 4" xfId="371" xr:uid="{00000000-0005-0000-0000-000073010000}"/>
    <cellStyle name="Normal 32" xfId="372" xr:uid="{00000000-0005-0000-0000-000074010000}"/>
    <cellStyle name="Normal 32 10" xfId="373" xr:uid="{00000000-0005-0000-0000-000075010000}"/>
    <cellStyle name="Normal 32 11" xfId="374" xr:uid="{00000000-0005-0000-0000-000076010000}"/>
    <cellStyle name="Normal 32 12" xfId="375" xr:uid="{00000000-0005-0000-0000-000077010000}"/>
    <cellStyle name="Normal 32 13" xfId="376" xr:uid="{00000000-0005-0000-0000-000078010000}"/>
    <cellStyle name="Normal 32 14" xfId="377" xr:uid="{00000000-0005-0000-0000-000079010000}"/>
    <cellStyle name="Normal 32 15" xfId="378" xr:uid="{00000000-0005-0000-0000-00007A010000}"/>
    <cellStyle name="Normal 32 16" xfId="379" xr:uid="{00000000-0005-0000-0000-00007B010000}"/>
    <cellStyle name="Normal 32 17" xfId="380" xr:uid="{00000000-0005-0000-0000-00007C010000}"/>
    <cellStyle name="Normal 32 18" xfId="381" xr:uid="{00000000-0005-0000-0000-00007D010000}"/>
    <cellStyle name="Normal 32 2" xfId="382" xr:uid="{00000000-0005-0000-0000-00007E010000}"/>
    <cellStyle name="Normal 32 2 2" xfId="383" xr:uid="{00000000-0005-0000-0000-00007F010000}"/>
    <cellStyle name="Normal 32 2 3" xfId="384" xr:uid="{00000000-0005-0000-0000-000080010000}"/>
    <cellStyle name="Normal 32 2 4" xfId="385" xr:uid="{00000000-0005-0000-0000-000081010000}"/>
    <cellStyle name="Normal 32 3" xfId="386" xr:uid="{00000000-0005-0000-0000-000082010000}"/>
    <cellStyle name="Normal 32 4" xfId="387" xr:uid="{00000000-0005-0000-0000-000083010000}"/>
    <cellStyle name="Normal 32 5" xfId="388" xr:uid="{00000000-0005-0000-0000-000084010000}"/>
    <cellStyle name="Normal 32 6" xfId="389" xr:uid="{00000000-0005-0000-0000-000085010000}"/>
    <cellStyle name="Normal 32 7" xfId="390" xr:uid="{00000000-0005-0000-0000-000086010000}"/>
    <cellStyle name="Normal 32 8" xfId="391" xr:uid="{00000000-0005-0000-0000-000087010000}"/>
    <cellStyle name="Normal 32 9" xfId="392" xr:uid="{00000000-0005-0000-0000-000088010000}"/>
    <cellStyle name="Normal 33" xfId="393" xr:uid="{00000000-0005-0000-0000-000089010000}"/>
    <cellStyle name="Normal 33 10" xfId="394" xr:uid="{00000000-0005-0000-0000-00008A010000}"/>
    <cellStyle name="Normal 33 11" xfId="395" xr:uid="{00000000-0005-0000-0000-00008B010000}"/>
    <cellStyle name="Normal 33 12" xfId="396" xr:uid="{00000000-0005-0000-0000-00008C010000}"/>
    <cellStyle name="Normal 33 13" xfId="397" xr:uid="{00000000-0005-0000-0000-00008D010000}"/>
    <cellStyle name="Normal 33 14" xfId="398" xr:uid="{00000000-0005-0000-0000-00008E010000}"/>
    <cellStyle name="Normal 33 15" xfId="399" xr:uid="{00000000-0005-0000-0000-00008F010000}"/>
    <cellStyle name="Normal 33 16" xfId="400" xr:uid="{00000000-0005-0000-0000-000090010000}"/>
    <cellStyle name="Normal 33 17" xfId="401" xr:uid="{00000000-0005-0000-0000-000091010000}"/>
    <cellStyle name="Normal 33 18" xfId="402" xr:uid="{00000000-0005-0000-0000-000092010000}"/>
    <cellStyle name="Normal 33 2" xfId="403" xr:uid="{00000000-0005-0000-0000-000093010000}"/>
    <cellStyle name="Normal 33 2 2" xfId="404" xr:uid="{00000000-0005-0000-0000-000094010000}"/>
    <cellStyle name="Normal 33 2 3" xfId="405" xr:uid="{00000000-0005-0000-0000-000095010000}"/>
    <cellStyle name="Normal 33 2 4" xfId="406" xr:uid="{00000000-0005-0000-0000-000096010000}"/>
    <cellStyle name="Normal 33 3" xfId="407" xr:uid="{00000000-0005-0000-0000-000097010000}"/>
    <cellStyle name="Normal 33 4" xfId="408" xr:uid="{00000000-0005-0000-0000-000098010000}"/>
    <cellStyle name="Normal 33 5" xfId="409" xr:uid="{00000000-0005-0000-0000-000099010000}"/>
    <cellStyle name="Normal 33 6" xfId="410" xr:uid="{00000000-0005-0000-0000-00009A010000}"/>
    <cellStyle name="Normal 33 7" xfId="411" xr:uid="{00000000-0005-0000-0000-00009B010000}"/>
    <cellStyle name="Normal 33 8" xfId="412" xr:uid="{00000000-0005-0000-0000-00009C010000}"/>
    <cellStyle name="Normal 33 9" xfId="413" xr:uid="{00000000-0005-0000-0000-00009D010000}"/>
    <cellStyle name="Normal 34" xfId="414" xr:uid="{00000000-0005-0000-0000-00009E010000}"/>
    <cellStyle name="Normal 34 2" xfId="415" xr:uid="{00000000-0005-0000-0000-00009F010000}"/>
    <cellStyle name="Normal 34 3" xfId="416" xr:uid="{00000000-0005-0000-0000-0000A0010000}"/>
    <cellStyle name="Normal 34 4" xfId="417" xr:uid="{00000000-0005-0000-0000-0000A1010000}"/>
    <cellStyle name="Normal 35" xfId="418" xr:uid="{00000000-0005-0000-0000-0000A2010000}"/>
    <cellStyle name="Normal 35 2" xfId="419" xr:uid="{00000000-0005-0000-0000-0000A3010000}"/>
    <cellStyle name="Normal 35 3" xfId="420" xr:uid="{00000000-0005-0000-0000-0000A4010000}"/>
    <cellStyle name="Normal 35 4" xfId="421" xr:uid="{00000000-0005-0000-0000-0000A5010000}"/>
    <cellStyle name="Normal 36" xfId="422" xr:uid="{00000000-0005-0000-0000-0000A6010000}"/>
    <cellStyle name="Normal 36 2" xfId="423" xr:uid="{00000000-0005-0000-0000-0000A7010000}"/>
    <cellStyle name="Normal 36 3" xfId="424" xr:uid="{00000000-0005-0000-0000-0000A8010000}"/>
    <cellStyle name="Normal 36 4" xfId="425" xr:uid="{00000000-0005-0000-0000-0000A9010000}"/>
    <cellStyle name="Normal 37" xfId="426" xr:uid="{00000000-0005-0000-0000-0000AA010000}"/>
    <cellStyle name="Normal 37 2" xfId="427" xr:uid="{00000000-0005-0000-0000-0000AB010000}"/>
    <cellStyle name="Normal 37 3" xfId="428" xr:uid="{00000000-0005-0000-0000-0000AC010000}"/>
    <cellStyle name="Normal 37 4" xfId="429" xr:uid="{00000000-0005-0000-0000-0000AD010000}"/>
    <cellStyle name="Normal 38" xfId="430" xr:uid="{00000000-0005-0000-0000-0000AE010000}"/>
    <cellStyle name="Normal 38 2" xfId="431" xr:uid="{00000000-0005-0000-0000-0000AF010000}"/>
    <cellStyle name="Normal 38 3" xfId="432" xr:uid="{00000000-0005-0000-0000-0000B0010000}"/>
    <cellStyle name="Normal 38 4" xfId="433" xr:uid="{00000000-0005-0000-0000-0000B1010000}"/>
    <cellStyle name="Normal 39" xfId="434" xr:uid="{00000000-0005-0000-0000-0000B2010000}"/>
    <cellStyle name="Normal 39 10" xfId="435" xr:uid="{00000000-0005-0000-0000-0000B3010000}"/>
    <cellStyle name="Normal 39 11" xfId="436" xr:uid="{00000000-0005-0000-0000-0000B4010000}"/>
    <cellStyle name="Normal 39 12" xfId="437" xr:uid="{00000000-0005-0000-0000-0000B5010000}"/>
    <cellStyle name="Normal 39 13" xfId="438" xr:uid="{00000000-0005-0000-0000-0000B6010000}"/>
    <cellStyle name="Normal 39 2" xfId="439" xr:uid="{00000000-0005-0000-0000-0000B7010000}"/>
    <cellStyle name="Normal 39 2 2" xfId="440" xr:uid="{00000000-0005-0000-0000-0000B8010000}"/>
    <cellStyle name="Normal 39 2 3" xfId="441" xr:uid="{00000000-0005-0000-0000-0000B9010000}"/>
    <cellStyle name="Normal 39 2 4" xfId="442" xr:uid="{00000000-0005-0000-0000-0000BA010000}"/>
    <cellStyle name="Normal 39 3" xfId="443" xr:uid="{00000000-0005-0000-0000-0000BB010000}"/>
    <cellStyle name="Normal 39 4" xfId="444" xr:uid="{00000000-0005-0000-0000-0000BC010000}"/>
    <cellStyle name="Normal 39 5" xfId="445" xr:uid="{00000000-0005-0000-0000-0000BD010000}"/>
    <cellStyle name="Normal 39 6" xfId="446" xr:uid="{00000000-0005-0000-0000-0000BE010000}"/>
    <cellStyle name="Normal 39 7" xfId="447" xr:uid="{00000000-0005-0000-0000-0000BF010000}"/>
    <cellStyle name="Normal 39 8" xfId="448" xr:uid="{00000000-0005-0000-0000-0000C0010000}"/>
    <cellStyle name="Normal 39 9" xfId="449" xr:uid="{00000000-0005-0000-0000-0000C1010000}"/>
    <cellStyle name="Normal 4" xfId="450" xr:uid="{00000000-0005-0000-0000-0000C2010000}"/>
    <cellStyle name="Normal 4 2" xfId="451" xr:uid="{00000000-0005-0000-0000-0000C3010000}"/>
    <cellStyle name="Normal 4 2 2" xfId="452" xr:uid="{00000000-0005-0000-0000-0000C4010000}"/>
    <cellStyle name="Normal 4 2 3" xfId="453" xr:uid="{00000000-0005-0000-0000-0000C5010000}"/>
    <cellStyle name="Normal 4 2 4" xfId="454" xr:uid="{00000000-0005-0000-0000-0000C6010000}"/>
    <cellStyle name="Normal 4 2 5" xfId="455" xr:uid="{00000000-0005-0000-0000-0000C7010000}"/>
    <cellStyle name="Normal 4 3" xfId="456" xr:uid="{00000000-0005-0000-0000-0000C8010000}"/>
    <cellStyle name="Normal 4 4" xfId="457" xr:uid="{00000000-0005-0000-0000-0000C9010000}"/>
    <cellStyle name="Normal 4 5" xfId="458" xr:uid="{00000000-0005-0000-0000-0000CA010000}"/>
    <cellStyle name="Normal 4 6" xfId="459" xr:uid="{00000000-0005-0000-0000-0000CB010000}"/>
    <cellStyle name="Normal 40 2" xfId="460" xr:uid="{00000000-0005-0000-0000-0000CC010000}"/>
    <cellStyle name="Normal 40 3" xfId="461" xr:uid="{00000000-0005-0000-0000-0000CD010000}"/>
    <cellStyle name="Normal 40 4" xfId="462" xr:uid="{00000000-0005-0000-0000-0000CE010000}"/>
    <cellStyle name="Normal 41" xfId="463" xr:uid="{00000000-0005-0000-0000-0000CF010000}"/>
    <cellStyle name="Normal 41 2" xfId="464" xr:uid="{00000000-0005-0000-0000-0000D0010000}"/>
    <cellStyle name="Normal 42" xfId="465" xr:uid="{00000000-0005-0000-0000-0000D1010000}"/>
    <cellStyle name="Normal 43" xfId="466" xr:uid="{00000000-0005-0000-0000-0000D2010000}"/>
    <cellStyle name="Normal 44" xfId="467" xr:uid="{00000000-0005-0000-0000-0000D3010000}"/>
    <cellStyle name="Normal 46" xfId="468" xr:uid="{00000000-0005-0000-0000-0000D4010000}"/>
    <cellStyle name="Normal 5" xfId="469" xr:uid="{00000000-0005-0000-0000-0000D5010000}"/>
    <cellStyle name="Normal 5 2" xfId="470" xr:uid="{00000000-0005-0000-0000-0000D6010000}"/>
    <cellStyle name="Normal 5 2 2" xfId="471" xr:uid="{00000000-0005-0000-0000-0000D7010000}"/>
    <cellStyle name="Normal 5 2 3" xfId="472" xr:uid="{00000000-0005-0000-0000-0000D8010000}"/>
    <cellStyle name="Normal 5 2 4" xfId="473" xr:uid="{00000000-0005-0000-0000-0000D9010000}"/>
    <cellStyle name="Normal 5 2 5" xfId="474" xr:uid="{00000000-0005-0000-0000-0000DA010000}"/>
    <cellStyle name="Normal 5 3" xfId="475" xr:uid="{00000000-0005-0000-0000-0000DB010000}"/>
    <cellStyle name="Normal 5 4" xfId="476" xr:uid="{00000000-0005-0000-0000-0000DC010000}"/>
    <cellStyle name="Normal 5 5" xfId="477" xr:uid="{00000000-0005-0000-0000-0000DD010000}"/>
    <cellStyle name="Normal 5 6" xfId="478" xr:uid="{00000000-0005-0000-0000-0000DE010000}"/>
    <cellStyle name="Normal 6" xfId="479" xr:uid="{00000000-0005-0000-0000-0000DF010000}"/>
    <cellStyle name="Normal 6 2" xfId="480" xr:uid="{00000000-0005-0000-0000-0000E0010000}"/>
    <cellStyle name="Normal 6 2 2" xfId="481" xr:uid="{00000000-0005-0000-0000-0000E1010000}"/>
    <cellStyle name="Normal 6 2 3" xfId="482" xr:uid="{00000000-0005-0000-0000-0000E2010000}"/>
    <cellStyle name="Normal 6 2 4" xfId="483" xr:uid="{00000000-0005-0000-0000-0000E3010000}"/>
    <cellStyle name="Normal 6 2 5" xfId="484" xr:uid="{00000000-0005-0000-0000-0000E4010000}"/>
    <cellStyle name="Normal 6 3" xfId="485" xr:uid="{00000000-0005-0000-0000-0000E5010000}"/>
    <cellStyle name="Normal 6 4" xfId="486" xr:uid="{00000000-0005-0000-0000-0000E6010000}"/>
    <cellStyle name="Normal 6 5" xfId="487" xr:uid="{00000000-0005-0000-0000-0000E7010000}"/>
    <cellStyle name="Normal 6 6" xfId="488" xr:uid="{00000000-0005-0000-0000-0000E8010000}"/>
    <cellStyle name="Normal 7" xfId="489" xr:uid="{00000000-0005-0000-0000-0000E9010000}"/>
    <cellStyle name="Normal 7 2" xfId="490" xr:uid="{00000000-0005-0000-0000-0000EA010000}"/>
    <cellStyle name="Normal 7 2 2" xfId="491" xr:uid="{00000000-0005-0000-0000-0000EB010000}"/>
    <cellStyle name="Normal 7 2 3" xfId="492" xr:uid="{00000000-0005-0000-0000-0000EC010000}"/>
    <cellStyle name="Normal 7 2 4" xfId="493" xr:uid="{00000000-0005-0000-0000-0000ED010000}"/>
    <cellStyle name="Normal 7 2 5" xfId="494" xr:uid="{00000000-0005-0000-0000-0000EE010000}"/>
    <cellStyle name="Normal 7 3" xfId="495" xr:uid="{00000000-0005-0000-0000-0000EF010000}"/>
    <cellStyle name="Normal 7 4" xfId="496" xr:uid="{00000000-0005-0000-0000-0000F0010000}"/>
    <cellStyle name="Normal 7 5" xfId="497" xr:uid="{00000000-0005-0000-0000-0000F1010000}"/>
    <cellStyle name="Normal 7 6" xfId="498" xr:uid="{00000000-0005-0000-0000-0000F2010000}"/>
    <cellStyle name="Normal 8" xfId="499" xr:uid="{00000000-0005-0000-0000-0000F3010000}"/>
    <cellStyle name="Normal 8 10" xfId="500" xr:uid="{00000000-0005-0000-0000-0000F4010000}"/>
    <cellStyle name="Normal 8 11" xfId="501" xr:uid="{00000000-0005-0000-0000-0000F5010000}"/>
    <cellStyle name="Normal 8 12" xfId="502" xr:uid="{00000000-0005-0000-0000-0000F6010000}"/>
    <cellStyle name="Normal 8 2" xfId="503" xr:uid="{00000000-0005-0000-0000-0000F7010000}"/>
    <cellStyle name="Normal 8 2 2" xfId="504" xr:uid="{00000000-0005-0000-0000-0000F8010000}"/>
    <cellStyle name="Normal 8 2 3" xfId="505" xr:uid="{00000000-0005-0000-0000-0000F9010000}"/>
    <cellStyle name="Normal 8 2 4" xfId="506" xr:uid="{00000000-0005-0000-0000-0000FA010000}"/>
    <cellStyle name="Normal 8 2 5" xfId="507" xr:uid="{00000000-0005-0000-0000-0000FB010000}"/>
    <cellStyle name="Normal 8 3" xfId="508" xr:uid="{00000000-0005-0000-0000-0000FC010000}"/>
    <cellStyle name="Normal 8 4" xfId="509" xr:uid="{00000000-0005-0000-0000-0000FD010000}"/>
    <cellStyle name="Normal 8 5" xfId="510" xr:uid="{00000000-0005-0000-0000-0000FE010000}"/>
    <cellStyle name="Normal 8 6" xfId="511" xr:uid="{00000000-0005-0000-0000-0000FF010000}"/>
    <cellStyle name="Normal 8 7" xfId="512" xr:uid="{00000000-0005-0000-0000-000000020000}"/>
    <cellStyle name="Normal 8 8" xfId="513" xr:uid="{00000000-0005-0000-0000-000001020000}"/>
    <cellStyle name="Normal 8 9" xfId="514" xr:uid="{00000000-0005-0000-0000-000002020000}"/>
    <cellStyle name="Normal 9" xfId="515" xr:uid="{00000000-0005-0000-0000-000003020000}"/>
    <cellStyle name="Normal 9 2" xfId="516" xr:uid="{00000000-0005-0000-0000-000004020000}"/>
    <cellStyle name="Normal 9 3" xfId="517" xr:uid="{00000000-0005-0000-0000-000005020000}"/>
    <cellStyle name="Normal 9 4" xfId="518" xr:uid="{00000000-0005-0000-0000-000006020000}"/>
    <cellStyle name="Normal 9 5" xfId="519" xr:uid="{00000000-0005-0000-0000-000007020000}"/>
    <cellStyle name="Normal_X-ImpactFactor 2" xfId="520" xr:uid="{00000000-0005-0000-0000-000008020000}"/>
    <cellStyle name="Note 10" xfId="521" xr:uid="{00000000-0005-0000-0000-000009020000}"/>
    <cellStyle name="Note 10 2" xfId="522" xr:uid="{00000000-0005-0000-0000-00000A020000}"/>
    <cellStyle name="Note 10 3" xfId="523" xr:uid="{00000000-0005-0000-0000-00000B020000}"/>
    <cellStyle name="Note 10 4" xfId="524" xr:uid="{00000000-0005-0000-0000-00000C020000}"/>
    <cellStyle name="Note 11" xfId="525" xr:uid="{00000000-0005-0000-0000-00000D020000}"/>
    <cellStyle name="Note 11 2" xfId="526" xr:uid="{00000000-0005-0000-0000-00000E020000}"/>
    <cellStyle name="Note 11 3" xfId="527" xr:uid="{00000000-0005-0000-0000-00000F020000}"/>
    <cellStyle name="Note 11 4" xfId="528" xr:uid="{00000000-0005-0000-0000-000010020000}"/>
    <cellStyle name="Note 12" xfId="529" xr:uid="{00000000-0005-0000-0000-000011020000}"/>
    <cellStyle name="Note 12 2" xfId="530" xr:uid="{00000000-0005-0000-0000-000012020000}"/>
    <cellStyle name="Note 12 3" xfId="531" xr:uid="{00000000-0005-0000-0000-000013020000}"/>
    <cellStyle name="Note 12 4" xfId="532" xr:uid="{00000000-0005-0000-0000-000014020000}"/>
    <cellStyle name="Note 13" xfId="533" xr:uid="{00000000-0005-0000-0000-000015020000}"/>
    <cellStyle name="Note 13 2" xfId="534" xr:uid="{00000000-0005-0000-0000-000016020000}"/>
    <cellStyle name="Note 13 3" xfId="535" xr:uid="{00000000-0005-0000-0000-000017020000}"/>
    <cellStyle name="Note 13 4" xfId="536" xr:uid="{00000000-0005-0000-0000-000018020000}"/>
    <cellStyle name="Note 14" xfId="537" xr:uid="{00000000-0005-0000-0000-000019020000}"/>
    <cellStyle name="Note 14 2" xfId="538" xr:uid="{00000000-0005-0000-0000-00001A020000}"/>
    <cellStyle name="Note 14 3" xfId="539" xr:uid="{00000000-0005-0000-0000-00001B020000}"/>
    <cellStyle name="Note 14 4" xfId="540" xr:uid="{00000000-0005-0000-0000-00001C020000}"/>
    <cellStyle name="Note 15" xfId="541" xr:uid="{00000000-0005-0000-0000-00001D020000}"/>
    <cellStyle name="Note 15 2" xfId="542" xr:uid="{00000000-0005-0000-0000-00001E020000}"/>
    <cellStyle name="Note 15 3" xfId="543" xr:uid="{00000000-0005-0000-0000-00001F020000}"/>
    <cellStyle name="Note 15 4" xfId="544" xr:uid="{00000000-0005-0000-0000-000020020000}"/>
    <cellStyle name="Note 16" xfId="545" xr:uid="{00000000-0005-0000-0000-000021020000}"/>
    <cellStyle name="Note 16 2" xfId="546" xr:uid="{00000000-0005-0000-0000-000022020000}"/>
    <cellStyle name="Note 16 3" xfId="547" xr:uid="{00000000-0005-0000-0000-000023020000}"/>
    <cellStyle name="Note 16 4" xfId="548" xr:uid="{00000000-0005-0000-0000-000024020000}"/>
    <cellStyle name="Note 17" xfId="549" xr:uid="{00000000-0005-0000-0000-000025020000}"/>
    <cellStyle name="Note 17 2" xfId="550" xr:uid="{00000000-0005-0000-0000-000026020000}"/>
    <cellStyle name="Note 17 3" xfId="551" xr:uid="{00000000-0005-0000-0000-000027020000}"/>
    <cellStyle name="Note 17 4" xfId="552" xr:uid="{00000000-0005-0000-0000-000028020000}"/>
    <cellStyle name="Note 18" xfId="553" xr:uid="{00000000-0005-0000-0000-000029020000}"/>
    <cellStyle name="Note 18 2" xfId="554" xr:uid="{00000000-0005-0000-0000-00002A020000}"/>
    <cellStyle name="Note 18 3" xfId="555" xr:uid="{00000000-0005-0000-0000-00002B020000}"/>
    <cellStyle name="Note 18 4" xfId="556" xr:uid="{00000000-0005-0000-0000-00002C020000}"/>
    <cellStyle name="Note 19" xfId="557" xr:uid="{00000000-0005-0000-0000-00002D020000}"/>
    <cellStyle name="Note 19 2" xfId="558" xr:uid="{00000000-0005-0000-0000-00002E020000}"/>
    <cellStyle name="Note 19 3" xfId="559" xr:uid="{00000000-0005-0000-0000-00002F020000}"/>
    <cellStyle name="Note 19 4" xfId="560" xr:uid="{00000000-0005-0000-0000-000030020000}"/>
    <cellStyle name="Note 2" xfId="561" xr:uid="{00000000-0005-0000-0000-000031020000}"/>
    <cellStyle name="Note 2 2" xfId="562" xr:uid="{00000000-0005-0000-0000-000032020000}"/>
    <cellStyle name="Note 2 3" xfId="563" xr:uid="{00000000-0005-0000-0000-000033020000}"/>
    <cellStyle name="Note 2 4" xfId="564" xr:uid="{00000000-0005-0000-0000-000034020000}"/>
    <cellStyle name="Note 2 5" xfId="565" xr:uid="{00000000-0005-0000-0000-000035020000}"/>
    <cellStyle name="Note 20" xfId="566" xr:uid="{00000000-0005-0000-0000-000036020000}"/>
    <cellStyle name="Note 20 2" xfId="567" xr:uid="{00000000-0005-0000-0000-000037020000}"/>
    <cellStyle name="Note 20 3" xfId="568" xr:uid="{00000000-0005-0000-0000-000038020000}"/>
    <cellStyle name="Note 20 4" xfId="569" xr:uid="{00000000-0005-0000-0000-000039020000}"/>
    <cellStyle name="Note 21" xfId="570" xr:uid="{00000000-0005-0000-0000-00003A020000}"/>
    <cellStyle name="Note 21 2" xfId="571" xr:uid="{00000000-0005-0000-0000-00003B020000}"/>
    <cellStyle name="Note 21 3" xfId="572" xr:uid="{00000000-0005-0000-0000-00003C020000}"/>
    <cellStyle name="Note 21 4" xfId="573" xr:uid="{00000000-0005-0000-0000-00003D020000}"/>
    <cellStyle name="Note 22" xfId="574" xr:uid="{00000000-0005-0000-0000-00003E020000}"/>
    <cellStyle name="Note 22 2" xfId="575" xr:uid="{00000000-0005-0000-0000-00003F020000}"/>
    <cellStyle name="Note 22 3" xfId="576" xr:uid="{00000000-0005-0000-0000-000040020000}"/>
    <cellStyle name="Note 22 4" xfId="577" xr:uid="{00000000-0005-0000-0000-000041020000}"/>
    <cellStyle name="Note 23" xfId="578" xr:uid="{00000000-0005-0000-0000-000042020000}"/>
    <cellStyle name="Note 23 2" xfId="579" xr:uid="{00000000-0005-0000-0000-000043020000}"/>
    <cellStyle name="Note 23 3" xfId="580" xr:uid="{00000000-0005-0000-0000-000044020000}"/>
    <cellStyle name="Note 23 4" xfId="581" xr:uid="{00000000-0005-0000-0000-000045020000}"/>
    <cellStyle name="Note 24" xfId="582" xr:uid="{00000000-0005-0000-0000-000046020000}"/>
    <cellStyle name="Note 24 2" xfId="583" xr:uid="{00000000-0005-0000-0000-000047020000}"/>
    <cellStyle name="Note 24 3" xfId="584" xr:uid="{00000000-0005-0000-0000-000048020000}"/>
    <cellStyle name="Note 24 4" xfId="585" xr:uid="{00000000-0005-0000-0000-000049020000}"/>
    <cellStyle name="Note 25" xfId="586" xr:uid="{00000000-0005-0000-0000-00004A020000}"/>
    <cellStyle name="Note 25 2" xfId="587" xr:uid="{00000000-0005-0000-0000-00004B020000}"/>
    <cellStyle name="Note 25 3" xfId="588" xr:uid="{00000000-0005-0000-0000-00004C020000}"/>
    <cellStyle name="Note 25 4" xfId="589" xr:uid="{00000000-0005-0000-0000-00004D020000}"/>
    <cellStyle name="Note 26" xfId="590" xr:uid="{00000000-0005-0000-0000-00004E020000}"/>
    <cellStyle name="Note 26 2" xfId="591" xr:uid="{00000000-0005-0000-0000-00004F020000}"/>
    <cellStyle name="Note 26 3" xfId="592" xr:uid="{00000000-0005-0000-0000-000050020000}"/>
    <cellStyle name="Note 26 4" xfId="593" xr:uid="{00000000-0005-0000-0000-000051020000}"/>
    <cellStyle name="Note 27" xfId="594" xr:uid="{00000000-0005-0000-0000-000052020000}"/>
    <cellStyle name="Note 27 2" xfId="595" xr:uid="{00000000-0005-0000-0000-000053020000}"/>
    <cellStyle name="Note 27 3" xfId="596" xr:uid="{00000000-0005-0000-0000-000054020000}"/>
    <cellStyle name="Note 27 4" xfId="597" xr:uid="{00000000-0005-0000-0000-000055020000}"/>
    <cellStyle name="Note 28" xfId="598" xr:uid="{00000000-0005-0000-0000-000056020000}"/>
    <cellStyle name="Note 28 2" xfId="599" xr:uid="{00000000-0005-0000-0000-000057020000}"/>
    <cellStyle name="Note 29" xfId="600" xr:uid="{00000000-0005-0000-0000-000058020000}"/>
    <cellStyle name="Note 29 2" xfId="601" xr:uid="{00000000-0005-0000-0000-000059020000}"/>
    <cellStyle name="Note 3" xfId="602" xr:uid="{00000000-0005-0000-0000-00005A020000}"/>
    <cellStyle name="Note 3 2" xfId="603" xr:uid="{00000000-0005-0000-0000-00005B020000}"/>
    <cellStyle name="Note 3 3" xfId="604" xr:uid="{00000000-0005-0000-0000-00005C020000}"/>
    <cellStyle name="Note 3 4" xfId="605" xr:uid="{00000000-0005-0000-0000-00005D020000}"/>
    <cellStyle name="Note 3 5" xfId="606" xr:uid="{00000000-0005-0000-0000-00005E020000}"/>
    <cellStyle name="Note 30" xfId="607" xr:uid="{00000000-0005-0000-0000-00005F020000}"/>
    <cellStyle name="Note 30 2" xfId="608" xr:uid="{00000000-0005-0000-0000-000060020000}"/>
    <cellStyle name="Note 31" xfId="609" xr:uid="{00000000-0005-0000-0000-000061020000}"/>
    <cellStyle name="Note 4" xfId="610" xr:uid="{00000000-0005-0000-0000-000062020000}"/>
    <cellStyle name="Note 4 2" xfId="611" xr:uid="{00000000-0005-0000-0000-000063020000}"/>
    <cellStyle name="Note 4 3" xfId="612" xr:uid="{00000000-0005-0000-0000-000064020000}"/>
    <cellStyle name="Note 4 4" xfId="613" xr:uid="{00000000-0005-0000-0000-000065020000}"/>
    <cellStyle name="Note 4 5" xfId="614" xr:uid="{00000000-0005-0000-0000-000066020000}"/>
    <cellStyle name="Note 5" xfId="615" xr:uid="{00000000-0005-0000-0000-000067020000}"/>
    <cellStyle name="Note 5 2" xfId="616" xr:uid="{00000000-0005-0000-0000-000068020000}"/>
    <cellStyle name="Note 5 3" xfId="617" xr:uid="{00000000-0005-0000-0000-000069020000}"/>
    <cellStyle name="Note 5 4" xfId="618" xr:uid="{00000000-0005-0000-0000-00006A020000}"/>
    <cellStyle name="Note 5 5" xfId="619" xr:uid="{00000000-0005-0000-0000-00006B020000}"/>
    <cellStyle name="Note 6" xfId="620" xr:uid="{00000000-0005-0000-0000-00006C020000}"/>
    <cellStyle name="Note 6 2" xfId="621" xr:uid="{00000000-0005-0000-0000-00006D020000}"/>
    <cellStyle name="Note 6 3" xfId="622" xr:uid="{00000000-0005-0000-0000-00006E020000}"/>
    <cellStyle name="Note 6 4" xfId="623" xr:uid="{00000000-0005-0000-0000-00006F020000}"/>
    <cellStyle name="Note 6 5" xfId="624" xr:uid="{00000000-0005-0000-0000-000070020000}"/>
    <cellStyle name="Note 7" xfId="625" xr:uid="{00000000-0005-0000-0000-000071020000}"/>
    <cellStyle name="Note 7 2" xfId="626" xr:uid="{00000000-0005-0000-0000-000072020000}"/>
    <cellStyle name="Note 7 3" xfId="627" xr:uid="{00000000-0005-0000-0000-000073020000}"/>
    <cellStyle name="Note 7 4" xfId="628" xr:uid="{00000000-0005-0000-0000-000074020000}"/>
    <cellStyle name="Note 8" xfId="629" xr:uid="{00000000-0005-0000-0000-000075020000}"/>
    <cellStyle name="Note 8 2" xfId="630" xr:uid="{00000000-0005-0000-0000-000076020000}"/>
    <cellStyle name="Note 8 3" xfId="631" xr:uid="{00000000-0005-0000-0000-000077020000}"/>
    <cellStyle name="Note 8 4" xfId="632" xr:uid="{00000000-0005-0000-0000-000078020000}"/>
    <cellStyle name="Note 9" xfId="633" xr:uid="{00000000-0005-0000-0000-000079020000}"/>
    <cellStyle name="Note 9 2" xfId="634" xr:uid="{00000000-0005-0000-0000-00007A020000}"/>
    <cellStyle name="Note 9 3" xfId="635" xr:uid="{00000000-0005-0000-0000-00007B020000}"/>
    <cellStyle name="Note 9 4" xfId="636" xr:uid="{00000000-0005-0000-0000-00007C020000}"/>
    <cellStyle name="Percent" xfId="637" builtinId="5"/>
    <cellStyle name="Percent 2" xfId="638" xr:uid="{00000000-0005-0000-0000-00007E020000}"/>
    <cellStyle name="Percent 2 2" xfId="639" xr:uid="{00000000-0005-0000-0000-00007F020000}"/>
    <cellStyle name="Percent 3" xfId="640" xr:uid="{00000000-0005-0000-0000-000080020000}"/>
    <cellStyle name="Percent 3 2" xfId="641" xr:uid="{00000000-0005-0000-0000-000081020000}"/>
    <cellStyle name="Percent 31" xfId="642" xr:uid="{00000000-0005-0000-0000-000082020000}"/>
    <cellStyle name="Percent 4" xfId="643" xr:uid="{00000000-0005-0000-0000-000083020000}"/>
    <cellStyle name="나쁨 2" xfId="644" xr:uid="{00000000-0005-0000-0000-000084020000}"/>
    <cellStyle name="쉼표 [0] 2" xfId="645" xr:uid="{00000000-0005-0000-0000-000085020000}"/>
    <cellStyle name="입력 2" xfId="646" xr:uid="{00000000-0005-0000-0000-000086020000}"/>
    <cellStyle name="좋음 2" xfId="647" xr:uid="{00000000-0005-0000-0000-000087020000}"/>
    <cellStyle name="표준 2" xfId="648" xr:uid="{00000000-0005-0000-0000-00008802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externalLink" Target="externalLinks/externalLink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29"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28"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 Id="rId27" Type="http://schemas.openxmlformats.org/officeDocument/2006/relationships/customXml" Target="../customXml/item2.xml"/><Relationship Id="rId30" Type="http://schemas.openxmlformats.org/officeDocument/2006/relationships/customXml" Target="../customXml/item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v>Specific emergy</c:v>
          </c:tx>
          <c:invertIfNegative val="0"/>
          <c:cat>
            <c:strRef>
              <c:f>'Ocean Ions'!$C$4:$C$51</c:f>
              <c:strCache>
                <c:ptCount val="48"/>
                <c:pt idx="0">
                  <c:v>Li</c:v>
                </c:pt>
                <c:pt idx="1">
                  <c:v>B</c:v>
                </c:pt>
                <c:pt idx="2">
                  <c:v>Na</c:v>
                </c:pt>
                <c:pt idx="3">
                  <c:v>Mg</c:v>
                </c:pt>
                <c:pt idx="4">
                  <c:v>Al</c:v>
                </c:pt>
                <c:pt idx="5">
                  <c:v>Si</c:v>
                </c:pt>
                <c:pt idx="6">
                  <c:v>P</c:v>
                </c:pt>
                <c:pt idx="7">
                  <c:v>Cl</c:v>
                </c:pt>
                <c:pt idx="8">
                  <c:v>K</c:v>
                </c:pt>
                <c:pt idx="9">
                  <c:v>Ca</c:v>
                </c:pt>
                <c:pt idx="10">
                  <c:v>Sc</c:v>
                </c:pt>
                <c:pt idx="11">
                  <c:v>Ti</c:v>
                </c:pt>
                <c:pt idx="12">
                  <c:v>V</c:v>
                </c:pt>
                <c:pt idx="13">
                  <c:v>Cr</c:v>
                </c:pt>
                <c:pt idx="14">
                  <c:v>Mn</c:v>
                </c:pt>
                <c:pt idx="15">
                  <c:v>Fe</c:v>
                </c:pt>
                <c:pt idx="16">
                  <c:v>Co</c:v>
                </c:pt>
                <c:pt idx="17">
                  <c:v>Ni</c:v>
                </c:pt>
                <c:pt idx="18">
                  <c:v>Cu</c:v>
                </c:pt>
                <c:pt idx="19">
                  <c:v>Zn</c:v>
                </c:pt>
                <c:pt idx="20">
                  <c:v>Ga</c:v>
                </c:pt>
                <c:pt idx="21">
                  <c:v>As</c:v>
                </c:pt>
                <c:pt idx="22">
                  <c:v>Br</c:v>
                </c:pt>
                <c:pt idx="23">
                  <c:v>Rb</c:v>
                </c:pt>
                <c:pt idx="24">
                  <c:v>Sr</c:v>
                </c:pt>
                <c:pt idx="25">
                  <c:v>Mo</c:v>
                </c:pt>
                <c:pt idx="26">
                  <c:v>Ag</c:v>
                </c:pt>
                <c:pt idx="27">
                  <c:v>Sb</c:v>
                </c:pt>
                <c:pt idx="28">
                  <c:v>I</c:v>
                </c:pt>
                <c:pt idx="29">
                  <c:v>Cs</c:v>
                </c:pt>
                <c:pt idx="30">
                  <c:v>Ba</c:v>
                </c:pt>
                <c:pt idx="31">
                  <c:v>La</c:v>
                </c:pt>
                <c:pt idx="32">
                  <c:v>Ce</c:v>
                </c:pt>
                <c:pt idx="33">
                  <c:v>Pr</c:v>
                </c:pt>
                <c:pt idx="34">
                  <c:v>Nd</c:v>
                </c:pt>
                <c:pt idx="35">
                  <c:v>Sm</c:v>
                </c:pt>
                <c:pt idx="36">
                  <c:v>Eu</c:v>
                </c:pt>
                <c:pt idx="37">
                  <c:v>Gd</c:v>
                </c:pt>
                <c:pt idx="38">
                  <c:v>Tb</c:v>
                </c:pt>
                <c:pt idx="39">
                  <c:v>Ho</c:v>
                </c:pt>
                <c:pt idx="40">
                  <c:v>Er</c:v>
                </c:pt>
                <c:pt idx="41">
                  <c:v>Tm</c:v>
                </c:pt>
                <c:pt idx="42">
                  <c:v>Yb</c:v>
                </c:pt>
                <c:pt idx="43">
                  <c:v>Lu</c:v>
                </c:pt>
                <c:pt idx="44">
                  <c:v>Au</c:v>
                </c:pt>
                <c:pt idx="45">
                  <c:v>Pb</c:v>
                </c:pt>
                <c:pt idx="46">
                  <c:v>Th</c:v>
                </c:pt>
                <c:pt idx="47">
                  <c:v>U</c:v>
                </c:pt>
              </c:strCache>
            </c:strRef>
          </c:cat>
          <c:val>
            <c:numRef>
              <c:f>'Ocean Ions'!$J$4:$J$51</c:f>
              <c:numCache>
                <c:formatCode>0.00E+00</c:formatCode>
                <c:ptCount val="48"/>
                <c:pt idx="0">
                  <c:v>562663022852.43762</c:v>
                </c:pt>
                <c:pt idx="1">
                  <c:v>362822523612.48975</c:v>
                </c:pt>
                <c:pt idx="2">
                  <c:v>922473357.69135535</c:v>
                </c:pt>
                <c:pt idx="3">
                  <c:v>1866432551.6649444</c:v>
                </c:pt>
                <c:pt idx="4">
                  <c:v>143652835915.27756</c:v>
                </c:pt>
                <c:pt idx="5">
                  <c:v>1232196898.8344464</c:v>
                </c:pt>
                <c:pt idx="6">
                  <c:v>165806549881.79306</c:v>
                </c:pt>
                <c:pt idx="7">
                  <c:v>819678707.20691526</c:v>
                </c:pt>
                <c:pt idx="8">
                  <c:v>4956697595.8648615</c:v>
                </c:pt>
                <c:pt idx="9">
                  <c:v>456159496.1313296</c:v>
                </c:pt>
                <c:pt idx="10">
                  <c:v>1724342741330086.5</c:v>
                </c:pt>
                <c:pt idx="11">
                  <c:v>809517333385.14221</c:v>
                </c:pt>
                <c:pt idx="12">
                  <c:v>7608666788861.8574</c:v>
                </c:pt>
                <c:pt idx="13">
                  <c:v>6307535330340.3047</c:v>
                </c:pt>
                <c:pt idx="14">
                  <c:v>881896181206.10095</c:v>
                </c:pt>
                <c:pt idx="15">
                  <c:v>198295291075.77396</c:v>
                </c:pt>
                <c:pt idx="16">
                  <c:v>43845902278603.148</c:v>
                </c:pt>
                <c:pt idx="17">
                  <c:v>3066207245042.0381</c:v>
                </c:pt>
                <c:pt idx="18">
                  <c:v>658100674199.42188</c:v>
                </c:pt>
                <c:pt idx="19">
                  <c:v>204060250946.30029</c:v>
                </c:pt>
                <c:pt idx="20">
                  <c:v>69491698799628.188</c:v>
                </c:pt>
                <c:pt idx="21">
                  <c:v>3880024911622.3447</c:v>
                </c:pt>
                <c:pt idx="22">
                  <c:v>335606441448.86609</c:v>
                </c:pt>
                <c:pt idx="23">
                  <c:v>4413259886642.4141</c:v>
                </c:pt>
                <c:pt idx="24">
                  <c:v>109224992102.48692</c:v>
                </c:pt>
                <c:pt idx="25">
                  <c:v>13466642318977.357</c:v>
                </c:pt>
                <c:pt idx="26">
                  <c:v>23955012869112.016</c:v>
                </c:pt>
                <c:pt idx="27">
                  <c:v>7162981710520.0332</c:v>
                </c:pt>
                <c:pt idx="28">
                  <c:v>3352284917399.6997</c:v>
                </c:pt>
                <c:pt idx="29">
                  <c:v>218725912808851.91</c:v>
                </c:pt>
                <c:pt idx="30">
                  <c:v>129792768323.34804</c:v>
                </c:pt>
                <c:pt idx="31">
                  <c:v>139517695140888.88</c:v>
                </c:pt>
                <c:pt idx="32">
                  <c:v>92205942341042.484</c:v>
                </c:pt>
                <c:pt idx="33">
                  <c:v>1031515862898503.5</c:v>
                </c:pt>
                <c:pt idx="34">
                  <c:v>179144434842302.72</c:v>
                </c:pt>
                <c:pt idx="35">
                  <c:v>966672234698738.38</c:v>
                </c:pt>
                <c:pt idx="36">
                  <c:v>6376627060160669</c:v>
                </c:pt>
                <c:pt idx="37">
                  <c:v>985938058441478.38</c:v>
                </c:pt>
                <c:pt idx="38">
                  <c:v>7341197958706494</c:v>
                </c:pt>
                <c:pt idx="39">
                  <c:v>7050207346598063</c:v>
                </c:pt>
                <c:pt idx="40">
                  <c:v>1931109745430299</c:v>
                </c:pt>
                <c:pt idx="41">
                  <c:v>6883106406492586</c:v>
                </c:pt>
                <c:pt idx="42">
                  <c:v>2015933941876592.5</c:v>
                </c:pt>
                <c:pt idx="43">
                  <c:v>6645771475046256</c:v>
                </c:pt>
                <c:pt idx="44">
                  <c:v>3452327344395353</c:v>
                </c:pt>
                <c:pt idx="45">
                  <c:v>7482565622100.5059</c:v>
                </c:pt>
                <c:pt idx="46">
                  <c:v>83520134466080.156</c:v>
                </c:pt>
                <c:pt idx="47">
                  <c:v>162835998649242.81</c:v>
                </c:pt>
              </c:numCache>
            </c:numRef>
          </c:val>
          <c:extLst>
            <c:ext xmlns:c16="http://schemas.microsoft.com/office/drawing/2014/chart" uri="{C3380CC4-5D6E-409C-BE32-E72D297353CC}">
              <c16:uniqueId val="{00000000-3276-4C89-8646-F0168E10559D}"/>
            </c:ext>
          </c:extLst>
        </c:ser>
        <c:dLbls>
          <c:showLegendKey val="0"/>
          <c:showVal val="0"/>
          <c:showCatName val="0"/>
          <c:showSerName val="0"/>
          <c:showPercent val="0"/>
          <c:showBubbleSize val="0"/>
        </c:dLbls>
        <c:gapWidth val="28"/>
        <c:overlap val="-100"/>
        <c:axId val="635923151"/>
        <c:axId val="1"/>
      </c:barChart>
      <c:barChart>
        <c:barDir val="col"/>
        <c:grouping val="clustered"/>
        <c:varyColors val="0"/>
        <c:ser>
          <c:idx val="1"/>
          <c:order val="1"/>
          <c:tx>
            <c:v>Transformity</c:v>
          </c:tx>
          <c:invertIfNegative val="0"/>
          <c:val>
            <c:numRef>
              <c:f>'Ocean Ions'!$L$4:$L$51</c:f>
              <c:numCache>
                <c:formatCode>0.00E+00</c:formatCode>
                <c:ptCount val="48"/>
                <c:pt idx="0">
                  <c:v>9936758.1141866259</c:v>
                </c:pt>
                <c:pt idx="1">
                  <c:v>6239439.1986175859</c:v>
                </c:pt>
                <c:pt idx="2">
                  <c:v>62984.402003661075</c:v>
                </c:pt>
                <c:pt idx="3">
                  <c:v>0</c:v>
                </c:pt>
                <c:pt idx="4">
                  <c:v>0</c:v>
                </c:pt>
                <c:pt idx="5">
                  <c:v>0</c:v>
                </c:pt>
                <c:pt idx="6">
                  <c:v>5961852.4235897493</c:v>
                </c:pt>
                <c:pt idx="7">
                  <c:v>234298.7116552993</c:v>
                </c:pt>
                <c:pt idx="8">
                  <c:v>528550.83623084915</c:v>
                </c:pt>
                <c:pt idx="9">
                  <c:v>0</c:v>
                </c:pt>
                <c:pt idx="10">
                  <c:v>0</c:v>
                </c:pt>
                <c:pt idx="11">
                  <c:v>0</c:v>
                </c:pt>
                <c:pt idx="12">
                  <c:v>0</c:v>
                </c:pt>
                <c:pt idx="13">
                  <c:v>0</c:v>
                </c:pt>
                <c:pt idx="14">
                  <c:v>0</c:v>
                </c:pt>
                <c:pt idx="15">
                  <c:v>0</c:v>
                </c:pt>
                <c:pt idx="16">
                  <c:v>0</c:v>
                </c:pt>
                <c:pt idx="17">
                  <c:v>773337787.758991</c:v>
                </c:pt>
                <c:pt idx="18">
                  <c:v>311505887.84116548</c:v>
                </c:pt>
                <c:pt idx="19">
                  <c:v>39332350.211874947</c:v>
                </c:pt>
                <c:pt idx="20">
                  <c:v>0</c:v>
                </c:pt>
                <c:pt idx="21">
                  <c:v>588659405.9060905</c:v>
                </c:pt>
                <c:pt idx="22">
                  <c:v>265797374.34364352</c:v>
                </c:pt>
                <c:pt idx="23">
                  <c:v>0</c:v>
                </c:pt>
                <c:pt idx="24">
                  <c:v>0</c:v>
                </c:pt>
                <c:pt idx="25">
                  <c:v>1769194495.2999406</c:v>
                </c:pt>
                <c:pt idx="26">
                  <c:v>36993261677.385468</c:v>
                </c:pt>
                <c:pt idx="27">
                  <c:v>0</c:v>
                </c:pt>
                <c:pt idx="28">
                  <c:v>2434502438.0108843</c:v>
                </c:pt>
                <c:pt idx="29">
                  <c:v>71851716451.283966</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6671203084.7643061</c:v>
                </c:pt>
                <c:pt idx="46">
                  <c:v>0</c:v>
                </c:pt>
                <c:pt idx="47">
                  <c:v>0</c:v>
                </c:pt>
              </c:numCache>
            </c:numRef>
          </c:val>
          <c:extLst>
            <c:ext xmlns:c16="http://schemas.microsoft.com/office/drawing/2014/chart" uri="{C3380CC4-5D6E-409C-BE32-E72D297353CC}">
              <c16:uniqueId val="{00000001-3276-4C89-8646-F0168E10559D}"/>
            </c:ext>
          </c:extLst>
        </c:ser>
        <c:dLbls>
          <c:showLegendKey val="0"/>
          <c:showVal val="0"/>
          <c:showCatName val="0"/>
          <c:showSerName val="0"/>
          <c:showPercent val="0"/>
          <c:showBubbleSize val="0"/>
        </c:dLbls>
        <c:gapWidth val="259"/>
        <c:overlap val="-100"/>
        <c:axId val="3"/>
        <c:axId val="4"/>
      </c:barChart>
      <c:catAx>
        <c:axId val="635923151"/>
        <c:scaling>
          <c:orientation val="minMax"/>
        </c:scaling>
        <c:delete val="0"/>
        <c:axPos val="b"/>
        <c:title>
          <c:tx>
            <c:rich>
              <a:bodyPr/>
              <a:lstStyle/>
              <a:p>
                <a:pPr>
                  <a:defRPr sz="1400"/>
                </a:pPr>
                <a:r>
                  <a:rPr lang="en-US" sz="1400"/>
                  <a:t>Ocean ions</a:t>
                </a:r>
              </a:p>
            </c:rich>
          </c:tx>
          <c:overlay val="0"/>
        </c:title>
        <c:numFmt formatCode="General" sourceLinked="1"/>
        <c:majorTickMark val="out"/>
        <c:minorTickMark val="none"/>
        <c:tickLblPos val="nextTo"/>
        <c:txPr>
          <a:bodyPr rot="-3540000"/>
          <a:lstStyle/>
          <a:p>
            <a:pPr>
              <a:defRPr sz="1100" b="1"/>
            </a:pPr>
            <a:endParaRPr lang="en-US"/>
          </a:p>
        </c:txPr>
        <c:crossAx val="1"/>
        <c:crosses val="autoZero"/>
        <c:auto val="1"/>
        <c:lblAlgn val="ctr"/>
        <c:lblOffset val="100"/>
        <c:noMultiLvlLbl val="0"/>
      </c:catAx>
      <c:valAx>
        <c:axId val="1"/>
        <c:scaling>
          <c:logBase val="10"/>
          <c:orientation val="minMax"/>
          <c:min val="100000000"/>
        </c:scaling>
        <c:delete val="0"/>
        <c:axPos val="l"/>
        <c:majorGridlines/>
        <c:title>
          <c:tx>
            <c:rich>
              <a:bodyPr rot="0" vert="horz"/>
              <a:lstStyle/>
              <a:p>
                <a:pPr>
                  <a:defRPr sz="1400"/>
                </a:pPr>
                <a:r>
                  <a:rPr lang="en-US" sz="1400"/>
                  <a:t>Specific</a:t>
                </a:r>
              </a:p>
              <a:p>
                <a:pPr>
                  <a:defRPr sz="1400"/>
                </a:pPr>
                <a:r>
                  <a:rPr lang="en-US" sz="1400"/>
                  <a:t>emergy</a:t>
                </a:r>
              </a:p>
              <a:p>
                <a:pPr>
                  <a:defRPr sz="1400"/>
                </a:pPr>
                <a:r>
                  <a:rPr lang="en-US" sz="1400"/>
                  <a:t>(sej/g)</a:t>
                </a:r>
              </a:p>
            </c:rich>
          </c:tx>
          <c:overlay val="0"/>
        </c:title>
        <c:numFmt formatCode="0.00E+00" sourceLinked="1"/>
        <c:majorTickMark val="out"/>
        <c:minorTickMark val="none"/>
        <c:tickLblPos val="nextTo"/>
        <c:crossAx val="635923151"/>
        <c:crosses val="autoZero"/>
        <c:crossBetween val="between"/>
      </c:valAx>
      <c:catAx>
        <c:axId val="3"/>
        <c:scaling>
          <c:orientation val="minMax"/>
        </c:scaling>
        <c:delete val="1"/>
        <c:axPos val="b"/>
        <c:majorTickMark val="out"/>
        <c:minorTickMark val="none"/>
        <c:tickLblPos val="nextTo"/>
        <c:crossAx val="4"/>
        <c:crosses val="autoZero"/>
        <c:auto val="1"/>
        <c:lblAlgn val="ctr"/>
        <c:lblOffset val="100"/>
        <c:noMultiLvlLbl val="0"/>
      </c:catAx>
      <c:valAx>
        <c:axId val="4"/>
        <c:scaling>
          <c:logBase val="10"/>
          <c:orientation val="minMax"/>
          <c:min val="10000"/>
        </c:scaling>
        <c:delete val="0"/>
        <c:axPos val="r"/>
        <c:title>
          <c:tx>
            <c:rich>
              <a:bodyPr rot="0" vert="horz"/>
              <a:lstStyle/>
              <a:p>
                <a:pPr>
                  <a:defRPr sz="1400"/>
                </a:pPr>
                <a:r>
                  <a:rPr lang="en-US" sz="1400"/>
                  <a:t>Transformity</a:t>
                </a:r>
              </a:p>
              <a:p>
                <a:pPr>
                  <a:defRPr sz="1400"/>
                </a:pPr>
                <a:r>
                  <a:rPr lang="en-US" sz="1400"/>
                  <a:t>(sej/J)</a:t>
                </a:r>
              </a:p>
            </c:rich>
          </c:tx>
          <c:overlay val="0"/>
        </c:title>
        <c:numFmt formatCode="0.00E+00" sourceLinked="1"/>
        <c:majorTickMark val="out"/>
        <c:minorTickMark val="none"/>
        <c:tickLblPos val="nextTo"/>
        <c:crossAx val="3"/>
        <c:crosses val="max"/>
        <c:crossBetween val="between"/>
      </c:valAx>
    </c:plotArea>
    <c:legend>
      <c:legendPos val="r"/>
      <c:overlay val="0"/>
    </c:legend>
    <c:plotVisOnly val="1"/>
    <c:dispBlanksAs val="gap"/>
    <c:showDLblsOverMax val="0"/>
  </c:chart>
  <c:printSettings>
    <c:headerFooter/>
    <c:pageMargins b="0.750000000000001" l="0.70000000000000095" r="0.70000000000000095" t="0.750000000000001"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xdr:col>
      <xdr:colOff>0</xdr:colOff>
      <xdr:row>55</xdr:row>
      <xdr:rowOff>0</xdr:rowOff>
    </xdr:from>
    <xdr:to>
      <xdr:col>17</xdr:col>
      <xdr:colOff>6350</xdr:colOff>
      <xdr:row>85</xdr:row>
      <xdr:rowOff>0</xdr:rowOff>
    </xdr:to>
    <xdr:graphicFrame macro="">
      <xdr:nvGraphicFramePr>
        <xdr:cNvPr id="108574" name="Chart 1">
          <a:extLst>
            <a:ext uri="{FF2B5EF4-FFF2-40B4-BE49-F238E27FC236}">
              <a16:creationId xmlns:a16="http://schemas.microsoft.com/office/drawing/2014/main" id="{DE60ACCD-8286-CD50-58A9-61F7F30416F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rom%20Mark%20Brown/1_UEVdatabase_20200206_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Chris/Documents/Articles/Water/Ocean%20composition/Ocean%20cycles.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AA.AD.EPA.GOV/ORD/Users/Chris/Documents/Articles/Water/Ocean%20composition/Ocean%20cycle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EV Library"/>
      <sheetName val="Renewable Earth emergy flows"/>
      <sheetName val="WORLD"/>
      <sheetName val="Water"/>
      <sheetName val="Singular minerals"/>
      <sheetName val="Multiple mineral deposits"/>
      <sheetName val="Aggregate minerals"/>
      <sheetName val="Ocean ions"/>
      <sheetName val="Atmospheric gases"/>
      <sheetName val="Biomes"/>
      <sheetName val="Wood"/>
      <sheetName val="Coal"/>
      <sheetName val="Oil &amp; NG"/>
      <sheetName val="RefinedFuels"/>
      <sheetName val="Labor"/>
      <sheetName val="Crust element composition"/>
      <sheetName val="Mined Ores"/>
      <sheetName val="Metal Products"/>
      <sheetName val="STEEL Products"/>
      <sheetName val="Products"/>
      <sheetName val="Cement &amp; Concrete"/>
      <sheetName val="Transport"/>
      <sheetName val="USA"/>
      <sheetName val="Electricity"/>
      <sheetName val="Plastic"/>
      <sheetName val="Paper"/>
      <sheetName val="References"/>
    </sheetNames>
    <sheetDataSet>
      <sheetData sheetId="0">
        <row r="12">
          <cell r="D12">
            <v>100463124.6381606</v>
          </cell>
          <cell r="F12">
            <v>21300</v>
          </cell>
        </row>
        <row r="16">
          <cell r="D16">
            <v>100463124.6381606</v>
          </cell>
        </row>
        <row r="17">
          <cell r="D17">
            <v>495916429.24976259</v>
          </cell>
        </row>
        <row r="112">
          <cell r="F112">
            <v>1343467169711.053</v>
          </cell>
        </row>
        <row r="113">
          <cell r="F113">
            <v>1512886289755.449</v>
          </cell>
        </row>
        <row r="115">
          <cell r="F115">
            <v>1343467169711.053</v>
          </cell>
        </row>
        <row r="117">
          <cell r="F117">
            <v>1629878514305.532</v>
          </cell>
        </row>
        <row r="118">
          <cell r="F118">
            <v>1652039230390.877</v>
          </cell>
        </row>
        <row r="122">
          <cell r="F122">
            <v>1680906443904.3591</v>
          </cell>
        </row>
        <row r="123">
          <cell r="F123">
            <v>1659791240852.48</v>
          </cell>
        </row>
        <row r="193">
          <cell r="D193">
            <v>7431199247.362711</v>
          </cell>
        </row>
        <row r="200">
          <cell r="D200">
            <v>2033756834867.9861</v>
          </cell>
        </row>
        <row r="202">
          <cell r="D202">
            <v>1133729015928.0898</v>
          </cell>
        </row>
        <row r="203">
          <cell r="D203">
            <v>7464230827230.4473</v>
          </cell>
          <cell r="F203">
            <v>140305.0907374144</v>
          </cell>
        </row>
        <row r="204">
          <cell r="D204">
            <v>5788489328321.2549</v>
          </cell>
        </row>
        <row r="205">
          <cell r="D205">
            <v>825706015409.39294</v>
          </cell>
        </row>
        <row r="215">
          <cell r="D215" t="e">
            <v>#REF!</v>
          </cell>
        </row>
        <row r="217">
          <cell r="D217">
            <v>1293799211251.1318</v>
          </cell>
        </row>
        <row r="218">
          <cell r="D218">
            <v>2345646705773.3525</v>
          </cell>
        </row>
        <row r="219">
          <cell r="D219">
            <v>3372006528532.8994</v>
          </cell>
        </row>
        <row r="222">
          <cell r="D222">
            <v>747027397763.19263</v>
          </cell>
        </row>
        <row r="225">
          <cell r="D225">
            <v>3451716093110.061</v>
          </cell>
        </row>
        <row r="226">
          <cell r="D226" t="e">
            <v>#REF!</v>
          </cell>
        </row>
        <row r="227">
          <cell r="D227">
            <v>67550086633212.516</v>
          </cell>
        </row>
        <row r="228">
          <cell r="D228" t="e">
            <v>#REF!</v>
          </cell>
        </row>
        <row r="229">
          <cell r="D229" t="e">
            <v>#REF!</v>
          </cell>
        </row>
        <row r="238">
          <cell r="D238" t="e">
            <v>#REF!</v>
          </cell>
        </row>
        <row r="239">
          <cell r="D239">
            <v>4833577337680.9336</v>
          </cell>
        </row>
        <row r="241">
          <cell r="D241">
            <v>1432655965730.8606</v>
          </cell>
        </row>
        <row r="242">
          <cell r="D242" t="e">
            <v>#REF!</v>
          </cell>
        </row>
        <row r="243">
          <cell r="D243" t="e">
            <v>#REF!</v>
          </cell>
        </row>
        <row r="244">
          <cell r="D244" t="e">
            <v>#REF!</v>
          </cell>
        </row>
        <row r="245">
          <cell r="D245" t="e">
            <v>#REF!</v>
          </cell>
        </row>
        <row r="246">
          <cell r="D246" t="e">
            <v>#REF!</v>
          </cell>
        </row>
        <row r="247">
          <cell r="D247" t="e">
            <v>#REF!</v>
          </cell>
        </row>
        <row r="248">
          <cell r="D248" t="e">
            <v>#REF!</v>
          </cell>
        </row>
        <row r="249">
          <cell r="D249" t="e">
            <v>#REF!</v>
          </cell>
        </row>
        <row r="250">
          <cell r="D250" t="e">
            <v>#REF!</v>
          </cell>
        </row>
        <row r="251">
          <cell r="D251" t="e">
            <v>#REF!</v>
          </cell>
        </row>
        <row r="252">
          <cell r="D252" t="e">
            <v>#REF!</v>
          </cell>
        </row>
        <row r="253">
          <cell r="D253" t="e">
            <v>#REF!</v>
          </cell>
        </row>
        <row r="261">
          <cell r="D261">
            <v>2248756834867.9858</v>
          </cell>
          <cell r="F261">
            <v>76525.08094046441</v>
          </cell>
        </row>
        <row r="262">
          <cell r="F262">
            <v>173893.50864397295</v>
          </cell>
        </row>
        <row r="264">
          <cell r="D264">
            <v>7259563239124.8613</v>
          </cell>
          <cell r="F264">
            <v>169651.63794080209</v>
          </cell>
        </row>
        <row r="265">
          <cell r="F265">
            <v>146699.08988850389</v>
          </cell>
        </row>
        <row r="266">
          <cell r="D266">
            <v>6837204482433.501</v>
          </cell>
          <cell r="F266">
            <v>173242.90484045763</v>
          </cell>
        </row>
        <row r="267">
          <cell r="D267">
            <v>7801230827230.4473</v>
          </cell>
          <cell r="F267">
            <v>146403.79568528989</v>
          </cell>
        </row>
        <row r="268">
          <cell r="D268">
            <v>3027449561704.272</v>
          </cell>
          <cell r="F268">
            <v>102625.40887133125</v>
          </cell>
        </row>
        <row r="269">
          <cell r="D269">
            <v>14910912607859.088</v>
          </cell>
        </row>
        <row r="272">
          <cell r="D272">
            <v>794811355932.20349</v>
          </cell>
          <cell r="F272">
            <v>220780.93220338985</v>
          </cell>
        </row>
        <row r="273">
          <cell r="F273">
            <v>62605.26315789474</v>
          </cell>
        </row>
        <row r="274">
          <cell r="D274">
            <v>1452315789473.6843</v>
          </cell>
          <cell r="F274">
            <v>403421.05263157899</v>
          </cell>
        </row>
        <row r="278">
          <cell r="D278">
            <v>180000000</v>
          </cell>
        </row>
        <row r="279">
          <cell r="D279">
            <v>316000000</v>
          </cell>
        </row>
        <row r="280">
          <cell r="D280">
            <v>12000000</v>
          </cell>
        </row>
      </sheetData>
      <sheetData sheetId="1">
        <row r="4">
          <cell r="B4">
            <v>155.19999999999999</v>
          </cell>
        </row>
        <row r="5">
          <cell r="B5">
            <v>1.2E+25</v>
          </cell>
        </row>
        <row r="7">
          <cell r="B7">
            <v>4900</v>
          </cell>
        </row>
        <row r="8">
          <cell r="B8">
            <v>30900</v>
          </cell>
        </row>
        <row r="10">
          <cell r="B10">
            <v>287.25</v>
          </cell>
        </row>
        <row r="14">
          <cell r="B14">
            <v>9.81</v>
          </cell>
        </row>
        <row r="35">
          <cell r="B35">
            <v>520</v>
          </cell>
        </row>
        <row r="43">
          <cell r="B43">
            <v>840</v>
          </cell>
        </row>
        <row r="48">
          <cell r="B48">
            <v>4.7229771720067237</v>
          </cell>
        </row>
        <row r="53">
          <cell r="B53">
            <v>7007.7292198049699</v>
          </cell>
        </row>
        <row r="70">
          <cell r="B70">
            <v>12840</v>
          </cell>
        </row>
        <row r="71">
          <cell r="B71">
            <v>100281.84022760886</v>
          </cell>
        </row>
        <row r="73">
          <cell r="B73">
            <v>21300</v>
          </cell>
        </row>
        <row r="78">
          <cell r="B78">
            <v>76200</v>
          </cell>
        </row>
        <row r="85">
          <cell r="B85">
            <v>2500000000</v>
          </cell>
        </row>
        <row r="87">
          <cell r="B87">
            <v>1382488479.2626727</v>
          </cell>
        </row>
        <row r="92">
          <cell r="B92">
            <v>558111823.98269296</v>
          </cell>
        </row>
      </sheetData>
      <sheetData sheetId="2">
        <row r="6">
          <cell r="M6">
            <v>2.17E+25</v>
          </cell>
        </row>
      </sheetData>
      <sheetData sheetId="3"/>
      <sheetData sheetId="4">
        <row r="16">
          <cell r="B16" t="str">
            <v>Mineral</v>
          </cell>
          <cell r="C16" t="str">
            <v>Formula</v>
          </cell>
          <cell r="D16" t="str">
            <v>Molar weight  of mineral
(gmineral/molmineral)</v>
          </cell>
          <cell r="E16" t="str">
            <v>Molar Coc (molmineral/gcrust)</v>
          </cell>
          <cell r="F16" t="str">
            <v>Mineral concentration
(gmineral/gcrust)</v>
          </cell>
          <cell r="G16" t="str">
            <v>Molar fraction
(molmineral/
molcrust)</v>
          </cell>
          <cell r="H16" t="str">
            <v>Gibbs Formation Exergymineral 
(kJ/molmineral)</v>
          </cell>
          <cell r="I16" t="str">
            <v>Mineral Chemical Exergymineral (bch)
(kJ/molmineral)</v>
          </cell>
          <cell r="J16" t="str">
            <v>Crustal Chemical Exergymineral (bch)
(kJ/molmineral)</v>
          </cell>
          <cell r="K16" t="str">
            <v>Chemical exergymineral (bch)
(J/gmineral)</v>
          </cell>
          <cell r="L16" t="str">
            <v>Average Crust Transformity
(sej/Jcrust)</v>
          </cell>
          <cell r="M16" t="str">
            <v>Chemical Exergy Sp Emergy (sej/g)</v>
          </cell>
          <cell r="N16" t="str">
            <v>Element</v>
          </cell>
          <cell r="O16" t="str">
            <v>% element</v>
          </cell>
          <cell r="P16" t="str">
            <v>Mine Concentration
(gmineral/gcrust)</v>
          </cell>
          <cell r="Q16" t="str">
            <v>Molar fraction
(molmineral_mine / molcrust)</v>
          </cell>
          <cell r="R16" t="str">
            <v>Concentration exergy in mine 
(J/gmineral)</v>
          </cell>
          <cell r="S16" t="str">
            <v>Average Crust Transformity
(sej/Jcrust)</v>
          </cell>
          <cell r="T16" t="str">
            <v>Ore Body  Concentration Sp Emergy
(sej/gmineral)</v>
          </cell>
        </row>
        <row r="17">
          <cell r="B17" t="str">
            <v>Acanthite</v>
          </cell>
          <cell r="C17" t="str">
            <v>Ag2S</v>
          </cell>
          <cell r="D17">
            <v>247.80189999999999</v>
          </cell>
          <cell r="E17">
            <v>2.74E-11</v>
          </cell>
          <cell r="F17">
            <v>6.7897720599999999E-9</v>
          </cell>
          <cell r="G17">
            <v>4.3209799999999997E-9</v>
          </cell>
          <cell r="H17">
            <v>-40.299999999999997</v>
          </cell>
          <cell r="I17">
            <v>706.05</v>
          </cell>
          <cell r="J17">
            <v>2.8445377781971521E-6</v>
          </cell>
          <cell r="K17">
            <v>162.62990719603039</v>
          </cell>
          <cell r="L17">
            <v>118563.71023188665</v>
          </cell>
          <cell r="M17">
            <v>19282005.191828765</v>
          </cell>
          <cell r="Q17" t="str">
            <v/>
          </cell>
          <cell r="R17" t="str">
            <v/>
          </cell>
          <cell r="S17">
            <v>118563.71023188665</v>
          </cell>
          <cell r="T17" t="str">
            <v/>
          </cell>
        </row>
        <row r="18">
          <cell r="B18" t="str">
            <v>Actinolite</v>
          </cell>
          <cell r="C18" t="str">
            <v>Ca2Mg3Fe2Si8O22(OH)2</v>
          </cell>
          <cell r="D18">
            <v>875.45</v>
          </cell>
          <cell r="E18">
            <v>2.8200000000000001E-6</v>
          </cell>
          <cell r="F18">
            <v>2.4687690000000004E-3</v>
          </cell>
          <cell r="G18">
            <v>4.4471399999999997E-4</v>
          </cell>
          <cell r="H18">
            <v>-10801.5</v>
          </cell>
          <cell r="I18">
            <v>616.52</v>
          </cell>
          <cell r="J18">
            <v>0.26566693062498936</v>
          </cell>
          <cell r="K18">
            <v>12338.226055171626</v>
          </cell>
          <cell r="L18">
            <v>118563.71023188665</v>
          </cell>
          <cell r="M18">
            <v>1462865858.7808826</v>
          </cell>
          <cell r="Q18" t="str">
            <v/>
          </cell>
          <cell r="R18" t="str">
            <v/>
          </cell>
          <cell r="S18">
            <v>118563.71023188665</v>
          </cell>
          <cell r="T18" t="str">
            <v/>
          </cell>
        </row>
        <row r="19">
          <cell r="B19" t="str">
            <v>Aegirine</v>
          </cell>
          <cell r="C19" t="str">
            <v>NaFe3+Si2O6</v>
          </cell>
          <cell r="D19">
            <v>231</v>
          </cell>
          <cell r="E19">
            <v>1.3200000000000001E-5</v>
          </cell>
          <cell r="F19">
            <v>3.0492000000000002E-3</v>
          </cell>
          <cell r="G19">
            <v>2.0816400000000001E-3</v>
          </cell>
          <cell r="H19">
            <v>-2417.1999999999998</v>
          </cell>
          <cell r="I19">
            <v>16.61</v>
          </cell>
          <cell r="J19">
            <v>2.7150528326584582E-3</v>
          </cell>
          <cell r="K19">
            <v>10464.069264069263</v>
          </cell>
          <cell r="L19">
            <v>118563.71023188665</v>
          </cell>
          <cell r="M19">
            <v>1240658876.0714996</v>
          </cell>
          <cell r="Q19" t="str">
            <v/>
          </cell>
          <cell r="R19" t="str">
            <v/>
          </cell>
          <cell r="S19">
            <v>118563.71023188665</v>
          </cell>
          <cell r="T19" t="str">
            <v/>
          </cell>
        </row>
        <row r="20">
          <cell r="B20" t="str">
            <v>Aenigmatite</v>
          </cell>
          <cell r="C20" t="str">
            <v>Na2Fe2+5TiSi6O20</v>
          </cell>
          <cell r="D20">
            <v>861.57</v>
          </cell>
          <cell r="E20">
            <v>3.1599999999999998E-9</v>
          </cell>
          <cell r="F20">
            <v>2.7225611999999998E-6</v>
          </cell>
          <cell r="G20">
            <v>4.9833199999999999E-7</v>
          </cell>
          <cell r="H20">
            <v>-7660.9</v>
          </cell>
          <cell r="I20">
            <v>444.94</v>
          </cell>
          <cell r="J20">
            <v>2.0380153187089133E-4</v>
          </cell>
          <cell r="K20">
            <v>8891.7905683809786</v>
          </cell>
          <cell r="L20">
            <v>118563.71023188665</v>
          </cell>
          <cell r="M20">
            <v>1054243680.392145</v>
          </cell>
          <cell r="Q20" t="str">
            <v/>
          </cell>
          <cell r="R20" t="str">
            <v/>
          </cell>
          <cell r="S20">
            <v>118563.71023188665</v>
          </cell>
          <cell r="T20" t="str">
            <v/>
          </cell>
        </row>
        <row r="21">
          <cell r="B21" t="str">
            <v>Albite</v>
          </cell>
          <cell r="C21" t="str">
            <v>NaAlSi3O8</v>
          </cell>
          <cell r="D21">
            <v>262.22329999999999</v>
          </cell>
          <cell r="E21">
            <v>5.1400000000000003E-4</v>
          </cell>
          <cell r="F21">
            <v>0.13478277620000001</v>
          </cell>
          <cell r="G21">
            <v>8.1057799999999999E-2</v>
          </cell>
          <cell r="H21">
            <v>-3704.5</v>
          </cell>
          <cell r="I21">
            <v>6.51</v>
          </cell>
          <cell r="J21">
            <v>2.2836979814431297E-2</v>
          </cell>
          <cell r="K21">
            <v>14127.272442990383</v>
          </cell>
          <cell r="L21">
            <v>118563.71023188665</v>
          </cell>
          <cell r="M21">
            <v>1674981836.2976291</v>
          </cell>
          <cell r="Q21" t="str">
            <v/>
          </cell>
          <cell r="R21" t="str">
            <v/>
          </cell>
          <cell r="S21">
            <v>118563.71023188665</v>
          </cell>
          <cell r="T21" t="str">
            <v/>
          </cell>
        </row>
        <row r="22">
          <cell r="B22" t="str">
            <v>Almandine</v>
          </cell>
          <cell r="C22" t="str">
            <v>Fe2+3Al2(SiO4)3</v>
          </cell>
          <cell r="D22">
            <v>497.75</v>
          </cell>
          <cell r="E22">
            <v>2.09E-5</v>
          </cell>
          <cell r="F22">
            <v>1.0402975E-2</v>
          </cell>
          <cell r="G22">
            <v>3.2959299999999999E-3</v>
          </cell>
          <cell r="H22">
            <v>-4969.8</v>
          </cell>
          <cell r="I22">
            <v>336.21</v>
          </cell>
          <cell r="J22">
            <v>1.0614324473247541</v>
          </cell>
          <cell r="K22">
            <v>9984.5303867403309</v>
          </cell>
          <cell r="L22">
            <v>118563.71023188665</v>
          </cell>
          <cell r="M22">
            <v>1183802967.5749478</v>
          </cell>
          <cell r="Q22" t="str">
            <v/>
          </cell>
          <cell r="R22" t="str">
            <v/>
          </cell>
          <cell r="S22">
            <v>118563.71023188665</v>
          </cell>
          <cell r="T22" t="str">
            <v/>
          </cell>
        </row>
        <row r="23">
          <cell r="B23" t="str">
            <v>Alunite</v>
          </cell>
          <cell r="C23" t="str">
            <v>KAl3(SO4)2(OH)6</v>
          </cell>
          <cell r="D23">
            <v>414.21</v>
          </cell>
          <cell r="E23">
            <v>2.2E-13</v>
          </cell>
          <cell r="F23">
            <v>9.112619999999999E-11</v>
          </cell>
          <cell r="G23">
            <v>3.4693999999999994E-11</v>
          </cell>
          <cell r="H23">
            <v>-4652.2</v>
          </cell>
          <cell r="I23">
            <v>47.375</v>
          </cell>
          <cell r="J23">
            <v>-4.276384336802234E-10</v>
          </cell>
          <cell r="K23">
            <v>11231.500929480217</v>
          </cell>
          <cell r="L23">
            <v>118563.71023188665</v>
          </cell>
          <cell r="M23">
            <v>1331648421.6720581</v>
          </cell>
          <cell r="Q23" t="str">
            <v/>
          </cell>
          <cell r="R23" t="str">
            <v/>
          </cell>
          <cell r="S23">
            <v>118563.71023188665</v>
          </cell>
          <cell r="T23" t="str">
            <v/>
          </cell>
        </row>
        <row r="24">
          <cell r="B24" t="str">
            <v>Amblygonite</v>
          </cell>
          <cell r="C24" t="str">
            <v>Li0:75Na0:25Al(PO4)F0:75(OH)0:25</v>
          </cell>
          <cell r="D24">
            <v>151.41</v>
          </cell>
          <cell r="E24">
            <v>1.29E-7</v>
          </cell>
          <cell r="F24">
            <v>1.9531890000000001E-5</v>
          </cell>
          <cell r="G24">
            <v>2.0343299999999999E-5</v>
          </cell>
          <cell r="H24">
            <v>-282.7</v>
          </cell>
          <cell r="I24">
            <v>1958.81</v>
          </cell>
          <cell r="J24">
            <v>3.9303904852559635E-2</v>
          </cell>
          <cell r="K24">
            <v>1867.1157783501751</v>
          </cell>
          <cell r="L24">
            <v>118563.71023188665</v>
          </cell>
          <cell r="M24">
            <v>221372174.11369365</v>
          </cell>
          <cell r="Q24" t="str">
            <v/>
          </cell>
          <cell r="R24" t="str">
            <v/>
          </cell>
          <cell r="S24">
            <v>118563.71023188665</v>
          </cell>
          <cell r="T24" t="str">
            <v/>
          </cell>
        </row>
        <row r="25">
          <cell r="B25" t="str">
            <v>Analcime</v>
          </cell>
          <cell r="C25" t="str">
            <v>NaAlSi2O6 (H2O)</v>
          </cell>
          <cell r="D25">
            <v>220.15</v>
          </cell>
          <cell r="E25">
            <v>1.0100000000000001E-6</v>
          </cell>
          <cell r="F25">
            <v>2.2235150000000003E-4</v>
          </cell>
          <cell r="G25">
            <v>1.5927699999999999E-4</v>
          </cell>
          <cell r="H25">
            <v>-3088.5</v>
          </cell>
          <cell r="I25">
            <v>91.866666666666674</v>
          </cell>
          <cell r="J25">
            <v>1.1179609061436077E-2</v>
          </cell>
          <cell r="K25">
            <v>14029.071087894617</v>
          </cell>
          <cell r="L25">
            <v>118563.71023188665</v>
          </cell>
          <cell r="M25">
            <v>1663338719.2876763</v>
          </cell>
          <cell r="Q25" t="str">
            <v/>
          </cell>
          <cell r="R25" t="str">
            <v/>
          </cell>
          <cell r="S25">
            <v>118563.71023188665</v>
          </cell>
          <cell r="T25" t="str">
            <v/>
          </cell>
        </row>
        <row r="26">
          <cell r="B26" t="str">
            <v>Anatase</v>
          </cell>
          <cell r="C26" t="str">
            <v>TiO2</v>
          </cell>
          <cell r="D26">
            <v>79.87</v>
          </cell>
          <cell r="E26">
            <v>5.5899999999999996E-7</v>
          </cell>
          <cell r="F26">
            <v>4.4647329999999997E-5</v>
          </cell>
          <cell r="G26">
            <v>8.815429999999999E-5</v>
          </cell>
          <cell r="H26">
            <v>-883.7</v>
          </cell>
          <cell r="I26">
            <v>26.16</v>
          </cell>
          <cell r="J26">
            <v>2.6593500129938239E-4</v>
          </cell>
          <cell r="K26">
            <v>11064.229372730686</v>
          </cell>
          <cell r="L26">
            <v>118563.71023188665</v>
          </cell>
          <cell r="M26">
            <v>1311816085.28757</v>
          </cell>
          <cell r="Q26" t="str">
            <v/>
          </cell>
          <cell r="R26" t="str">
            <v/>
          </cell>
          <cell r="S26">
            <v>118563.71023188665</v>
          </cell>
          <cell r="T26" t="str">
            <v/>
          </cell>
        </row>
        <row r="27">
          <cell r="B27" t="str">
            <v>Andalusite</v>
          </cell>
          <cell r="C27" t="str">
            <v>Al2SiO5</v>
          </cell>
          <cell r="D27">
            <v>162.05000000000001</v>
          </cell>
          <cell r="E27">
            <v>1.2500000000000001E-5</v>
          </cell>
          <cell r="F27">
            <v>2.0256250000000001E-3</v>
          </cell>
          <cell r="G27">
            <v>1.9712499999999999E-3</v>
          </cell>
          <cell r="H27">
            <v>-2443</v>
          </cell>
          <cell r="I27">
            <v>11.655000000000001</v>
          </cell>
          <cell r="J27">
            <v>-7.4627205429244961E-3</v>
          </cell>
          <cell r="K27">
            <v>15075.5939524838</v>
          </cell>
          <cell r="L27">
            <v>118563.71023188665</v>
          </cell>
          <cell r="M27">
            <v>1787418352.9558721</v>
          </cell>
          <cell r="Q27" t="str">
            <v/>
          </cell>
          <cell r="R27" t="str">
            <v/>
          </cell>
          <cell r="S27">
            <v>118563.71023188665</v>
          </cell>
          <cell r="T27" t="str">
            <v/>
          </cell>
        </row>
        <row r="28">
          <cell r="B28" t="str">
            <v>Andesine</v>
          </cell>
          <cell r="C28" t="str">
            <v>Na0:6Ca0:4Al1:4Si2:608</v>
          </cell>
          <cell r="D28">
            <v>268.62</v>
          </cell>
          <cell r="E28">
            <v>2.03E-4</v>
          </cell>
          <cell r="F28">
            <v>5.4529859999999999E-2</v>
          </cell>
          <cell r="G28">
            <v>3.2013099999999996E-2</v>
          </cell>
          <cell r="H28">
            <v>-763.7</v>
          </cell>
          <cell r="I28">
            <v>24.8</v>
          </cell>
          <cell r="J28">
            <v>0.52081700018581423</v>
          </cell>
          <cell r="K28">
            <v>2843.0496612314791</v>
          </cell>
          <cell r="L28">
            <v>118563.71023188665</v>
          </cell>
          <cell r="M28">
            <v>337082516.20911258</v>
          </cell>
          <cell r="Q28" t="str">
            <v/>
          </cell>
          <cell r="R28" t="str">
            <v/>
          </cell>
          <cell r="S28">
            <v>118563.71023188665</v>
          </cell>
          <cell r="T28" t="str">
            <v/>
          </cell>
        </row>
        <row r="29">
          <cell r="B29" t="str">
            <v>Andradite</v>
          </cell>
          <cell r="C29" t="str">
            <v>Ca3Fe2+2(SiO4)3</v>
          </cell>
          <cell r="D29">
            <v>508.18</v>
          </cell>
          <cell r="E29">
            <v>1.96E-8</v>
          </cell>
          <cell r="F29">
            <v>9.9603280000000001E-6</v>
          </cell>
          <cell r="G29">
            <v>3.0909199999999996E-6</v>
          </cell>
          <cell r="H29">
            <v>-5419.4</v>
          </cell>
          <cell r="I29">
            <v>114.91</v>
          </cell>
          <cell r="J29">
            <v>2.5797164045990783E-4</v>
          </cell>
          <cell r="K29">
            <v>10664.331536069896</v>
          </cell>
          <cell r="L29">
            <v>118563.71023188665</v>
          </cell>
          <cell r="M29">
            <v>1264402714.0593619</v>
          </cell>
          <cell r="Q29" t="str">
            <v/>
          </cell>
          <cell r="R29" t="str">
            <v/>
          </cell>
          <cell r="S29">
            <v>118563.71023188665</v>
          </cell>
          <cell r="T29" t="str">
            <v/>
          </cell>
        </row>
        <row r="30">
          <cell r="B30" t="str">
            <v>Anglesite</v>
          </cell>
          <cell r="C30" t="str">
            <v>PbSO4</v>
          </cell>
          <cell r="D30">
            <v>303.26</v>
          </cell>
          <cell r="E30">
            <v>3.8200000000000003E-10</v>
          </cell>
          <cell r="F30">
            <v>1.1584532E-7</v>
          </cell>
          <cell r="G30">
            <v>6.0241399999999998E-8</v>
          </cell>
          <cell r="H30">
            <v>-784.5</v>
          </cell>
          <cell r="I30">
            <v>33.549999999999997</v>
          </cell>
          <cell r="J30">
            <v>-4.6145723017942467E-7</v>
          </cell>
          <cell r="K30">
            <v>2586.8891380333707</v>
          </cell>
          <cell r="L30">
            <v>118563.71023188665</v>
          </cell>
          <cell r="M30">
            <v>306711174.16380358</v>
          </cell>
          <cell r="Q30" t="str">
            <v/>
          </cell>
          <cell r="R30" t="str">
            <v/>
          </cell>
          <cell r="S30">
            <v>118563.71023188665</v>
          </cell>
          <cell r="T30" t="str">
            <v/>
          </cell>
        </row>
        <row r="31">
          <cell r="B31" t="str">
            <v>Anhydrite</v>
          </cell>
          <cell r="C31" t="str">
            <v>CaSO4</v>
          </cell>
          <cell r="D31">
            <v>136.13999999999999</v>
          </cell>
          <cell r="E31">
            <v>1.73E-6</v>
          </cell>
          <cell r="F31">
            <v>2.3552219999999996E-4</v>
          </cell>
          <cell r="G31">
            <v>2.7282099999999997E-4</v>
          </cell>
          <cell r="H31">
            <v>-1322.7</v>
          </cell>
          <cell r="I31">
            <v>23.65</v>
          </cell>
          <cell r="J31">
            <v>9.0224320260254764E-4</v>
          </cell>
          <cell r="K31">
            <v>9715.7338034376389</v>
          </cell>
          <cell r="L31">
            <v>118563.71023188665</v>
          </cell>
          <cell r="M31">
            <v>1151933447.3609262</v>
          </cell>
          <cell r="P31">
            <v>0.74449999999999994</v>
          </cell>
          <cell r="Q31">
            <v>0.86240377552519465</v>
          </cell>
          <cell r="R31">
            <v>146.73106840213879</v>
          </cell>
          <cell r="S31">
            <v>118563.71023188665</v>
          </cell>
          <cell r="T31">
            <v>17396979.876046322</v>
          </cell>
        </row>
        <row r="32">
          <cell r="B32" t="str">
            <v>Ankerite</v>
          </cell>
          <cell r="C32" t="str">
            <v>CaFe2+0:6Mg0:3Mn2+0:1(CO3)2</v>
          </cell>
          <cell r="D32">
            <v>206.39</v>
          </cell>
          <cell r="E32">
            <v>1.36E-5</v>
          </cell>
          <cell r="F32">
            <v>2.8069039999999998E-3</v>
          </cell>
          <cell r="G32">
            <v>2.1447199999999997E-3</v>
          </cell>
          <cell r="H32">
            <v>-1923.1</v>
          </cell>
          <cell r="I32">
            <v>105.34</v>
          </cell>
          <cell r="J32">
            <v>0.19325704224519902</v>
          </cell>
          <cell r="K32">
            <v>9317.7964048645772</v>
          </cell>
          <cell r="L32">
            <v>118563.71023188665</v>
          </cell>
          <cell r="M32">
            <v>1104752512.946079</v>
          </cell>
          <cell r="Q32" t="str">
            <v/>
          </cell>
          <cell r="R32" t="str">
            <v/>
          </cell>
          <cell r="S32">
            <v>118563.71023188665</v>
          </cell>
          <cell r="T32" t="str">
            <v/>
          </cell>
        </row>
        <row r="33">
          <cell r="B33" t="str">
            <v>Anorthite</v>
          </cell>
          <cell r="C33" t="str">
            <v>CaAl2Si2O8</v>
          </cell>
          <cell r="D33">
            <v>278.20999999999998</v>
          </cell>
          <cell r="E33">
            <v>9.9000000000000005E-7</v>
          </cell>
          <cell r="F33">
            <v>2.754279E-4</v>
          </cell>
          <cell r="G33">
            <v>1.5612300000000001E-4</v>
          </cell>
          <cell r="H33">
            <v>-4021</v>
          </cell>
          <cell r="I33">
            <v>26.68</v>
          </cell>
          <cell r="J33">
            <v>7.7335243267699942E-4</v>
          </cell>
          <cell r="K33">
            <v>14453.110959347257</v>
          </cell>
          <cell r="L33">
            <v>118563.71023188665</v>
          </cell>
          <cell r="M33">
            <v>1713614459.7333536</v>
          </cell>
          <cell r="Q33" t="str">
            <v/>
          </cell>
          <cell r="R33" t="str">
            <v/>
          </cell>
          <cell r="S33">
            <v>118563.71023188665</v>
          </cell>
          <cell r="T33" t="str">
            <v/>
          </cell>
        </row>
        <row r="34">
          <cell r="B34" t="str">
            <v>Anthophyllite</v>
          </cell>
          <cell r="C34" t="str">
            <v>Mg7Si8O22(OH)2</v>
          </cell>
          <cell r="D34">
            <v>780.82</v>
          </cell>
          <cell r="E34">
            <v>2.6700000000000001E-8</v>
          </cell>
          <cell r="F34">
            <v>2.0847894000000001E-5</v>
          </cell>
          <cell r="G34">
            <v>4.2105900000000001E-6</v>
          </cell>
          <cell r="H34">
            <v>-11396</v>
          </cell>
          <cell r="I34">
            <v>167.52499999999998</v>
          </cell>
          <cell r="J34">
            <v>5.7618726536549632E-4</v>
          </cell>
          <cell r="K34">
            <v>14594.913040137291</v>
          </cell>
          <cell r="L34">
            <v>118563.71023188665</v>
          </cell>
          <cell r="M34">
            <v>1730427040.5504217</v>
          </cell>
          <cell r="Q34" t="str">
            <v/>
          </cell>
          <cell r="R34" t="str">
            <v/>
          </cell>
          <cell r="S34">
            <v>118563.71023188665</v>
          </cell>
          <cell r="T34" t="str">
            <v/>
          </cell>
        </row>
        <row r="35">
          <cell r="B35" t="str">
            <v>Apatite</v>
          </cell>
          <cell r="C35" t="str">
            <v>Ca5(PO4)3(OH)0:33F0:33Cl0:33</v>
          </cell>
          <cell r="D35">
            <v>509.12</v>
          </cell>
          <cell r="E35">
            <v>7.9100000000000003E-7</v>
          </cell>
          <cell r="F35">
            <v>4.0271392000000003E-4</v>
          </cell>
          <cell r="G35">
            <v>1.247407E-4</v>
          </cell>
          <cell r="H35">
            <v>-6386.9</v>
          </cell>
          <cell r="I35">
            <v>17.71</v>
          </cell>
          <cell r="J35">
            <v>-5.7041209468693121E-4</v>
          </cell>
          <cell r="K35">
            <v>12544.979572595852</v>
          </cell>
          <cell r="L35">
            <v>118563.71023188665</v>
          </cell>
          <cell r="M35">
            <v>1487379322.9101918</v>
          </cell>
          <cell r="N35" t="str">
            <v>P</v>
          </cell>
          <cell r="O35">
            <v>0.18249135763670646</v>
          </cell>
          <cell r="P35">
            <v>0.12</v>
          </cell>
          <cell r="Q35">
            <v>3.7170018856065364E-2</v>
          </cell>
          <cell r="R35">
            <v>27.737828893393221</v>
          </cell>
          <cell r="S35">
            <v>118563.71023188665</v>
          </cell>
          <cell r="T35">
            <v>3288699.9073779271</v>
          </cell>
        </row>
        <row r="36">
          <cell r="B36" t="str">
            <v>Apatite (for Fluorine, 22% mineral in ground)</v>
          </cell>
          <cell r="C36" t="str">
            <v>Ca5(PO4)3(OH)0:33F0:33Cl0:33</v>
          </cell>
          <cell r="D36">
            <v>509.12</v>
          </cell>
          <cell r="E36">
            <v>7.9100000000000003E-7</v>
          </cell>
          <cell r="F36">
            <v>4.0271392000000003E-4</v>
          </cell>
          <cell r="G36">
            <v>1.247407E-4</v>
          </cell>
          <cell r="H36">
            <v>-6386.9</v>
          </cell>
          <cell r="I36">
            <v>17.71</v>
          </cell>
          <cell r="J36">
            <v>-5.7041209468693121E-4</v>
          </cell>
          <cell r="K36">
            <v>12544.979572595852</v>
          </cell>
          <cell r="L36">
            <v>118563.71023188665</v>
          </cell>
          <cell r="M36">
            <v>1487379322.9101918</v>
          </cell>
          <cell r="N36" t="str">
            <v>F</v>
          </cell>
          <cell r="O36">
            <v>4.4999999999999998E-2</v>
          </cell>
          <cell r="P36">
            <v>0.01</v>
          </cell>
          <cell r="Q36">
            <v>3.0975015713387804E-3</v>
          </cell>
          <cell r="R36">
            <v>15.639239041862137</v>
          </cell>
          <cell r="S36">
            <v>118563.71023188665</v>
          </cell>
          <cell r="T36">
            <v>1854246.2060065509</v>
          </cell>
        </row>
        <row r="37">
          <cell r="B37" t="str">
            <v>Apatite (for Fluorine, 67% mineral in ground)</v>
          </cell>
          <cell r="C37" t="str">
            <v>Ca5(PO4)3(OH)0:33F0:33Cl0:33</v>
          </cell>
          <cell r="D37">
            <v>509.12</v>
          </cell>
          <cell r="E37">
            <v>7.9100000000000003E-7</v>
          </cell>
          <cell r="F37">
            <v>4.0271392000000003E-4</v>
          </cell>
          <cell r="G37">
            <v>1.247407E-4</v>
          </cell>
          <cell r="H37">
            <v>-6386.9</v>
          </cell>
          <cell r="I37">
            <v>17.71</v>
          </cell>
          <cell r="J37">
            <v>-5.7041209468693121E-4</v>
          </cell>
          <cell r="K37">
            <v>12544.979572595852</v>
          </cell>
          <cell r="L37">
            <v>118563.71023188665</v>
          </cell>
          <cell r="M37">
            <v>1487379322.9101918</v>
          </cell>
          <cell r="N37" t="str">
            <v>F</v>
          </cell>
          <cell r="O37">
            <v>4.4999999999999998E-2</v>
          </cell>
          <cell r="P37">
            <v>0.03</v>
          </cell>
          <cell r="Q37">
            <v>9.2925047140163409E-3</v>
          </cell>
          <cell r="R37">
            <v>20.988196310571329</v>
          </cell>
          <cell r="S37">
            <v>118563.71023188665</v>
          </cell>
          <cell r="T37">
            <v>2488438.4256565315</v>
          </cell>
        </row>
        <row r="38">
          <cell r="B38" t="str">
            <v>Apatite (for Phosphorous, 22% mineral in ground)</v>
          </cell>
          <cell r="C38" t="str">
            <v>Ca5(PO4)3(OH)0:33F0:33Cl0:33</v>
          </cell>
          <cell r="D38">
            <v>509.12</v>
          </cell>
          <cell r="E38">
            <v>7.9100000000000003E-7</v>
          </cell>
          <cell r="F38">
            <v>4.0271392000000003E-4</v>
          </cell>
          <cell r="G38">
            <v>1.247407E-4</v>
          </cell>
          <cell r="H38">
            <v>-6386.9</v>
          </cell>
          <cell r="I38">
            <v>17.71</v>
          </cell>
          <cell r="J38">
            <v>-5.7041209468693121E-4</v>
          </cell>
          <cell r="K38">
            <v>12544.979572595852</v>
          </cell>
          <cell r="L38">
            <v>118563.71023188665</v>
          </cell>
          <cell r="M38">
            <v>1487379322.9101918</v>
          </cell>
          <cell r="N38" t="str">
            <v>P</v>
          </cell>
          <cell r="O38">
            <v>0.18249135763670646</v>
          </cell>
          <cell r="P38">
            <v>0.04</v>
          </cell>
          <cell r="Q38">
            <v>1.2390006285355122E-2</v>
          </cell>
          <cell r="R38">
            <v>22.388871624684029</v>
          </cell>
          <cell r="S38">
            <v>118563.71023188665</v>
          </cell>
          <cell r="T38">
            <v>2654507.6877279463</v>
          </cell>
        </row>
        <row r="39">
          <cell r="B39" t="str">
            <v>Aragonite</v>
          </cell>
          <cell r="C39" t="str">
            <v>CaCO3</v>
          </cell>
          <cell r="D39">
            <v>100.08750000000001</v>
          </cell>
          <cell r="E39">
            <v>7.6400000000000001E-7</v>
          </cell>
          <cell r="F39">
            <v>7.6466850000000001E-5</v>
          </cell>
          <cell r="G39">
            <v>1.2048279999999999E-4</v>
          </cell>
          <cell r="H39">
            <v>-1128.5999999999999</v>
          </cell>
          <cell r="I39">
            <v>18.744999999999997</v>
          </cell>
          <cell r="J39">
            <v>-4.3661428969762336E-4</v>
          </cell>
          <cell r="K39">
            <v>11276.133383289622</v>
          </cell>
          <cell r="L39">
            <v>118563.71023188665</v>
          </cell>
          <cell r="M39">
            <v>1336940210.9924543</v>
          </cell>
          <cell r="Q39" t="str">
            <v/>
          </cell>
          <cell r="R39" t="str">
            <v/>
          </cell>
          <cell r="S39">
            <v>118563.71023188665</v>
          </cell>
          <cell r="T39" t="str">
            <v/>
          </cell>
        </row>
        <row r="40">
          <cell r="B40" t="str">
            <v>Arfvedsonite</v>
          </cell>
          <cell r="C40" t="str">
            <v>Na3Fe2+4Fe3+(Si8O22)(OH)2</v>
          </cell>
          <cell r="D40">
            <v>958.89</v>
          </cell>
          <cell r="E40">
            <v>1.09E-7</v>
          </cell>
          <cell r="F40">
            <v>1.0451900999999999E-4</v>
          </cell>
          <cell r="G40">
            <v>1.7189299999999998E-5</v>
          </cell>
          <cell r="H40">
            <v>-11201.5</v>
          </cell>
          <cell r="I40">
            <v>-1189.8900000000001</v>
          </cell>
          <cell r="J40">
            <v>-2.0920850849398345E-2</v>
          </cell>
          <cell r="K40">
            <v>11681.73617411799</v>
          </cell>
          <cell r="L40">
            <v>118563.71023188665</v>
          </cell>
          <cell r="M40">
            <v>1385029982.7534735</v>
          </cell>
          <cell r="Q40" t="str">
            <v/>
          </cell>
          <cell r="R40" t="str">
            <v/>
          </cell>
          <cell r="S40">
            <v>118563.71023188665</v>
          </cell>
          <cell r="T40" t="str">
            <v/>
          </cell>
        </row>
        <row r="41">
          <cell r="B41" t="str">
            <v>Argentite</v>
          </cell>
          <cell r="C41" t="str">
            <v>Ag2S</v>
          </cell>
          <cell r="D41">
            <v>247.80189999999999</v>
          </cell>
          <cell r="E41">
            <v>4.9899999999999997E-11</v>
          </cell>
          <cell r="F41">
            <v>1.2365314809999999E-8</v>
          </cell>
          <cell r="G41">
            <v>7.8692299999999997E-9</v>
          </cell>
          <cell r="H41">
            <v>-39.4</v>
          </cell>
          <cell r="I41">
            <v>707.35</v>
          </cell>
          <cell r="J41">
            <v>5.2023044992636945E-6</v>
          </cell>
          <cell r="K41">
            <v>158.99797378470464</v>
          </cell>
          <cell r="L41">
            <v>118563.71023188665</v>
          </cell>
          <cell r="M41">
            <v>18851389.691266831</v>
          </cell>
          <cell r="Q41" t="str">
            <v/>
          </cell>
          <cell r="R41" t="str">
            <v/>
          </cell>
          <cell r="S41">
            <v>118563.71023188665</v>
          </cell>
          <cell r="T41" t="str">
            <v/>
          </cell>
        </row>
        <row r="42">
          <cell r="B42" t="str">
            <v>Arsenolite</v>
          </cell>
          <cell r="C42" t="str">
            <v>As2O3</v>
          </cell>
          <cell r="D42">
            <v>197.84</v>
          </cell>
          <cell r="E42">
            <v>2.8000000000000002E-10</v>
          </cell>
          <cell r="F42">
            <v>5.5395200000000005E-8</v>
          </cell>
          <cell r="G42">
            <v>4.4156000000000002E-8</v>
          </cell>
          <cell r="H42">
            <v>-579.1</v>
          </cell>
          <cell r="I42">
            <v>414.17</v>
          </cell>
          <cell r="J42">
            <v>1.6434415783548459E-5</v>
          </cell>
          <cell r="K42">
            <v>2927.1128184391428</v>
          </cell>
          <cell r="L42">
            <v>118563.71023188665</v>
          </cell>
          <cell r="M42">
            <v>347049356.02145958</v>
          </cell>
          <cell r="Q42" t="str">
            <v/>
          </cell>
          <cell r="R42" t="str">
            <v/>
          </cell>
          <cell r="S42">
            <v>118563.71023188665</v>
          </cell>
          <cell r="T42" t="str">
            <v/>
          </cell>
        </row>
        <row r="43">
          <cell r="B43" t="str">
            <v>Arsenopyrite</v>
          </cell>
          <cell r="C43" t="str">
            <v>FeAsS</v>
          </cell>
          <cell r="D43">
            <v>162.8323</v>
          </cell>
          <cell r="E43">
            <v>2.8900000000000001E-8</v>
          </cell>
          <cell r="F43">
            <v>4.7058534700000001E-6</v>
          </cell>
          <cell r="G43">
            <v>4.5575299999999995E-6</v>
          </cell>
          <cell r="H43">
            <v>-50.2</v>
          </cell>
          <cell r="I43">
            <v>1427.63</v>
          </cell>
          <cell r="J43">
            <v>6.3675242076321522E-3</v>
          </cell>
          <cell r="K43">
            <v>308.29264218462799</v>
          </cell>
          <cell r="L43">
            <v>118563.71023188665</v>
          </cell>
          <cell r="M43">
            <v>36552319.494600952</v>
          </cell>
          <cell r="Q43" t="str">
            <v/>
          </cell>
          <cell r="R43" t="str">
            <v/>
          </cell>
          <cell r="S43">
            <v>118563.71023188665</v>
          </cell>
          <cell r="T43" t="str">
            <v/>
          </cell>
        </row>
        <row r="44">
          <cell r="B44" t="str">
            <v>Augite</v>
          </cell>
          <cell r="C44" t="str">
            <v>Ca0:9Na0:1Mg0:9Fe2+0:2Al0:4Ti0:1Si1:9O6</v>
          </cell>
          <cell r="D44">
            <v>236.35</v>
          </cell>
          <cell r="E44">
            <v>1.27E-4</v>
          </cell>
          <cell r="F44">
            <v>3.001645E-2</v>
          </cell>
          <cell r="G44">
            <v>2.0027899999999998E-2</v>
          </cell>
          <cell r="H44">
            <v>-3026.8</v>
          </cell>
          <cell r="I44">
            <v>-440.02</v>
          </cell>
          <cell r="J44">
            <v>-9.0068218494469168</v>
          </cell>
          <cell r="K44">
            <v>12806.431140258092</v>
          </cell>
          <cell r="L44">
            <v>118563.71023188665</v>
          </cell>
          <cell r="M44">
            <v>1518377990.8181701</v>
          </cell>
          <cell r="Q44" t="str">
            <v/>
          </cell>
          <cell r="R44" t="str">
            <v/>
          </cell>
          <cell r="S44">
            <v>118563.71023188665</v>
          </cell>
          <cell r="T44" t="str">
            <v/>
          </cell>
        </row>
        <row r="45">
          <cell r="B45" t="str">
            <v>Axinite-Fe</v>
          </cell>
          <cell r="C45" t="str">
            <v>Ca2Fe2+Al2BO3Si4O12(OH)</v>
          </cell>
          <cell r="D45">
            <v>570.12</v>
          </cell>
          <cell r="E45">
            <v>1.9300000000000001E-10</v>
          </cell>
          <cell r="F45">
            <v>1.1003316E-7</v>
          </cell>
          <cell r="G45">
            <v>3.0436100000000001E-8</v>
          </cell>
          <cell r="H45">
            <v>-7180.9</v>
          </cell>
          <cell r="I45">
            <v>445.9</v>
          </cell>
          <cell r="J45">
            <v>1.2265672216868646E-5</v>
          </cell>
          <cell r="K45">
            <v>12595.4185083842</v>
          </cell>
          <cell r="L45">
            <v>118563.71023188665</v>
          </cell>
          <cell r="M45">
            <v>1493359550.2774062</v>
          </cell>
          <cell r="Q45" t="str">
            <v/>
          </cell>
          <cell r="R45" t="str">
            <v/>
          </cell>
          <cell r="S45">
            <v>118563.71023188665</v>
          </cell>
          <cell r="T45" t="str">
            <v/>
          </cell>
        </row>
        <row r="46">
          <cell r="B46" t="str">
            <v>Azurite</v>
          </cell>
          <cell r="C46" t="str">
            <v>Cu3(CO3)2(OH)2</v>
          </cell>
          <cell r="D46">
            <v>344.67</v>
          </cell>
          <cell r="E46">
            <v>4.3800000000000002E-9</v>
          </cell>
          <cell r="F46">
            <v>1.5096546000000002E-6</v>
          </cell>
          <cell r="G46">
            <v>6.9072599999999999E-7</v>
          </cell>
          <cell r="H46">
            <v>-1447.5</v>
          </cell>
          <cell r="I46">
            <v>27.73</v>
          </cell>
          <cell r="J46">
            <v>-5.1344042512459841E-6</v>
          </cell>
          <cell r="K46">
            <v>4199.6692488467224</v>
          </cell>
          <cell r="L46">
            <v>118563.71023188665</v>
          </cell>
          <cell r="M46">
            <v>497928367.89002788</v>
          </cell>
          <cell r="Q46" t="str">
            <v/>
          </cell>
          <cell r="R46" t="str">
            <v/>
          </cell>
          <cell r="S46">
            <v>118563.71023188665</v>
          </cell>
          <cell r="T46" t="str">
            <v/>
          </cell>
        </row>
        <row r="47">
          <cell r="B47" t="str">
            <v>Baddeleyite</v>
          </cell>
          <cell r="C47" t="str">
            <v>ZrO2</v>
          </cell>
          <cell r="D47">
            <v>123.22</v>
          </cell>
          <cell r="E47">
            <v>9.7499999999999999E-11</v>
          </cell>
          <cell r="F47">
            <v>1.201395E-8</v>
          </cell>
          <cell r="G47">
            <v>1.5375749999999998E-8</v>
          </cell>
          <cell r="H47">
            <v>-1043.3</v>
          </cell>
          <cell r="I47">
            <v>42.67</v>
          </cell>
          <cell r="J47">
            <v>-2.9600335648255118E-8</v>
          </cell>
          <cell r="K47">
            <v>8466.96964778445</v>
          </cell>
          <cell r="L47">
            <v>118563.71023188665</v>
          </cell>
          <cell r="M47">
            <v>1003875335.8620949</v>
          </cell>
          <cell r="N47" t="str">
            <v>Zr</v>
          </cell>
          <cell r="O47">
            <v>0.74030189904236321</v>
          </cell>
          <cell r="P47">
            <v>3.8999999999999998E-3</v>
          </cell>
          <cell r="Q47">
            <v>4.9913163447492291E-3</v>
          </cell>
          <cell r="R47">
            <v>255.29339476652976</v>
          </cell>
          <cell r="S47">
            <v>118563.71023188665</v>
          </cell>
          <cell r="T47">
            <v>30268532.081213482</v>
          </cell>
        </row>
        <row r="48">
          <cell r="B48" t="str">
            <v>Barite</v>
          </cell>
          <cell r="C48" t="str">
            <v>BaSO4</v>
          </cell>
          <cell r="D48">
            <v>233.39</v>
          </cell>
          <cell r="E48">
            <v>3.0400000000000001E-6</v>
          </cell>
          <cell r="F48">
            <v>7.0950560000000002E-4</v>
          </cell>
          <cell r="G48">
            <v>4.7940799999999996E-4</v>
          </cell>
          <cell r="H48">
            <v>-1361.9</v>
          </cell>
          <cell r="I48">
            <v>31.46</v>
          </cell>
          <cell r="J48">
            <v>5.9995458401391529E-3</v>
          </cell>
          <cell r="K48">
            <v>5835.2971421226275</v>
          </cell>
          <cell r="L48">
            <v>118563.71023188665</v>
          </cell>
          <cell r="M48">
            <v>691854479.47558355</v>
          </cell>
          <cell r="N48" t="str">
            <v>Ba</v>
          </cell>
          <cell r="O48">
            <v>0.58700029992716063</v>
          </cell>
          <cell r="P48">
            <v>0.15</v>
          </cell>
          <cell r="Q48">
            <v>0.10135395689618235</v>
          </cell>
          <cell r="R48">
            <v>56.862576317659887</v>
          </cell>
          <cell r="S48">
            <v>118563.71023188665</v>
          </cell>
          <cell r="T48">
            <v>6741838.0215655668</v>
          </cell>
        </row>
        <row r="49">
          <cell r="B49" t="str">
            <v>Bastnaesite</v>
          </cell>
          <cell r="C49" t="str">
            <v>La(CO3)F</v>
          </cell>
          <cell r="D49">
            <v>217.91</v>
          </cell>
          <cell r="E49">
            <v>1.1600000000000001E-7</v>
          </cell>
          <cell r="F49">
            <v>2.5277560000000001E-5</v>
          </cell>
          <cell r="G49">
            <v>1.82932E-5</v>
          </cell>
          <cell r="H49">
            <v>-1527.8</v>
          </cell>
          <cell r="I49">
            <v>105.72</v>
          </cell>
          <cell r="J49">
            <v>1.4392835330711148E-3</v>
          </cell>
          <cell r="K49">
            <v>7011.1513927768347</v>
          </cell>
          <cell r="L49">
            <v>118563.71023188665</v>
          </cell>
          <cell r="M49">
            <v>831268122.12508118</v>
          </cell>
          <cell r="N49" t="str">
            <v>Eu</v>
          </cell>
          <cell r="O49">
            <v>0.63744435776237895</v>
          </cell>
          <cell r="P49">
            <v>7.0000000000000007E-2</v>
          </cell>
          <cell r="Q49">
            <v>5.0658528750401541E-2</v>
          </cell>
          <cell r="R49">
            <v>90.165420640571924</v>
          </cell>
          <cell r="S49">
            <v>118563.71023188665</v>
          </cell>
          <cell r="T49">
            <v>10690346.805764941</v>
          </cell>
        </row>
        <row r="50">
          <cell r="B50" t="str">
            <v>Beidellite</v>
          </cell>
          <cell r="C50" t="str">
            <v>Na0:33Al2:33Si3:67O10(OH)2</v>
          </cell>
          <cell r="D50">
            <v>367.54039999999998</v>
          </cell>
          <cell r="E50">
            <v>1.3900000000000001E-5</v>
          </cell>
          <cell r="F50">
            <v>5.1088115599999999E-3</v>
          </cell>
          <cell r="G50">
            <v>2.1920299999999998E-3</v>
          </cell>
          <cell r="H50">
            <v>-5317.2</v>
          </cell>
          <cell r="I50">
            <v>10.76</v>
          </cell>
          <cell r="J50">
            <v>-9.6835751881688987E-3</v>
          </cell>
          <cell r="K50">
            <v>14466.981044804872</v>
          </cell>
          <cell r="L50">
            <v>118563.71023188665</v>
          </cell>
          <cell r="M50">
            <v>1715258948.5264416</v>
          </cell>
          <cell r="Q50" t="str">
            <v/>
          </cell>
          <cell r="R50" t="str">
            <v/>
          </cell>
          <cell r="S50">
            <v>118563.71023188665</v>
          </cell>
          <cell r="T50" t="str">
            <v/>
          </cell>
        </row>
        <row r="51">
          <cell r="B51" t="str">
            <v>Bertrandite</v>
          </cell>
          <cell r="C51" t="str">
            <v>Be4Si2O7(OH)2</v>
          </cell>
          <cell r="D51">
            <v>238.23</v>
          </cell>
          <cell r="E51">
            <v>3.3799999999999999E-9</v>
          </cell>
          <cell r="F51">
            <v>8.0521739999999995E-7</v>
          </cell>
          <cell r="G51">
            <v>5.33026E-7</v>
          </cell>
          <cell r="H51">
            <v>-4300.6000000000004</v>
          </cell>
          <cell r="I51">
            <v>79.67</v>
          </cell>
          <cell r="J51">
            <v>2.3380765769356545E-5</v>
          </cell>
          <cell r="K51">
            <v>18052.302396843388</v>
          </cell>
          <cell r="L51">
            <v>118563.71023188665</v>
          </cell>
          <cell r="M51">
            <v>2140347950.3977323</v>
          </cell>
          <cell r="Q51" t="str">
            <v/>
          </cell>
          <cell r="R51" t="str">
            <v/>
          </cell>
          <cell r="S51">
            <v>118563.71023188665</v>
          </cell>
          <cell r="T51" t="str">
            <v/>
          </cell>
        </row>
        <row r="52">
          <cell r="B52" t="str">
            <v>Beryl</v>
          </cell>
          <cell r="C52" t="str">
            <v>Be3Al2Si6O18</v>
          </cell>
          <cell r="D52">
            <v>537.5</v>
          </cell>
          <cell r="E52">
            <v>5.99E-8</v>
          </cell>
          <cell r="F52">
            <v>3.2196249999999999E-5</v>
          </cell>
          <cell r="G52">
            <v>9.4462299999999999E-6</v>
          </cell>
          <cell r="H52">
            <v>-8500.4</v>
          </cell>
          <cell r="I52">
            <v>65.760000000000005</v>
          </cell>
          <cell r="J52">
            <v>3.5026926605898415E-4</v>
          </cell>
          <cell r="K52">
            <v>15814.697674418605</v>
          </cell>
          <cell r="L52">
            <v>118563.71023188665</v>
          </cell>
          <cell r="M52">
            <v>1875049232.4746592</v>
          </cell>
          <cell r="Q52" t="str">
            <v/>
          </cell>
          <cell r="R52" t="str">
            <v/>
          </cell>
          <cell r="S52">
            <v>118563.71023188665</v>
          </cell>
          <cell r="T52" t="str">
            <v/>
          </cell>
        </row>
        <row r="53">
          <cell r="B53" t="str">
            <v>Biotite</v>
          </cell>
          <cell r="C53" t="str">
            <v>K(Mg2:5Fe0:5)(Si3Al)O10(OH)1:75F0:25</v>
          </cell>
          <cell r="D53">
            <v>433.53</v>
          </cell>
          <cell r="E53">
            <v>8.7999999999999998E-5</v>
          </cell>
          <cell r="F53">
            <v>3.815064E-2</v>
          </cell>
          <cell r="G53">
            <v>1.3877599999999999E-2</v>
          </cell>
          <cell r="H53">
            <v>-5706.7</v>
          </cell>
          <cell r="I53">
            <v>74.05</v>
          </cell>
          <cell r="J53">
            <v>0.88049073741526696</v>
          </cell>
          <cell r="K53">
            <v>13163.33356399788</v>
          </cell>
          <cell r="L53">
            <v>118563.71023188665</v>
          </cell>
          <cell r="M53">
            <v>1560693666.3675125</v>
          </cell>
          <cell r="Q53" t="str">
            <v/>
          </cell>
          <cell r="R53" t="str">
            <v/>
          </cell>
          <cell r="S53">
            <v>118563.71023188665</v>
          </cell>
          <cell r="T53" t="str">
            <v/>
          </cell>
        </row>
        <row r="54">
          <cell r="B54" t="str">
            <v>Bischofite</v>
          </cell>
          <cell r="C54" t="str">
            <v>MgCl26(H2O)</v>
          </cell>
          <cell r="D54">
            <v>964.1</v>
          </cell>
          <cell r="E54">
            <v>3.9599999999999998E-10</v>
          </cell>
          <cell r="F54">
            <v>3.817836E-7</v>
          </cell>
          <cell r="G54">
            <v>6.244919999999999E-8</v>
          </cell>
          <cell r="H54">
            <v>-2116.4</v>
          </cell>
          <cell r="I54">
            <v>284.51</v>
          </cell>
          <cell r="J54">
            <v>1.5199453776134264E-5</v>
          </cell>
          <cell r="K54">
            <v>2195.2079659786327</v>
          </cell>
          <cell r="L54">
            <v>118563.71023188665</v>
          </cell>
          <cell r="M54">
            <v>260272001.17701989</v>
          </cell>
          <cell r="Q54" t="str">
            <v/>
          </cell>
          <cell r="R54" t="str">
            <v/>
          </cell>
          <cell r="S54">
            <v>118563.71023188665</v>
          </cell>
          <cell r="T54" t="str">
            <v/>
          </cell>
        </row>
        <row r="55">
          <cell r="B55" t="str">
            <v>Bismite</v>
          </cell>
          <cell r="C55" t="str">
            <v>Bi2O3</v>
          </cell>
          <cell r="D55">
            <v>465.96</v>
          </cell>
          <cell r="E55">
            <v>9.9099999999999999E-11</v>
          </cell>
          <cell r="F55">
            <v>4.6176636E-8</v>
          </cell>
          <cell r="G55">
            <v>1.5628069999999999E-8</v>
          </cell>
          <cell r="H55">
            <v>-493.7</v>
          </cell>
          <cell r="I55">
            <v>61.34</v>
          </cell>
          <cell r="J55">
            <v>2.6232054188883565E-7</v>
          </cell>
          <cell r="K55">
            <v>1059.5330071250751</v>
          </cell>
          <cell r="L55">
            <v>118563.71023188665</v>
          </cell>
          <cell r="M55">
            <v>125622164.43789689</v>
          </cell>
          <cell r="Q55" t="str">
            <v/>
          </cell>
          <cell r="R55" t="str">
            <v/>
          </cell>
          <cell r="S55">
            <v>118563.71023188665</v>
          </cell>
          <cell r="T55" t="str">
            <v/>
          </cell>
        </row>
        <row r="56">
          <cell r="B56" t="str">
            <v>Bismuth</v>
          </cell>
          <cell r="C56" t="str">
            <v>Bi</v>
          </cell>
          <cell r="D56">
            <v>208.98</v>
          </cell>
          <cell r="E56">
            <v>1.2999999999999999E-10</v>
          </cell>
          <cell r="F56">
            <v>2.7167399999999996E-8</v>
          </cell>
          <cell r="G56">
            <v>2.0500999999999996E-8</v>
          </cell>
          <cell r="H56">
            <v>0</v>
          </cell>
          <cell r="I56">
            <v>274.92</v>
          </cell>
          <cell r="J56">
            <v>4.7365096411405236E-6</v>
          </cell>
          <cell r="K56">
            <v>0</v>
          </cell>
          <cell r="L56">
            <v>118563.71023188665</v>
          </cell>
          <cell r="M56">
            <v>0</v>
          </cell>
          <cell r="P56">
            <v>0.2</v>
          </cell>
          <cell r="Q56">
            <v>0.15092353335247394</v>
          </cell>
          <cell r="R56">
            <v>187.55200080356533</v>
          </cell>
          <cell r="S56">
            <v>118563.71023188665</v>
          </cell>
          <cell r="T56">
            <v>22236861.076684494</v>
          </cell>
        </row>
        <row r="57">
          <cell r="B57" t="str">
            <v>Bismuthinite</v>
          </cell>
          <cell r="C57" t="str">
            <v>Bi2S3</v>
          </cell>
          <cell r="D57">
            <v>514.16</v>
          </cell>
          <cell r="E57">
            <v>9.9099999999999999E-11</v>
          </cell>
          <cell r="F57">
            <v>5.0953255999999995E-8</v>
          </cell>
          <cell r="G57">
            <v>1.5628069999999999E-8</v>
          </cell>
          <cell r="H57">
            <v>-140.6</v>
          </cell>
          <cell r="I57">
            <v>2230.31</v>
          </cell>
          <cell r="J57">
            <v>3.4159135529788831E-5</v>
          </cell>
          <cell r="K57">
            <v>273.45573362377473</v>
          </cell>
          <cell r="L57">
            <v>118563.71023188665</v>
          </cell>
          <cell r="M57">
            <v>32421926.36261721</v>
          </cell>
          <cell r="Q57" t="str">
            <v/>
          </cell>
          <cell r="R57" t="str">
            <v/>
          </cell>
          <cell r="S57">
            <v>118563.71023188665</v>
          </cell>
          <cell r="T57" t="str">
            <v/>
          </cell>
        </row>
        <row r="58">
          <cell r="B58" t="str">
            <v>Bismutite</v>
          </cell>
          <cell r="C58" t="str">
            <v>Bi2(CO3)O2</v>
          </cell>
          <cell r="D58">
            <v>509.97</v>
          </cell>
          <cell r="E58">
            <v>1.19E-10</v>
          </cell>
          <cell r="F58">
            <v>6.0686430000000003E-8</v>
          </cell>
          <cell r="G58">
            <v>1.87663E-8</v>
          </cell>
          <cell r="H58">
            <v>-888.7</v>
          </cell>
          <cell r="I58">
            <v>81.36</v>
          </cell>
          <cell r="J58">
            <v>6.9921030396606279E-7</v>
          </cell>
          <cell r="K58">
            <v>1742.6515285212854</v>
          </cell>
          <cell r="L58">
            <v>118563.71023188665</v>
          </cell>
          <cell r="M58">
            <v>206615230.86275205</v>
          </cell>
          <cell r="Q58" t="str">
            <v/>
          </cell>
          <cell r="R58" t="str">
            <v/>
          </cell>
          <cell r="S58">
            <v>118563.71023188665</v>
          </cell>
          <cell r="T58" t="str">
            <v/>
          </cell>
        </row>
        <row r="59">
          <cell r="B59" t="str">
            <v>Blomstrandite</v>
          </cell>
          <cell r="C59" t="str">
            <v>U0:3Ca0:2Nb0:9Ti0:8Al0:1Fe3+0:1Ta0:5O6(OH)</v>
          </cell>
          <cell r="D59">
            <v>417.12</v>
          </cell>
          <cell r="E59">
            <v>4.9600000000000004E-10</v>
          </cell>
          <cell r="F59">
            <v>2.0689152000000003E-7</v>
          </cell>
          <cell r="G59">
            <v>7.8219200000000005E-8</v>
          </cell>
          <cell r="H59">
            <v>-2683.8</v>
          </cell>
          <cell r="I59">
            <v>95.54</v>
          </cell>
          <cell r="J59">
            <v>4.3002743409757021E-6</v>
          </cell>
          <cell r="K59">
            <v>6434.1196777905634</v>
          </cell>
          <cell r="L59">
            <v>118563.71023188665</v>
          </cell>
          <cell r="M59">
            <v>762853101.07484031</v>
          </cell>
          <cell r="Q59" t="str">
            <v/>
          </cell>
          <cell r="R59" t="str">
            <v/>
          </cell>
          <cell r="S59">
            <v>118563.71023188665</v>
          </cell>
          <cell r="T59" t="str">
            <v/>
          </cell>
        </row>
        <row r="60">
          <cell r="B60" t="str">
            <v>Boehmite</v>
          </cell>
          <cell r="C60" t="str">
            <v>AlO(OH)</v>
          </cell>
          <cell r="D60">
            <v>59.988</v>
          </cell>
          <cell r="E60">
            <v>9.6500000000000008E-6</v>
          </cell>
          <cell r="F60">
            <v>5.7888420000000006E-4</v>
          </cell>
          <cell r="G60">
            <v>1.521805E-3</v>
          </cell>
          <cell r="H60">
            <v>-914.1</v>
          </cell>
          <cell r="I60">
            <v>3.5949999999999998</v>
          </cell>
          <cell r="J60">
            <v>-1.9003124023552517E-2</v>
          </cell>
          <cell r="K60">
            <v>15238.047609521904</v>
          </cell>
          <cell r="L60">
            <v>118563.71023188665</v>
          </cell>
          <cell r="M60">
            <v>1806679461.275048</v>
          </cell>
          <cell r="Q60" t="str">
            <v/>
          </cell>
          <cell r="R60" t="str">
            <v/>
          </cell>
          <cell r="S60">
            <v>118563.71023188665</v>
          </cell>
          <cell r="T60" t="str">
            <v/>
          </cell>
        </row>
        <row r="61">
          <cell r="B61" t="str">
            <v>Bornite</v>
          </cell>
          <cell r="C61" t="str">
            <v>Cu5FeS4</v>
          </cell>
          <cell r="D61">
            <v>501.83870000000002</v>
          </cell>
          <cell r="E61">
            <v>2.6500000000000002E-9</v>
          </cell>
          <cell r="F61">
            <v>1.329872555E-6</v>
          </cell>
          <cell r="G61">
            <v>4.1790499999999998E-7</v>
          </cell>
          <cell r="H61">
            <v>-393.1</v>
          </cell>
          <cell r="I61">
            <v>3113.44</v>
          </cell>
          <cell r="J61">
            <v>1.2859066718365212E-3</v>
          </cell>
          <cell r="K61">
            <v>783.31942116062385</v>
          </cell>
          <cell r="L61">
            <v>118563.71023188665</v>
          </cell>
          <cell r="M61">
            <v>92873256.869497389</v>
          </cell>
          <cell r="Q61" t="str">
            <v/>
          </cell>
          <cell r="R61" t="str">
            <v/>
          </cell>
          <cell r="S61">
            <v>118563.71023188665</v>
          </cell>
          <cell r="T61" t="str">
            <v/>
          </cell>
        </row>
        <row r="62">
          <cell r="B62" t="str">
            <v>Boulangerite</v>
          </cell>
          <cell r="C62" t="str">
            <v>Pb5Sb4S11</v>
          </cell>
          <cell r="D62">
            <v>1887.9</v>
          </cell>
          <cell r="E62">
            <v>2.1200000000000001E-15</v>
          </cell>
          <cell r="F62">
            <v>4.0023480000000007E-12</v>
          </cell>
          <cell r="G62">
            <v>3.3432400000000002E-13</v>
          </cell>
          <cell r="H62">
            <v>-1023.7</v>
          </cell>
          <cell r="I62">
            <v>8567.98</v>
          </cell>
          <cell r="J62">
            <v>2.8406747326237983E-9</v>
          </cell>
          <cell r="K62">
            <v>542.24270353302609</v>
          </cell>
          <cell r="L62">
            <v>118563.71023188665</v>
          </cell>
          <cell r="M62">
            <v>64290306.777044527</v>
          </cell>
          <cell r="Q62" t="str">
            <v/>
          </cell>
          <cell r="R62" t="str">
            <v/>
          </cell>
          <cell r="S62">
            <v>118563.71023188665</v>
          </cell>
          <cell r="T62" t="str">
            <v/>
          </cell>
        </row>
        <row r="63">
          <cell r="B63" t="str">
            <v>Braunite</v>
          </cell>
          <cell r="C63" t="str">
            <v>Mn2+Mn3+6SiO12</v>
          </cell>
          <cell r="D63">
            <v>604.64</v>
          </cell>
          <cell r="E63">
            <v>4.0600000000000001E-7</v>
          </cell>
          <cell r="F63">
            <v>2.4548384000000001E-4</v>
          </cell>
          <cell r="G63">
            <v>6.40262E-5</v>
          </cell>
          <cell r="H63">
            <v>-3944.7</v>
          </cell>
          <cell r="I63">
            <v>408.16</v>
          </cell>
          <cell r="J63">
            <v>2.4600401512056641E-2</v>
          </cell>
          <cell r="K63">
            <v>6524.0473670283145</v>
          </cell>
          <cell r="L63">
            <v>118563.71023188665</v>
          </cell>
          <cell r="M63">
            <v>773515261.56344819</v>
          </cell>
          <cell r="Q63" t="str">
            <v/>
          </cell>
          <cell r="R63" t="str">
            <v/>
          </cell>
          <cell r="S63">
            <v>118563.71023188665</v>
          </cell>
          <cell r="T63" t="str">
            <v/>
          </cell>
        </row>
        <row r="64">
          <cell r="B64" t="str">
            <v>Britholite</v>
          </cell>
          <cell r="C64" t="str">
            <v>Ca2:9Ce0:9Th0:6La0:4Nd0:2Si2:7P0:5O12(OH)0:8F0:2</v>
          </cell>
          <cell r="D64">
            <v>766.678</v>
          </cell>
          <cell r="E64">
            <v>2.18E-10</v>
          </cell>
          <cell r="F64">
            <v>1.67135804E-7</v>
          </cell>
          <cell r="G64">
            <v>3.4378599999999998E-8</v>
          </cell>
          <cell r="H64">
            <v>-6666.9</v>
          </cell>
          <cell r="I64">
            <v>673.84</v>
          </cell>
          <cell r="J64">
            <v>2.1701127953516937E-5</v>
          </cell>
          <cell r="K64">
            <v>8695.8279747168963</v>
          </cell>
          <cell r="L64">
            <v>118563.71023188665</v>
          </cell>
          <cell r="M64">
            <v>1031009628.2206678</v>
          </cell>
          <cell r="Q64" t="str">
            <v/>
          </cell>
          <cell r="R64" t="str">
            <v/>
          </cell>
          <cell r="S64">
            <v>118563.71023188665</v>
          </cell>
          <cell r="T64" t="str">
            <v/>
          </cell>
        </row>
        <row r="65">
          <cell r="B65" t="str">
            <v>Bronzite</v>
          </cell>
          <cell r="C65" t="str">
            <v>MgFeSi2O6</v>
          </cell>
          <cell r="D65">
            <v>232.32</v>
          </cell>
          <cell r="E65">
            <v>1.77E-6</v>
          </cell>
          <cell r="F65">
            <v>4.1120639999999998E-4</v>
          </cell>
          <cell r="G65">
            <v>2.7912899999999998E-4</v>
          </cell>
          <cell r="H65">
            <v>-2585.3000000000002</v>
          </cell>
          <cell r="I65">
            <v>141.16</v>
          </cell>
          <cell r="J65">
            <v>3.3739368888208686E-2</v>
          </cell>
          <cell r="K65">
            <v>11128.185261707989</v>
          </cell>
          <cell r="L65">
            <v>118563.71023188665</v>
          </cell>
          <cell r="M65">
            <v>1319398932.7758977</v>
          </cell>
          <cell r="Q65" t="str">
            <v/>
          </cell>
          <cell r="R65" t="str">
            <v/>
          </cell>
          <cell r="S65">
            <v>118563.71023188665</v>
          </cell>
          <cell r="T65" t="str">
            <v/>
          </cell>
        </row>
        <row r="66">
          <cell r="B66" t="str">
            <v>Brookite</v>
          </cell>
          <cell r="C66" t="str">
            <v>TiO2</v>
          </cell>
          <cell r="D66">
            <v>79.865799999999993</v>
          </cell>
          <cell r="E66">
            <v>5.2700000000000002E-9</v>
          </cell>
          <cell r="F66">
            <v>4.2089276599999998E-7</v>
          </cell>
          <cell r="G66">
            <v>8.3107899999999992E-7</v>
          </cell>
          <cell r="H66">
            <v>-821.9</v>
          </cell>
          <cell r="I66">
            <v>88.72</v>
          </cell>
          <cell r="J66">
            <v>4.4890891425879644E-5</v>
          </cell>
          <cell r="K66">
            <v>10291.013174600394</v>
          </cell>
          <cell r="L66">
            <v>118563.71023188665</v>
          </cell>
          <cell r="M66">
            <v>1220140704.0258491</v>
          </cell>
          <cell r="Q66" t="str">
            <v/>
          </cell>
          <cell r="R66" t="str">
            <v/>
          </cell>
          <cell r="S66">
            <v>118563.71023188665</v>
          </cell>
          <cell r="T66" t="str">
            <v/>
          </cell>
        </row>
        <row r="67">
          <cell r="B67" t="str">
            <v>Brucite</v>
          </cell>
          <cell r="C67" t="str">
            <v>Mg(OH)2</v>
          </cell>
          <cell r="D67">
            <v>58.32</v>
          </cell>
          <cell r="E67">
            <v>2.7100000000000001E-8</v>
          </cell>
          <cell r="F67">
            <v>1.580472E-6</v>
          </cell>
          <cell r="G67">
            <v>4.2736699999999999E-6</v>
          </cell>
          <cell r="H67">
            <v>-834.8</v>
          </cell>
          <cell r="I67">
            <v>34.870000000000005</v>
          </cell>
          <cell r="J67">
            <v>1.8053119840753533E-5</v>
          </cell>
          <cell r="K67">
            <v>14314.128943758573</v>
          </cell>
          <cell r="L67">
            <v>118563.71023188665</v>
          </cell>
          <cell r="M67">
            <v>1697136236.3096533</v>
          </cell>
          <cell r="Q67" t="str">
            <v/>
          </cell>
          <cell r="R67" t="str">
            <v/>
          </cell>
          <cell r="S67">
            <v>118563.71023188665</v>
          </cell>
          <cell r="T67" t="str">
            <v/>
          </cell>
        </row>
        <row r="68">
          <cell r="B68" t="str">
            <v>Bytownite</v>
          </cell>
          <cell r="C68" t="str">
            <v>Na0:2Ca0:8Al1:8Si2:2O8</v>
          </cell>
          <cell r="D68">
            <v>275.01</v>
          </cell>
          <cell r="E68">
            <v>9.0799999999999995E-6</v>
          </cell>
          <cell r="F68">
            <v>2.4970907999999998E-3</v>
          </cell>
          <cell r="G68">
            <v>1.4319159999999999E-3</v>
          </cell>
          <cell r="H68">
            <v>-3960.7</v>
          </cell>
          <cell r="I68">
            <v>-372.41</v>
          </cell>
          <cell r="J68">
            <v>-0.55650433966596813</v>
          </cell>
          <cell r="K68">
            <v>14402.021744663831</v>
          </cell>
          <cell r="L68">
            <v>118563.71023188665</v>
          </cell>
          <cell r="M68">
            <v>1707557132.8876531</v>
          </cell>
          <cell r="Q68" t="str">
            <v/>
          </cell>
          <cell r="R68" t="str">
            <v/>
          </cell>
          <cell r="S68">
            <v>118563.71023188665</v>
          </cell>
          <cell r="T68" t="str">
            <v/>
          </cell>
        </row>
        <row r="69">
          <cell r="B69" t="str">
            <v>C org</v>
          </cell>
          <cell r="C69" t="str">
            <v>C</v>
          </cell>
          <cell r="D69">
            <v>12.01</v>
          </cell>
          <cell r="E69">
            <v>1.84E-5</v>
          </cell>
          <cell r="F69">
            <v>2.20984E-4</v>
          </cell>
          <cell r="G69">
            <v>2.9016799999999998E-3</v>
          </cell>
          <cell r="H69" t="str">
            <v>na</v>
          </cell>
          <cell r="I69">
            <v>410.25</v>
          </cell>
          <cell r="J69">
            <v>1.1483908865561852</v>
          </cell>
          <cell r="K69" t="e">
            <v>#VALUE!</v>
          </cell>
          <cell r="L69">
            <v>118563.71023188665</v>
          </cell>
          <cell r="M69" t="e">
            <v>#VALUE!</v>
          </cell>
          <cell r="Q69" t="str">
            <v/>
          </cell>
          <cell r="R69" t="str">
            <v/>
          </cell>
          <cell r="S69">
            <v>118563.71023188665</v>
          </cell>
          <cell r="T69" t="str">
            <v/>
          </cell>
        </row>
        <row r="70">
          <cell r="B70" t="str">
            <v>Calaverite</v>
          </cell>
          <cell r="C70" t="str">
            <v>AuTe2</v>
          </cell>
          <cell r="D70">
            <v>452.17259999999999</v>
          </cell>
          <cell r="E70">
            <v>5.7099999999999999E-13</v>
          </cell>
          <cell r="F70">
            <v>2.5819055459999997E-10</v>
          </cell>
          <cell r="G70">
            <v>9.0046699999999997E-11</v>
          </cell>
          <cell r="H70">
            <v>-17.399999999999999</v>
          </cell>
          <cell r="I70">
            <v>700.69</v>
          </cell>
          <cell r="J70">
            <v>5.7931832338762368E-8</v>
          </cell>
          <cell r="K70">
            <v>38.480880973327444</v>
          </cell>
          <cell r="L70">
            <v>118563.71023188665</v>
          </cell>
          <cell r="M70">
            <v>4562436.0211893152</v>
          </cell>
          <cell r="Q70" t="str">
            <v/>
          </cell>
          <cell r="R70" t="str">
            <v/>
          </cell>
          <cell r="S70">
            <v>118563.71023188665</v>
          </cell>
          <cell r="T70" t="str">
            <v/>
          </cell>
        </row>
        <row r="71">
          <cell r="B71" t="str">
            <v>Calcite</v>
          </cell>
          <cell r="C71" t="str">
            <v>CaCO3</v>
          </cell>
          <cell r="D71">
            <v>100.09</v>
          </cell>
          <cell r="E71">
            <v>8.0000000000000007E-5</v>
          </cell>
          <cell r="F71">
            <v>8.0072000000000008E-3</v>
          </cell>
          <cell r="G71">
            <v>1.2616E-2</v>
          </cell>
          <cell r="H71">
            <v>-1129</v>
          </cell>
          <cell r="I71">
            <v>17.8</v>
          </cell>
          <cell r="J71">
            <v>8.7815510469909305E-2</v>
          </cell>
          <cell r="K71">
            <v>11279.84813667699</v>
          </cell>
          <cell r="L71">
            <v>118563.71023188665</v>
          </cell>
          <cell r="M71">
            <v>1337380645.9366572</v>
          </cell>
          <cell r="P71">
            <v>0.25</v>
          </cell>
          <cell r="Q71">
            <v>0.39389549405535013</v>
          </cell>
          <cell r="R71">
            <v>85.222434193034587</v>
          </cell>
          <cell r="S71">
            <v>118563.71023188665</v>
          </cell>
          <cell r="T71">
            <v>10104287.992918981</v>
          </cell>
        </row>
        <row r="72">
          <cell r="B72" t="str">
            <v>Cancrinite</v>
          </cell>
          <cell r="C72" t="str">
            <v>Na6Ca2Al6Si6O24(CO3)2</v>
          </cell>
          <cell r="D72">
            <v>1052.5</v>
          </cell>
          <cell r="E72">
            <v>4.1999999999999997E-11</v>
          </cell>
          <cell r="F72">
            <v>4.4204999999999998E-8</v>
          </cell>
          <cell r="G72">
            <v>6.6233999999999993E-9</v>
          </cell>
          <cell r="H72">
            <v>-14136.3</v>
          </cell>
          <cell r="I72">
            <v>128.01</v>
          </cell>
          <cell r="J72">
            <v>5.386629084152589E-7</v>
          </cell>
          <cell r="K72">
            <v>13431.163895486936</v>
          </cell>
          <cell r="L72">
            <v>118563.71023188665</v>
          </cell>
          <cell r="M72">
            <v>1592448624.1814909</v>
          </cell>
          <cell r="Q72" t="str">
            <v/>
          </cell>
          <cell r="R72" t="str">
            <v/>
          </cell>
          <cell r="S72">
            <v>118563.71023188665</v>
          </cell>
          <cell r="T72" t="str">
            <v/>
          </cell>
        </row>
        <row r="73">
          <cell r="B73" t="str">
            <v>Carnallite</v>
          </cell>
          <cell r="C73" t="str">
            <v>KMgCl36(H2O)</v>
          </cell>
          <cell r="D73">
            <v>277.85000000000002</v>
          </cell>
          <cell r="E73">
            <v>1.45E-9</v>
          </cell>
          <cell r="F73">
            <v>4.0288250000000003E-7</v>
          </cell>
          <cell r="G73">
            <v>2.2866499999999996E-7</v>
          </cell>
          <cell r="H73">
            <v>0</v>
          </cell>
          <cell r="I73">
            <v>1321.35</v>
          </cell>
          <cell r="J73">
            <v>2.9347926141558956E-4</v>
          </cell>
          <cell r="K73">
            <v>0</v>
          </cell>
          <cell r="L73">
            <v>118563.71023188665</v>
          </cell>
          <cell r="M73">
            <v>0</v>
          </cell>
          <cell r="Q73" t="str">
            <v/>
          </cell>
          <cell r="R73" t="str">
            <v/>
          </cell>
          <cell r="S73">
            <v>118563.71023188665</v>
          </cell>
          <cell r="T73" t="str">
            <v/>
          </cell>
        </row>
        <row r="74">
          <cell r="B74" t="str">
            <v>Carnotite</v>
          </cell>
          <cell r="C74" t="str">
            <v>K2(UO2)2(VO4)23H2O</v>
          </cell>
          <cell r="D74">
            <v>902.18</v>
          </cell>
          <cell r="E74">
            <v>2.7999999999999998E-9</v>
          </cell>
          <cell r="F74">
            <v>2.5261039999999995E-6</v>
          </cell>
          <cell r="G74">
            <v>4.4155999999999994E-7</v>
          </cell>
          <cell r="H74">
            <v>-4585.5</v>
          </cell>
          <cell r="I74">
            <v>721.28</v>
          </cell>
          <cell r="J74">
            <v>3.0247193787433197E-4</v>
          </cell>
          <cell r="K74">
            <v>5082.6885987275273</v>
          </cell>
          <cell r="L74">
            <v>118563.71023188665</v>
          </cell>
          <cell r="M74">
            <v>602622418.21844459</v>
          </cell>
          <cell r="Q74" t="str">
            <v/>
          </cell>
          <cell r="R74" t="str">
            <v/>
          </cell>
          <cell r="S74">
            <v>118563.71023188665</v>
          </cell>
          <cell r="T74" t="str">
            <v/>
          </cell>
        </row>
        <row r="75">
          <cell r="B75" t="str">
            <v>Cassiterite</v>
          </cell>
          <cell r="C75" t="str">
            <v>SnO2</v>
          </cell>
          <cell r="D75">
            <v>150.7088</v>
          </cell>
          <cell r="E75">
            <v>1.7299999999999999E-8</v>
          </cell>
          <cell r="F75">
            <v>2.6072622399999998E-6</v>
          </cell>
          <cell r="G75">
            <v>2.7282099999999998E-6</v>
          </cell>
          <cell r="H75">
            <v>-519.6</v>
          </cell>
          <cell r="I75">
            <v>42.64</v>
          </cell>
          <cell r="J75">
            <v>2.9687575645982239E-5</v>
          </cell>
          <cell r="K75">
            <v>3447.7084284394809</v>
          </cell>
          <cell r="L75">
            <v>118563.71023188665</v>
          </cell>
          <cell r="M75">
            <v>408773103.07353193</v>
          </cell>
          <cell r="N75" t="str">
            <v>Sn</v>
          </cell>
          <cell r="O75">
            <v>0.78766999670888493</v>
          </cell>
          <cell r="P75">
            <v>1E-3</v>
          </cell>
          <cell r="Q75">
            <v>1.0463887974690265E-3</v>
          </cell>
          <cell r="R75">
            <v>97.855079423865874</v>
          </cell>
          <cell r="S75">
            <v>118563.71023188665</v>
          </cell>
          <cell r="T75">
            <v>11602061.281529488</v>
          </cell>
        </row>
        <row r="76">
          <cell r="B76" t="str">
            <v>Celestine</v>
          </cell>
          <cell r="C76" t="str">
            <v>SrSO4</v>
          </cell>
          <cell r="D76">
            <v>183.68</v>
          </cell>
          <cell r="E76">
            <v>3.6500000000000002E-6</v>
          </cell>
          <cell r="F76">
            <v>6.704320000000001E-4</v>
          </cell>
          <cell r="G76">
            <v>5.7560499999999998E-4</v>
          </cell>
          <cell r="H76">
            <v>-1341.6</v>
          </cell>
          <cell r="I76">
            <v>46.98</v>
          </cell>
          <cell r="J76">
            <v>1.6397713877083876E-2</v>
          </cell>
          <cell r="K76">
            <v>7304.0069686411143</v>
          </cell>
          <cell r="L76">
            <v>118563.71023188665</v>
          </cell>
          <cell r="M76">
            <v>865990165.76164591</v>
          </cell>
          <cell r="Q76" t="str">
            <v/>
          </cell>
          <cell r="R76" t="str">
            <v/>
          </cell>
          <cell r="S76">
            <v>118563.71023188665</v>
          </cell>
          <cell r="T76" t="str">
            <v/>
          </cell>
        </row>
        <row r="77">
          <cell r="B77" t="str">
            <v>Cerussite</v>
          </cell>
          <cell r="C77" t="str">
            <v>PbCO3</v>
          </cell>
          <cell r="D77">
            <v>267.20999999999998</v>
          </cell>
          <cell r="E77">
            <v>8.2700000000000004E-10</v>
          </cell>
          <cell r="F77">
            <v>2.2098266999999998E-7</v>
          </cell>
          <cell r="G77">
            <v>1.304179E-7</v>
          </cell>
          <cell r="H77">
            <v>-627.5</v>
          </cell>
          <cell r="I77">
            <v>21.855</v>
          </cell>
          <cell r="J77">
            <v>-2.2745578368507567E-6</v>
          </cell>
          <cell r="K77">
            <v>2348.3402567269191</v>
          </cell>
          <cell r="L77">
            <v>118563.71023188665</v>
          </cell>
          <cell r="M77">
            <v>278427933.72444475</v>
          </cell>
          <cell r="Q77" t="str">
            <v/>
          </cell>
          <cell r="R77" t="str">
            <v/>
          </cell>
          <cell r="S77">
            <v>118563.71023188665</v>
          </cell>
          <cell r="T77" t="str">
            <v/>
          </cell>
        </row>
        <row r="78">
          <cell r="B78" t="str">
            <v>Chalcocite</v>
          </cell>
          <cell r="C78" t="str">
            <v>Cu2S</v>
          </cell>
          <cell r="D78">
            <v>159.15809999999999</v>
          </cell>
          <cell r="E78">
            <v>6.8300000000000002E-10</v>
          </cell>
          <cell r="F78">
            <v>1.0870498229999999E-7</v>
          </cell>
          <cell r="G78">
            <v>1.0770909999999999E-7</v>
          </cell>
          <cell r="H78">
            <v>-86.2</v>
          </cell>
          <cell r="I78">
            <v>789.3</v>
          </cell>
          <cell r="J78">
            <v>8.073122793833983E-5</v>
          </cell>
          <cell r="K78">
            <v>541.5998306086841</v>
          </cell>
          <cell r="L78">
            <v>118563.71023188665</v>
          </cell>
          <cell r="M78">
            <v>64214085.377926916</v>
          </cell>
          <cell r="Q78" t="str">
            <v/>
          </cell>
          <cell r="R78" t="str">
            <v/>
          </cell>
          <cell r="S78">
            <v>118563.71023188665</v>
          </cell>
          <cell r="T78" t="str">
            <v/>
          </cell>
        </row>
        <row r="79">
          <cell r="B79" t="str">
            <v>Chalcopyrite</v>
          </cell>
          <cell r="C79" t="str">
            <v>CuFeS2</v>
          </cell>
          <cell r="D79">
            <v>183.52250000000001</v>
          </cell>
          <cell r="E79">
            <v>3.6199999999999999E-7</v>
          </cell>
          <cell r="F79">
            <v>6.6435145E-5</v>
          </cell>
          <cell r="G79">
            <v>5.7087399999999991E-5</v>
          </cell>
          <cell r="H79">
            <v>-195.1</v>
          </cell>
          <cell r="I79">
            <v>1534.4</v>
          </cell>
          <cell r="J79">
            <v>8.6212229135014098E-2</v>
          </cell>
          <cell r="K79">
            <v>1063.0849078450872</v>
          </cell>
          <cell r="L79">
            <v>118563.71023188665</v>
          </cell>
          <cell r="M79">
            <v>126043290.96563683</v>
          </cell>
          <cell r="N79" t="str">
            <v>Cu</v>
          </cell>
          <cell r="O79">
            <v>0.346257270906837</v>
          </cell>
          <cell r="P79">
            <v>9.9000000000000008E-3</v>
          </cell>
          <cell r="Q79">
            <v>8.5070222997180173E-3</v>
          </cell>
          <cell r="R79">
            <v>67.589363665051636</v>
          </cell>
          <cell r="S79">
            <v>118563.71023188665</v>
          </cell>
          <cell r="T79">
            <v>8013645.7283407906</v>
          </cell>
        </row>
        <row r="80">
          <cell r="B80" t="str">
            <v>Chalcopyrite (3.4% mineral in ground)</v>
          </cell>
          <cell r="C80" t="str">
            <v>CuFeS2</v>
          </cell>
          <cell r="D80">
            <v>183.52250000000001</v>
          </cell>
          <cell r="E80">
            <v>3.6199999999999999E-7</v>
          </cell>
          <cell r="F80">
            <v>6.6435145E-5</v>
          </cell>
          <cell r="G80">
            <v>5.7087399999999991E-5</v>
          </cell>
          <cell r="H80">
            <v>-195.1</v>
          </cell>
          <cell r="I80">
            <v>1534.4</v>
          </cell>
          <cell r="J80">
            <v>8.6212229135014098E-2</v>
          </cell>
          <cell r="K80">
            <v>1063.0849078450872</v>
          </cell>
          <cell r="L80">
            <v>118563.71023188665</v>
          </cell>
          <cell r="M80">
            <v>126043290.96563683</v>
          </cell>
          <cell r="N80" t="str">
            <v>Cu</v>
          </cell>
          <cell r="O80">
            <v>0.346257270906837</v>
          </cell>
          <cell r="P80">
            <v>1.18E-2</v>
          </cell>
          <cell r="Q80">
            <v>1.0139683145118445E-2</v>
          </cell>
          <cell r="R80">
            <v>69.960698601634647</v>
          </cell>
          <cell r="S80">
            <v>118563.71023188665</v>
          </cell>
          <cell r="T80">
            <v>8294799.9966245685</v>
          </cell>
        </row>
        <row r="81">
          <cell r="B81" t="str">
            <v>Chalcopyrite (4.1% mineral in ground)</v>
          </cell>
          <cell r="C81" t="str">
            <v>CuFeS2</v>
          </cell>
          <cell r="D81">
            <v>183.52250000000001</v>
          </cell>
          <cell r="E81">
            <v>3.6199999999999999E-7</v>
          </cell>
          <cell r="F81">
            <v>6.6435145E-5</v>
          </cell>
          <cell r="G81">
            <v>5.7087399999999991E-5</v>
          </cell>
          <cell r="H81">
            <v>-195.1</v>
          </cell>
          <cell r="I81">
            <v>1534.4</v>
          </cell>
          <cell r="J81">
            <v>8.6212229135014098E-2</v>
          </cell>
          <cell r="K81">
            <v>1063.0849078450872</v>
          </cell>
          <cell r="L81">
            <v>118563.71023188665</v>
          </cell>
          <cell r="M81">
            <v>126043290.96563683</v>
          </cell>
          <cell r="N81" t="str">
            <v>Cu</v>
          </cell>
          <cell r="O81">
            <v>0.346257270906837</v>
          </cell>
          <cell r="P81">
            <v>1.4200000000000001E-2</v>
          </cell>
          <cell r="Q81">
            <v>1.2201991581413723E-2</v>
          </cell>
          <cell r="R81">
            <v>72.46139796807195</v>
          </cell>
          <cell r="S81">
            <v>118563.71023188665</v>
          </cell>
          <cell r="T81">
            <v>8591292.1916839033</v>
          </cell>
        </row>
        <row r="82">
          <cell r="B82" t="str">
            <v>Chalcopyrite (6.3% mineral in ground)</v>
          </cell>
          <cell r="C82" t="str">
            <v>CuFeS2</v>
          </cell>
          <cell r="D82">
            <v>183.52250000000001</v>
          </cell>
          <cell r="E82">
            <v>3.6199999999999999E-7</v>
          </cell>
          <cell r="F82">
            <v>6.6435145E-5</v>
          </cell>
          <cell r="G82">
            <v>5.7087399999999991E-5</v>
          </cell>
          <cell r="H82">
            <v>-195.1</v>
          </cell>
          <cell r="I82">
            <v>1534.4</v>
          </cell>
          <cell r="J82">
            <v>8.6212229135014098E-2</v>
          </cell>
          <cell r="K82">
            <v>1063.0849078450872</v>
          </cell>
          <cell r="L82">
            <v>118563.71023188665</v>
          </cell>
          <cell r="M82">
            <v>126043290.96563683</v>
          </cell>
          <cell r="N82" t="str">
            <v>Cu</v>
          </cell>
          <cell r="O82">
            <v>0.346257270906837</v>
          </cell>
          <cell r="P82">
            <v>2.1899999999999999E-2</v>
          </cell>
          <cell r="Q82">
            <v>1.88185644811944E-2</v>
          </cell>
          <cell r="R82">
            <v>78.313188176141125</v>
          </cell>
          <cell r="S82">
            <v>118563.71023188665</v>
          </cell>
          <cell r="T82">
            <v>9285102.1502512079</v>
          </cell>
        </row>
        <row r="83">
          <cell r="B83" t="str">
            <v>Chevkinite</v>
          </cell>
          <cell r="C83" t="str">
            <v>Ce1:7La1:4Ca0:8Th0:1Fe2+1:8Mg0:5Ti2:5Fe3+0:5Si4O22</v>
          </cell>
          <cell r="D83">
            <v>1212.5630000000001</v>
          </cell>
          <cell r="E83">
            <v>2.76E-11</v>
          </cell>
          <cell r="F83">
            <v>3.3466738800000001E-8</v>
          </cell>
          <cell r="G83">
            <v>4.3525199999999994E-9</v>
          </cell>
          <cell r="H83">
            <v>-9894.5</v>
          </cell>
          <cell r="I83">
            <v>1019.01</v>
          </cell>
          <cell r="J83">
            <v>4.2275439534713335E-6</v>
          </cell>
          <cell r="K83">
            <v>8159.9883882321983</v>
          </cell>
          <cell r="L83">
            <v>118563.71023188665</v>
          </cell>
          <cell r="M83">
            <v>967478498.75792217</v>
          </cell>
          <cell r="Q83" t="str">
            <v/>
          </cell>
          <cell r="R83" t="str">
            <v/>
          </cell>
          <cell r="S83">
            <v>118563.71023188665</v>
          </cell>
          <cell r="T83" t="str">
            <v/>
          </cell>
        </row>
        <row r="84">
          <cell r="B84" t="str">
            <v>Chlorargirite</v>
          </cell>
          <cell r="C84" t="str">
            <v>AgCl</v>
          </cell>
          <cell r="D84">
            <v>143.32</v>
          </cell>
          <cell r="E84">
            <v>5.4699999999999999E-12</v>
          </cell>
          <cell r="F84">
            <v>7.8396039999999997E-10</v>
          </cell>
          <cell r="G84">
            <v>8.6261899999999996E-10</v>
          </cell>
          <cell r="H84">
            <v>-109.9</v>
          </cell>
          <cell r="I84">
            <v>21.96</v>
          </cell>
          <cell r="J84">
            <v>-2.5684957264300297E-8</v>
          </cell>
          <cell r="K84">
            <v>766.81551772257887</v>
          </cell>
          <cell r="L84">
            <v>118563.71023188665</v>
          </cell>
          <cell r="M84">
            <v>90916492.84457399</v>
          </cell>
          <cell r="Q84" t="str">
            <v/>
          </cell>
          <cell r="R84" t="str">
            <v/>
          </cell>
          <cell r="S84">
            <v>118563.71023188665</v>
          </cell>
          <cell r="T84" t="str">
            <v/>
          </cell>
        </row>
        <row r="85">
          <cell r="B85" t="str">
            <v>Chloritoid</v>
          </cell>
          <cell r="C85" t="str">
            <v>Fe2+1:2Mg0:6Mn2+0.2Al4Si2O10(OH)4</v>
          </cell>
          <cell r="D85">
            <v>484.71</v>
          </cell>
          <cell r="E85">
            <v>6.1799999999999998E-8</v>
          </cell>
          <cell r="F85">
            <v>2.9955077999999997E-5</v>
          </cell>
          <cell r="G85">
            <v>9.7458599999999982E-6</v>
          </cell>
          <cell r="H85">
            <v>-6152.6</v>
          </cell>
          <cell r="I85">
            <v>101.5</v>
          </cell>
          <cell r="J85">
            <v>7.104510653066162E-4</v>
          </cell>
          <cell r="K85">
            <v>12693.36304181882</v>
          </cell>
          <cell r="L85">
            <v>118563.71023188665</v>
          </cell>
          <cell r="M85">
            <v>1504972217.558346</v>
          </cell>
          <cell r="Q85" t="str">
            <v/>
          </cell>
          <cell r="R85" t="str">
            <v/>
          </cell>
          <cell r="S85">
            <v>118563.71023188665</v>
          </cell>
          <cell r="T85" t="str">
            <v/>
          </cell>
        </row>
        <row r="86">
          <cell r="B86" t="str">
            <v>Chondrodite</v>
          </cell>
          <cell r="C86" t="str">
            <v>Mg3:75Fe2+1:25(SiO4)2F1:5(OH)0:5</v>
          </cell>
          <cell r="D86">
            <v>382.12</v>
          </cell>
          <cell r="E86">
            <v>2.9300000000000002E-10</v>
          </cell>
          <cell r="F86">
            <v>1.1196116E-7</v>
          </cell>
          <cell r="G86">
            <v>4.6206100000000002E-8</v>
          </cell>
          <cell r="H86">
            <v>-4701.3999999999996</v>
          </cell>
          <cell r="I86">
            <v>488.22</v>
          </cell>
          <cell r="J86">
            <v>2.0624201949160026E-5</v>
          </cell>
          <cell r="K86">
            <v>12303.464880142363</v>
          </cell>
          <cell r="L86">
            <v>118563.71023188665</v>
          </cell>
          <cell r="M86">
            <v>1458744444.8973932</v>
          </cell>
          <cell r="Q86" t="str">
            <v/>
          </cell>
          <cell r="R86" t="str">
            <v/>
          </cell>
          <cell r="S86">
            <v>118563.71023188665</v>
          </cell>
          <cell r="T86" t="str">
            <v/>
          </cell>
        </row>
        <row r="87">
          <cell r="B87" t="str">
            <v>Chromite</v>
          </cell>
          <cell r="C87" t="str">
            <v>Fe2+Cr2O4</v>
          </cell>
          <cell r="D87">
            <v>223.84</v>
          </cell>
          <cell r="E87">
            <v>8.8299999999999995E-7</v>
          </cell>
          <cell r="F87">
            <v>1.9765072E-4</v>
          </cell>
          <cell r="G87">
            <v>1.3924909999999999E-4</v>
          </cell>
          <cell r="H87">
            <v>-1358.4</v>
          </cell>
          <cell r="I87">
            <v>202.2</v>
          </cell>
          <cell r="J87">
            <v>2.509128907235459E-2</v>
          </cell>
          <cell r="K87">
            <v>6068.6204431736951</v>
          </cell>
          <cell r="L87">
            <v>118563.71023188665</v>
          </cell>
          <cell r="M87">
            <v>719518155.73174953</v>
          </cell>
          <cell r="N87" t="str">
            <v>Cr</v>
          </cell>
          <cell r="O87">
            <v>0.46500000000000002</v>
          </cell>
          <cell r="P87">
            <v>0.11600000000000001</v>
          </cell>
          <cell r="Q87">
            <v>8.1724446032880621E-2</v>
          </cell>
          <cell r="R87">
            <v>70.595448355069848</v>
          </cell>
          <cell r="S87">
            <v>118563.71023188665</v>
          </cell>
          <cell r="T87">
            <v>8370058.2824606206</v>
          </cell>
        </row>
        <row r="88">
          <cell r="B88" t="str">
            <v>Chromite (Rhodium at 0.00008%, 24.9% mineral in ground)</v>
          </cell>
          <cell r="C88" t="str">
            <v>Fe2+Cr2O4</v>
          </cell>
          <cell r="D88">
            <v>223.84</v>
          </cell>
          <cell r="E88">
            <v>8.8299999999999995E-7</v>
          </cell>
          <cell r="F88">
            <v>1.9765072E-4</v>
          </cell>
          <cell r="G88">
            <v>1.3924909999999999E-4</v>
          </cell>
          <cell r="H88">
            <v>-1358.4</v>
          </cell>
          <cell r="I88">
            <v>202.2</v>
          </cell>
          <cell r="J88">
            <v>2.509128907235459E-2</v>
          </cell>
          <cell r="K88">
            <v>6068.6204431736951</v>
          </cell>
          <cell r="L88">
            <v>118563.71023188665</v>
          </cell>
          <cell r="M88">
            <v>719518155.73174953</v>
          </cell>
          <cell r="N88" t="str">
            <v>Rh</v>
          </cell>
          <cell r="O88">
            <v>1.7241379310344825E-6</v>
          </cell>
          <cell r="P88">
            <v>0.11600000000000001</v>
          </cell>
          <cell r="Q88">
            <v>8.1724446032880621E-2</v>
          </cell>
          <cell r="R88">
            <v>70.595448355069848</v>
          </cell>
          <cell r="S88">
            <v>118563.71023188665</v>
          </cell>
          <cell r="T88">
            <v>8370058.2824606206</v>
          </cell>
        </row>
        <row r="89">
          <cell r="B89" t="str">
            <v>Chromite (Rhodium at 0.00010%, 24.9% mineral in ground)</v>
          </cell>
          <cell r="C89" t="str">
            <v>Fe2+Cr2O4</v>
          </cell>
          <cell r="D89">
            <v>223.84</v>
          </cell>
          <cell r="E89">
            <v>8.8299999999999995E-7</v>
          </cell>
          <cell r="F89">
            <v>1.9765072E-4</v>
          </cell>
          <cell r="G89">
            <v>1.3924909999999999E-4</v>
          </cell>
          <cell r="H89">
            <v>-1358.4</v>
          </cell>
          <cell r="I89">
            <v>202.2</v>
          </cell>
          <cell r="J89">
            <v>2.509128907235459E-2</v>
          </cell>
          <cell r="K89">
            <v>6068.6204431736951</v>
          </cell>
          <cell r="L89">
            <v>118563.71023188665</v>
          </cell>
          <cell r="M89">
            <v>719518155.73174953</v>
          </cell>
          <cell r="N89" t="str">
            <v>Rh</v>
          </cell>
          <cell r="O89">
            <v>2.0689655172413792E-6</v>
          </cell>
          <cell r="P89">
            <v>0.11600000000000001</v>
          </cell>
          <cell r="Q89">
            <v>8.1724446032880621E-2</v>
          </cell>
          <cell r="R89">
            <v>70.595448355069848</v>
          </cell>
          <cell r="S89">
            <v>118563.71023188665</v>
          </cell>
          <cell r="T89">
            <v>8370058.2824606206</v>
          </cell>
        </row>
        <row r="90">
          <cell r="B90" t="str">
            <v>Chrysoberyl</v>
          </cell>
          <cell r="C90" t="str">
            <v>BeAl2O4</v>
          </cell>
          <cell r="D90">
            <v>126.97</v>
          </cell>
          <cell r="E90">
            <v>1.7999999999999999E-8</v>
          </cell>
          <cell r="F90">
            <v>2.2854599999999997E-6</v>
          </cell>
          <cell r="G90">
            <v>2.8385999999999998E-6</v>
          </cell>
          <cell r="H90">
            <v>-2178.1999999999998</v>
          </cell>
          <cell r="I90">
            <v>24.810000000000002</v>
          </cell>
          <cell r="J90">
            <v>-1.9444331315459895E-5</v>
          </cell>
          <cell r="K90">
            <v>17155.23351972907</v>
          </cell>
          <cell r="L90">
            <v>118563.71023188665</v>
          </cell>
          <cell r="M90">
            <v>2033988135.9935064</v>
          </cell>
          <cell r="Q90" t="str">
            <v/>
          </cell>
          <cell r="R90" t="str">
            <v/>
          </cell>
          <cell r="S90">
            <v>118563.71023188665</v>
          </cell>
          <cell r="T90" t="str">
            <v/>
          </cell>
        </row>
        <row r="91">
          <cell r="B91" t="str">
            <v>Chrysocolla</v>
          </cell>
          <cell r="C91" t="str">
            <v>Cu2Si2O6(H2O)4</v>
          </cell>
          <cell r="D91">
            <v>351.32</v>
          </cell>
          <cell r="E91">
            <v>3.5399999999999999E-12</v>
          </cell>
          <cell r="F91">
            <v>1.2436728E-9</v>
          </cell>
          <cell r="G91">
            <v>5.5825799999999998E-10</v>
          </cell>
          <cell r="H91">
            <v>-2964.6</v>
          </cell>
          <cell r="I91">
            <v>25.61</v>
          </cell>
          <cell r="J91">
            <v>-1.5186970795740804E-8</v>
          </cell>
          <cell r="K91">
            <v>8438.4606626437435</v>
          </cell>
          <cell r="L91">
            <v>118563.71023188665</v>
          </cell>
          <cell r="M91">
            <v>1000495204.808867</v>
          </cell>
          <cell r="Q91" t="str">
            <v/>
          </cell>
          <cell r="R91" t="str">
            <v/>
          </cell>
          <cell r="S91">
            <v>118563.71023188665</v>
          </cell>
          <cell r="T91" t="str">
            <v/>
          </cell>
        </row>
        <row r="92">
          <cell r="B92" t="str">
            <v>Cinnabar</v>
          </cell>
          <cell r="C92" t="str">
            <v>HgS</v>
          </cell>
          <cell r="D92">
            <v>232.59</v>
          </cell>
          <cell r="E92">
            <v>2.4599999999999998E-10</v>
          </cell>
          <cell r="F92">
            <v>5.7217139999999994E-8</v>
          </cell>
          <cell r="G92">
            <v>3.8794199999999994E-8</v>
          </cell>
          <cell r="H92">
            <v>-50.7</v>
          </cell>
          <cell r="I92">
            <v>675.16</v>
          </cell>
          <cell r="J92">
            <v>2.4551257230494171E-5</v>
          </cell>
          <cell r="K92">
            <v>217.98013672126919</v>
          </cell>
          <cell r="L92">
            <v>118563.71023188665</v>
          </cell>
          <cell r="M92">
            <v>25844533.766527597</v>
          </cell>
          <cell r="N92" t="str">
            <v>Hg</v>
          </cell>
          <cell r="O92">
            <v>0.86241884861773932</v>
          </cell>
          <cell r="P92">
            <v>0.01</v>
          </cell>
          <cell r="Q92">
            <v>6.7801711165570312E-3</v>
          </cell>
          <cell r="R92">
            <v>128.64880517210148</v>
          </cell>
          <cell r="S92">
            <v>118563.71023188665</v>
          </cell>
          <cell r="T92">
            <v>15253079.658103481</v>
          </cell>
        </row>
        <row r="93">
          <cell r="B93" t="str">
            <v>Clementite</v>
          </cell>
          <cell r="C93" t="str">
            <v>Fe2+3Mg1:5AlFe3+Si3AlO12(OH)6</v>
          </cell>
          <cell r="D93">
            <v>692.09500000000003</v>
          </cell>
          <cell r="E93">
            <v>3.8099999999999997E-8</v>
          </cell>
          <cell r="F93">
            <v>2.6368819499999997E-5</v>
          </cell>
          <cell r="G93">
            <v>6.0083699999999987E-6</v>
          </cell>
          <cell r="H93">
            <v>-7043.1</v>
          </cell>
          <cell r="I93">
            <v>508.11</v>
          </cell>
          <cell r="J93">
            <v>2.8738559543949982E-3</v>
          </cell>
          <cell r="K93">
            <v>10176.493111494809</v>
          </cell>
          <cell r="L93">
            <v>118563.71023188665</v>
          </cell>
          <cell r="M93">
            <v>1206562780.448061</v>
          </cell>
          <cell r="Q93" t="str">
            <v/>
          </cell>
          <cell r="R93" t="str">
            <v/>
          </cell>
          <cell r="S93">
            <v>118563.71023188665</v>
          </cell>
          <cell r="T93" t="str">
            <v/>
          </cell>
        </row>
        <row r="94">
          <cell r="B94" t="str">
            <v>Clinochlore</v>
          </cell>
          <cell r="C94" t="str">
            <v>Mg3:75Fe1:25Al2Si3O10(OH)8</v>
          </cell>
          <cell r="D94">
            <v>595.22</v>
          </cell>
          <cell r="E94">
            <v>7.3300000000000001E-6</v>
          </cell>
          <cell r="F94">
            <v>4.3629625999999999E-3</v>
          </cell>
          <cell r="G94">
            <v>1.155941E-3</v>
          </cell>
          <cell r="H94">
            <v>-7796.6</v>
          </cell>
          <cell r="I94">
            <v>168.58750000000001</v>
          </cell>
          <cell r="J94">
            <v>0.17549917218620759</v>
          </cell>
          <cell r="K94">
            <v>13098.686200060481</v>
          </cell>
          <cell r="L94">
            <v>118563.71023188665</v>
          </cell>
          <cell r="M94">
            <v>1553028835.0423834</v>
          </cell>
          <cell r="Q94" t="str">
            <v/>
          </cell>
          <cell r="R94" t="str">
            <v/>
          </cell>
          <cell r="S94">
            <v>118563.71023188665</v>
          </cell>
          <cell r="T94" t="str">
            <v/>
          </cell>
        </row>
        <row r="95">
          <cell r="B95" t="str">
            <v>Clinohumite</v>
          </cell>
          <cell r="C95" t="str">
            <v>Mg6:75Fe2:25Si4O16(OH)0:5F1:5</v>
          </cell>
          <cell r="D95">
            <v>695.05</v>
          </cell>
          <cell r="E95">
            <v>1.0999999999999999E-8</v>
          </cell>
          <cell r="F95">
            <v>7.6455499999999983E-6</v>
          </cell>
          <cell r="G95">
            <v>1.7346999999999997E-6</v>
          </cell>
          <cell r="H95">
            <v>-8410</v>
          </cell>
          <cell r="I95">
            <v>528.80999999999995</v>
          </cell>
          <cell r="J95">
            <v>8.6028850050906287E-4</v>
          </cell>
          <cell r="K95">
            <v>12099.848931731531</v>
          </cell>
          <cell r="L95">
            <v>118563.71023188665</v>
          </cell>
          <cell r="M95">
            <v>1434602982.5914204</v>
          </cell>
          <cell r="Q95" t="str">
            <v/>
          </cell>
          <cell r="R95" t="str">
            <v/>
          </cell>
          <cell r="S95">
            <v>118563.71023188665</v>
          </cell>
          <cell r="T95" t="str">
            <v/>
          </cell>
        </row>
        <row r="96">
          <cell r="B96" t="str">
            <v>Clinozoisite</v>
          </cell>
          <cell r="C96" t="str">
            <v>Ca2Al3(SiO4)3(OH)</v>
          </cell>
          <cell r="D96">
            <v>454.36</v>
          </cell>
          <cell r="E96">
            <v>7.5099999999999999E-7</v>
          </cell>
          <cell r="F96">
            <v>3.4122436000000002E-4</v>
          </cell>
          <cell r="G96">
            <v>1.1843269999999999E-4</v>
          </cell>
          <cell r="H96">
            <v>-6483.9</v>
          </cell>
          <cell r="I96">
            <v>68.98</v>
          </cell>
          <cell r="J96">
            <v>5.5152433512809336E-3</v>
          </cell>
          <cell r="K96">
            <v>14270.402324148252</v>
          </cell>
          <cell r="L96">
            <v>118563.71023188665</v>
          </cell>
          <cell r="M96">
            <v>1691951846.0527551</v>
          </cell>
          <cell r="Q96" t="str">
            <v/>
          </cell>
          <cell r="R96" t="str">
            <v/>
          </cell>
          <cell r="S96">
            <v>118563.71023188665</v>
          </cell>
          <cell r="T96" t="str">
            <v/>
          </cell>
        </row>
        <row r="97">
          <cell r="B97" t="str">
            <v>Cobaltite</v>
          </cell>
          <cell r="C97" t="str">
            <v>CoAsS</v>
          </cell>
          <cell r="D97">
            <v>165.92</v>
          </cell>
          <cell r="E97">
            <v>5.0599999999999998E-11</v>
          </cell>
          <cell r="F97">
            <v>8.395551999999999E-9</v>
          </cell>
          <cell r="G97">
            <v>7.979619999999999E-9</v>
          </cell>
          <cell r="H97" t="str">
            <v>N.A.</v>
          </cell>
          <cell r="I97" t="str">
            <v>NA</v>
          </cell>
          <cell r="J97" t="e">
            <v>#VALUE!</v>
          </cell>
          <cell r="K97" t="e">
            <v>#VALUE!</v>
          </cell>
          <cell r="L97">
            <v>118563.71023188665</v>
          </cell>
          <cell r="M97" t="e">
            <v>#VALUE!</v>
          </cell>
          <cell r="Q97" t="str">
            <v/>
          </cell>
          <cell r="R97" t="str">
            <v/>
          </cell>
          <cell r="S97">
            <v>118563.71023188665</v>
          </cell>
          <cell r="T97" t="str">
            <v/>
          </cell>
        </row>
        <row r="98">
          <cell r="B98" t="str">
            <v>Colemanite</v>
          </cell>
          <cell r="C98" t="str">
            <v>Ca2B6O11(H2O)5</v>
          </cell>
          <cell r="D98">
            <v>411.09</v>
          </cell>
          <cell r="E98">
            <v>5.99E-8</v>
          </cell>
          <cell r="F98">
            <v>2.4624290999999999E-5</v>
          </cell>
          <cell r="G98">
            <v>9.4462299999999999E-6</v>
          </cell>
          <cell r="H98">
            <v>-6277</v>
          </cell>
          <cell r="I98">
            <v>-781.67</v>
          </cell>
          <cell r="J98">
            <v>-7.6547494228410154E-3</v>
          </cell>
          <cell r="K98">
            <v>15269.162470505244</v>
          </cell>
          <cell r="L98">
            <v>118563.71023188665</v>
          </cell>
          <cell r="M98">
            <v>1810368554.6365821</v>
          </cell>
          <cell r="N98" t="str">
            <v>B2O3</v>
          </cell>
          <cell r="O98">
            <v>0.58592035807244158</v>
          </cell>
          <cell r="P98">
            <v>0.30759999999999998</v>
          </cell>
          <cell r="Q98">
            <v>0.11799975674426524</v>
          </cell>
          <cell r="R98">
            <v>56.878687495535516</v>
          </cell>
          <cell r="S98">
            <v>118563.71023188665</v>
          </cell>
          <cell r="T98">
            <v>6743748.2225907072</v>
          </cell>
        </row>
        <row r="99">
          <cell r="B99" t="str">
            <v>Cooperite</v>
          </cell>
          <cell r="C99" t="str">
            <v>Pt0;6Pd0;3Ni0;1S</v>
          </cell>
          <cell r="D99">
            <v>186.91</v>
          </cell>
          <cell r="E99">
            <v>2.1100000000000001E-12</v>
          </cell>
          <cell r="F99">
            <v>3.9438010000000002E-10</v>
          </cell>
          <cell r="G99">
            <v>3.3274699999999999E-10</v>
          </cell>
          <cell r="H99">
            <v>-73.8</v>
          </cell>
          <cell r="I99">
            <v>666.93666666666661</v>
          </cell>
          <cell r="J99">
            <v>2.0392060968518451E-7</v>
          </cell>
          <cell r="K99">
            <v>394.84243753678243</v>
          </cell>
          <cell r="L99">
            <v>118563.71023188665</v>
          </cell>
          <cell r="M99">
            <v>46813984.351362877</v>
          </cell>
          <cell r="N99" t="str">
            <v>Pd</v>
          </cell>
          <cell r="O99">
            <v>0.1708094804986357</v>
          </cell>
          <cell r="P99">
            <v>1.9999999999999999E-6</v>
          </cell>
          <cell r="Q99">
            <v>1.6874431544593654E-6</v>
          </cell>
          <cell r="R99">
            <v>113.14351784137409</v>
          </cell>
          <cell r="S99">
            <v>118563.71023188665</v>
          </cell>
          <cell r="T99">
            <v>13414715.263960976</v>
          </cell>
        </row>
        <row r="100">
          <cell r="B100" t="str">
            <v>Cooperite (for Palladium, 0.0043% mineral in ground)</v>
          </cell>
          <cell r="C100" t="str">
            <v>Pt0;6Pd0;3Ni0;1S</v>
          </cell>
          <cell r="D100">
            <v>186.91</v>
          </cell>
          <cell r="E100">
            <v>2.1100000000000001E-12</v>
          </cell>
          <cell r="F100">
            <v>3.9438010000000002E-10</v>
          </cell>
          <cell r="G100">
            <v>3.3274699999999999E-10</v>
          </cell>
          <cell r="H100">
            <v>-73.8</v>
          </cell>
          <cell r="I100">
            <v>666.93666666666661</v>
          </cell>
          <cell r="J100">
            <v>2.0392060968518451E-7</v>
          </cell>
          <cell r="K100">
            <v>394.84243753678243</v>
          </cell>
          <cell r="L100">
            <v>118563.71023188665</v>
          </cell>
          <cell r="M100">
            <v>46813984.351362877</v>
          </cell>
          <cell r="N100" t="str">
            <v>Pd</v>
          </cell>
          <cell r="O100">
            <v>0.1708094804986357</v>
          </cell>
          <cell r="P100">
            <v>7.3000000000000004E-6</v>
          </cell>
          <cell r="Q100">
            <v>6.1591675137766839E-6</v>
          </cell>
          <cell r="R100">
            <v>130.31431893453072</v>
          </cell>
          <cell r="S100">
            <v>118563.71023188665</v>
          </cell>
          <cell r="T100">
            <v>15450549.14921936</v>
          </cell>
        </row>
        <row r="101">
          <cell r="B101" t="str">
            <v>Cooperite (for Platinum, 0.001% mineral in ground)</v>
          </cell>
          <cell r="C101" t="str">
            <v>Pt0;6Pd0;3Ni0;1S</v>
          </cell>
          <cell r="D101">
            <v>186.91</v>
          </cell>
          <cell r="E101">
            <v>2.1100000000000001E-12</v>
          </cell>
          <cell r="F101">
            <v>3.9438010000000002E-10</v>
          </cell>
          <cell r="G101">
            <v>3.3274699999999999E-10</v>
          </cell>
          <cell r="H101">
            <v>-73.8</v>
          </cell>
          <cell r="I101">
            <v>666.93666666666661</v>
          </cell>
          <cell r="J101">
            <v>2.0392060968518451E-7</v>
          </cell>
          <cell r="K101">
            <v>394.84243753678243</v>
          </cell>
          <cell r="L101">
            <v>118563.71023188665</v>
          </cell>
          <cell r="M101">
            <v>46813984.351362877</v>
          </cell>
          <cell r="N101" t="str">
            <v>Pt</v>
          </cell>
          <cell r="O101">
            <v>0.25253120753303732</v>
          </cell>
          <cell r="P101">
            <v>2.5000000000000002E-6</v>
          </cell>
          <cell r="Q101">
            <v>2.1093039430742067E-6</v>
          </cell>
          <cell r="R101">
            <v>116.10286992012587</v>
          </cell>
          <cell r="S101">
            <v>118563.71023188665</v>
          </cell>
          <cell r="T101">
            <v>13765587.026300233</v>
          </cell>
        </row>
        <row r="102">
          <cell r="B102" t="str">
            <v>Cooperite (for Platinum, 0.0019% mineral in ground)</v>
          </cell>
          <cell r="C102" t="str">
            <v>Pt0;6Pd0;3Ni0;1S</v>
          </cell>
          <cell r="D102">
            <v>186.91</v>
          </cell>
          <cell r="E102">
            <v>2.1100000000000001E-12</v>
          </cell>
          <cell r="F102">
            <v>3.9438010000000002E-10</v>
          </cell>
          <cell r="G102">
            <v>3.3274699999999999E-10</v>
          </cell>
          <cell r="H102">
            <v>-73.8</v>
          </cell>
          <cell r="I102">
            <v>666.93666666666661</v>
          </cell>
          <cell r="J102">
            <v>2.0392060968518451E-7</v>
          </cell>
          <cell r="K102">
            <v>394.84243753678243</v>
          </cell>
          <cell r="L102">
            <v>118563.71023188665</v>
          </cell>
          <cell r="M102">
            <v>46813984.351362877</v>
          </cell>
          <cell r="N102" t="str">
            <v>Pt</v>
          </cell>
          <cell r="O102">
            <v>0.25253120753303732</v>
          </cell>
          <cell r="P102">
            <v>4.7999999999999998E-6</v>
          </cell>
          <cell r="Q102">
            <v>4.0498635707024764E-6</v>
          </cell>
          <cell r="R102">
            <v>124.7540717315123</v>
          </cell>
          <cell r="S102">
            <v>118563.71023188665</v>
          </cell>
          <cell r="T102">
            <v>14791305.611023026</v>
          </cell>
        </row>
        <row r="103">
          <cell r="B103" t="str">
            <v>Copper</v>
          </cell>
          <cell r="C103" t="str">
            <v>Cu</v>
          </cell>
          <cell r="D103">
            <v>63.55</v>
          </cell>
          <cell r="E103">
            <v>3.9000000000000002E-9</v>
          </cell>
          <cell r="F103">
            <v>2.4784500000000001E-7</v>
          </cell>
          <cell r="G103">
            <v>6.1503000000000002E-7</v>
          </cell>
          <cell r="H103">
            <v>-2.532784893784422</v>
          </cell>
          <cell r="I103">
            <v>131.75</v>
          </cell>
          <cell r="J103">
            <v>5.9226733177815198E-5</v>
          </cell>
          <cell r="K103">
            <v>39.854994394719462</v>
          </cell>
          <cell r="L103">
            <v>118563.71023188665</v>
          </cell>
          <cell r="M103">
            <v>4725356.0067089852</v>
          </cell>
          <cell r="Q103" t="str">
            <v/>
          </cell>
          <cell r="R103" t="str">
            <v/>
          </cell>
          <cell r="S103">
            <v>118563.71023188665</v>
          </cell>
          <cell r="T103" t="str">
            <v/>
          </cell>
        </row>
        <row r="104">
          <cell r="B104" t="str">
            <v>Cordierite</v>
          </cell>
          <cell r="C104" t="str">
            <v>Mg2Al4Si5O18</v>
          </cell>
          <cell r="D104">
            <v>584.95000000000005</v>
          </cell>
          <cell r="E104">
            <v>9.5200000000000005E-8</v>
          </cell>
          <cell r="F104">
            <v>5.5687240000000007E-5</v>
          </cell>
          <cell r="G104">
            <v>1.5013039999999999E-5</v>
          </cell>
          <cell r="H104">
            <v>-8603.9</v>
          </cell>
          <cell r="I104">
            <v>117.22333333333334</v>
          </cell>
          <cell r="J104">
            <v>1.3465511214986012E-3</v>
          </cell>
          <cell r="K104">
            <v>14708.778528079321</v>
          </cell>
          <cell r="L104">
            <v>118563.71023188665</v>
          </cell>
          <cell r="M104">
            <v>1743927355.268193</v>
          </cell>
          <cell r="Q104" t="str">
            <v/>
          </cell>
          <cell r="R104" t="str">
            <v/>
          </cell>
          <cell r="S104">
            <v>118563.71023188665</v>
          </cell>
          <cell r="T104" t="str">
            <v/>
          </cell>
        </row>
        <row r="105">
          <cell r="B105" t="str">
            <v>Corundum</v>
          </cell>
          <cell r="C105" t="str">
            <v>Al2O3</v>
          </cell>
          <cell r="D105">
            <v>101.9614</v>
          </cell>
          <cell r="E105">
            <v>1.1999999999999999E-6</v>
          </cell>
          <cell r="F105">
            <v>1.2235367999999998E-4</v>
          </cell>
          <cell r="G105">
            <v>1.8923999999999997E-4</v>
          </cell>
          <cell r="H105">
            <v>-1563</v>
          </cell>
          <cell r="I105">
            <v>15.33</v>
          </cell>
          <cell r="J105">
            <v>-1.1202370486576769E-3</v>
          </cell>
          <cell r="K105">
            <v>15329.330511350374</v>
          </cell>
          <cell r="L105">
            <v>118563.71023188665</v>
          </cell>
          <cell r="M105">
            <v>1817502300.7965646</v>
          </cell>
          <cell r="Q105" t="str">
            <v/>
          </cell>
          <cell r="R105" t="str">
            <v/>
          </cell>
          <cell r="S105">
            <v>118563.71023188665</v>
          </cell>
          <cell r="T105" t="str">
            <v/>
          </cell>
        </row>
        <row r="106">
          <cell r="B106" t="str">
            <v>Covellite</v>
          </cell>
          <cell r="C106" t="str">
            <v>CuS</v>
          </cell>
          <cell r="D106">
            <v>95.611800000000002</v>
          </cell>
          <cell r="E106">
            <v>2.2700000000000001E-8</v>
          </cell>
          <cell r="F106">
            <v>2.17038786E-6</v>
          </cell>
          <cell r="G106">
            <v>3.5797900000000002E-6</v>
          </cell>
          <cell r="H106">
            <v>-53.6</v>
          </cell>
          <cell r="I106">
            <v>689.99</v>
          </cell>
          <cell r="J106">
            <v>2.3587418765162868E-3</v>
          </cell>
          <cell r="K106">
            <v>560.60026063728537</v>
          </cell>
          <cell r="L106">
            <v>118563.71023188665</v>
          </cell>
          <cell r="M106">
            <v>66466846.858119234</v>
          </cell>
          <cell r="Q106" t="str">
            <v/>
          </cell>
          <cell r="R106" t="str">
            <v/>
          </cell>
          <cell r="S106">
            <v>118563.71023188665</v>
          </cell>
          <cell r="T106" t="str">
            <v/>
          </cell>
        </row>
        <row r="107">
          <cell r="B107" t="str">
            <v>Cristobalite</v>
          </cell>
          <cell r="C107" t="str">
            <v>SiO2</v>
          </cell>
          <cell r="D107">
            <v>60.08</v>
          </cell>
          <cell r="E107">
            <v>2.0599999999999999E-7</v>
          </cell>
          <cell r="F107">
            <v>1.2376479999999999E-5</v>
          </cell>
          <cell r="G107">
            <v>3.2486199999999994E-5</v>
          </cell>
          <cell r="H107">
            <v>-855.5</v>
          </cell>
          <cell r="I107">
            <v>2.585</v>
          </cell>
          <cell r="J107">
            <v>-7.4824944000066729E-4</v>
          </cell>
          <cell r="K107">
            <v>14239.347536617843</v>
          </cell>
          <cell r="L107">
            <v>118563.71023188665</v>
          </cell>
          <cell r="M107">
            <v>1688269875.222687</v>
          </cell>
          <cell r="Q107" t="str">
            <v/>
          </cell>
          <cell r="R107" t="str">
            <v/>
          </cell>
          <cell r="S107">
            <v>118563.71023188665</v>
          </cell>
          <cell r="T107" t="str">
            <v/>
          </cell>
        </row>
        <row r="108">
          <cell r="B108" t="str">
            <v>Crossite</v>
          </cell>
          <cell r="C108" t="str">
            <v>Na2Mg2Fe2+Al2(Si8O22)(OH)2</v>
          </cell>
          <cell r="D108">
            <v>815.08249999999998</v>
          </cell>
          <cell r="E108">
            <v>4.0600000000000001E-7</v>
          </cell>
          <cell r="F108">
            <v>3.3092349499999998E-4</v>
          </cell>
          <cell r="G108">
            <v>6.40262E-5</v>
          </cell>
          <cell r="H108">
            <v>-10925.8</v>
          </cell>
          <cell r="I108">
            <v>92.07</v>
          </cell>
          <cell r="J108">
            <v>4.3623599540566381E-3</v>
          </cell>
          <cell r="K108">
            <v>13404.532670005798</v>
          </cell>
          <cell r="L108">
            <v>118563.71023188665</v>
          </cell>
          <cell r="M108">
            <v>1589291127.2804253</v>
          </cell>
          <cell r="Q108" t="str">
            <v/>
          </cell>
          <cell r="R108" t="str">
            <v/>
          </cell>
          <cell r="S108">
            <v>118563.71023188665</v>
          </cell>
          <cell r="T108" t="str">
            <v/>
          </cell>
        </row>
        <row r="109">
          <cell r="B109" t="str">
            <v>Cryolite</v>
          </cell>
          <cell r="C109" t="str">
            <v>Na3AlF6</v>
          </cell>
          <cell r="D109">
            <v>209.94130000000001</v>
          </cell>
          <cell r="E109">
            <v>2.3600000000000001E-9</v>
          </cell>
          <cell r="F109">
            <v>4.9546146800000005E-7</v>
          </cell>
          <cell r="G109">
            <v>3.7217199999999998E-7</v>
          </cell>
          <cell r="H109">
            <v>-3144.7</v>
          </cell>
          <cell r="I109">
            <v>104.05</v>
          </cell>
          <cell r="J109">
            <v>2.5067193176804718E-5</v>
          </cell>
          <cell r="K109">
            <v>14978.948877614837</v>
          </cell>
          <cell r="L109">
            <v>118563.71023188665</v>
          </cell>
          <cell r="M109">
            <v>1775959754.3037694</v>
          </cell>
          <cell r="O109">
            <v>0.2</v>
          </cell>
          <cell r="P109">
            <v>5.0000000000000002E-5</v>
          </cell>
          <cell r="Q109">
            <v>3.7558117435683209E-5</v>
          </cell>
          <cell r="R109">
            <v>54.481833523815936</v>
          </cell>
          <cell r="S109">
            <v>118563.71023188665</v>
          </cell>
          <cell r="T109">
            <v>6459568.3228196008</v>
          </cell>
        </row>
        <row r="110">
          <cell r="B110" t="str">
            <v>Cryptomelane</v>
          </cell>
          <cell r="C110" t="str">
            <v>K8(Mn4+7:5Mn2+0:5)O16</v>
          </cell>
          <cell r="D110">
            <v>734.59</v>
          </cell>
          <cell r="E110">
            <v>3.0899999999999999E-8</v>
          </cell>
          <cell r="F110">
            <v>2.2698831000000002E-5</v>
          </cell>
          <cell r="G110">
            <v>4.8729299999999991E-6</v>
          </cell>
          <cell r="H110">
            <v>-3432.2</v>
          </cell>
          <cell r="I110">
            <v>3504.24</v>
          </cell>
          <cell r="J110">
            <v>1.6928166758456667E-2</v>
          </cell>
          <cell r="K110">
            <v>4672.2661620768049</v>
          </cell>
          <cell r="L110">
            <v>118563.71023188665</v>
          </cell>
          <cell r="M110">
            <v>553961211.36672342</v>
          </cell>
          <cell r="Q110" t="str">
            <v/>
          </cell>
          <cell r="R110" t="str">
            <v/>
          </cell>
          <cell r="S110">
            <v>118563.71023188665</v>
          </cell>
          <cell r="T110" t="str">
            <v/>
          </cell>
        </row>
        <row r="111">
          <cell r="B111" t="str">
            <v>Cubanite</v>
          </cell>
          <cell r="C111" t="str">
            <v>CuFe2S3</v>
          </cell>
          <cell r="D111">
            <v>271.44</v>
          </cell>
          <cell r="E111">
            <v>1.33E-8</v>
          </cell>
          <cell r="F111">
            <v>3.6101520000000001E-6</v>
          </cell>
          <cell r="G111">
            <v>2.0974099999999999E-6</v>
          </cell>
          <cell r="H111">
            <v>-302.8</v>
          </cell>
          <cell r="I111">
            <v>2405.54</v>
          </cell>
          <cell r="J111">
            <v>4.9774264211377289E-3</v>
          </cell>
          <cell r="K111">
            <v>1115.531977600943</v>
          </cell>
          <cell r="L111">
            <v>118563.71023188665</v>
          </cell>
          <cell r="M111">
            <v>132261610.14668168</v>
          </cell>
          <cell r="Q111" t="str">
            <v/>
          </cell>
          <cell r="R111" t="str">
            <v/>
          </cell>
          <cell r="S111">
            <v>118563.71023188665</v>
          </cell>
          <cell r="T111" t="str">
            <v/>
          </cell>
        </row>
        <row r="112">
          <cell r="B112" t="str">
            <v>Cummingtonite</v>
          </cell>
          <cell r="C112" t="str">
            <v>Mg7(Si8O22)(OH)2</v>
          </cell>
          <cell r="D112">
            <v>780.82</v>
          </cell>
          <cell r="E112">
            <v>3.7299999999999999E-6</v>
          </cell>
          <cell r="F112">
            <v>2.9124585999999999E-3</v>
          </cell>
          <cell r="G112">
            <v>5.8822099999999988E-4</v>
          </cell>
          <cell r="H112">
            <v>-11343</v>
          </cell>
          <cell r="I112">
            <v>179.13</v>
          </cell>
          <cell r="J112">
            <v>9.4522133995483884E-2</v>
          </cell>
          <cell r="K112">
            <v>14527.035680438512</v>
          </cell>
          <cell r="L112">
            <v>118563.71023188665</v>
          </cell>
          <cell r="M112">
            <v>1722379248.9437902</v>
          </cell>
          <cell r="Q112" t="str">
            <v/>
          </cell>
          <cell r="R112" t="str">
            <v/>
          </cell>
          <cell r="S112">
            <v>118563.71023188665</v>
          </cell>
          <cell r="T112" t="str">
            <v/>
          </cell>
        </row>
        <row r="113">
          <cell r="B113" t="str">
            <v>Dawsonite</v>
          </cell>
          <cell r="C113" t="str">
            <v>NaAl(CO3)(OH)2</v>
          </cell>
          <cell r="D113">
            <v>143.99</v>
          </cell>
          <cell r="E113">
            <v>2.5099999999999998E-9</v>
          </cell>
          <cell r="F113">
            <v>3.6141489999999999E-7</v>
          </cell>
          <cell r="G113">
            <v>3.9582699999999994E-7</v>
          </cell>
          <cell r="H113">
            <v>-1787.3</v>
          </cell>
          <cell r="I113">
            <v>1.75</v>
          </cell>
          <cell r="J113">
            <v>-1.3772193477829576E-5</v>
          </cell>
          <cell r="K113">
            <v>12412.667546357385</v>
          </cell>
          <cell r="L113">
            <v>118563.71023188665</v>
          </cell>
          <cell r="M113">
            <v>1471691918.1710606</v>
          </cell>
          <cell r="Q113" t="str">
            <v/>
          </cell>
          <cell r="R113" t="str">
            <v/>
          </cell>
          <cell r="S113">
            <v>118563.71023188665</v>
          </cell>
          <cell r="T113" t="str">
            <v/>
          </cell>
        </row>
        <row r="114">
          <cell r="B114" t="str">
            <v>Delorenzite/Tanteuxenite-(Y)</v>
          </cell>
          <cell r="C114" t="str">
            <v>Y0:7Ca0:2Ce0:12(Ta0:7)2(Nb0:2)2(Ti0:1)O5:5(OH)0:5</v>
          </cell>
          <cell r="D114">
            <v>480.83</v>
          </cell>
          <cell r="E114">
            <v>8.3300000000000003E-12</v>
          </cell>
          <cell r="F114">
            <v>4.0053139000000001E-9</v>
          </cell>
          <cell r="G114">
            <v>1.3136409999999999E-9</v>
          </cell>
          <cell r="H114">
            <v>-2549.9</v>
          </cell>
          <cell r="I114">
            <v>-439.84</v>
          </cell>
          <cell r="J114">
            <v>-6.4438425894419461E-7</v>
          </cell>
          <cell r="K114">
            <v>5303.1216854189634</v>
          </cell>
          <cell r="L114">
            <v>118563.71023188665</v>
          </cell>
          <cell r="M114">
            <v>628757782.83444834</v>
          </cell>
          <cell r="Q114" t="str">
            <v/>
          </cell>
          <cell r="R114" t="str">
            <v/>
          </cell>
          <cell r="S114">
            <v>118563.71023188665</v>
          </cell>
          <cell r="T114" t="str">
            <v/>
          </cell>
        </row>
        <row r="115">
          <cell r="B115" t="str">
            <v>Diaspore</v>
          </cell>
          <cell r="C115" t="str">
            <v>AlO(OH)</v>
          </cell>
          <cell r="D115">
            <v>59.988</v>
          </cell>
          <cell r="E115">
            <v>2.9499999999999999E-5</v>
          </cell>
          <cell r="F115">
            <v>1.7696459999999999E-3</v>
          </cell>
          <cell r="G115">
            <v>4.6521499999999999E-3</v>
          </cell>
          <cell r="H115">
            <v>-917.6</v>
          </cell>
          <cell r="I115">
            <v>0.37</v>
          </cell>
          <cell r="J115">
            <v>-6.0209586306697017E-2</v>
          </cell>
          <cell r="K115">
            <v>15296.392611855705</v>
          </cell>
          <cell r="L115">
            <v>118563.71023188665</v>
          </cell>
          <cell r="M115">
            <v>1813597061.2252316</v>
          </cell>
          <cell r="Q115" t="str">
            <v/>
          </cell>
          <cell r="R115" t="str">
            <v/>
          </cell>
          <cell r="S115">
            <v>118563.71023188665</v>
          </cell>
          <cell r="T115" t="str">
            <v/>
          </cell>
        </row>
        <row r="116">
          <cell r="B116" t="str">
            <v>Dietzeite</v>
          </cell>
          <cell r="C116" t="str">
            <v>Ca2(IO3)2(CrO4)</v>
          </cell>
          <cell r="D116">
            <v>545.96</v>
          </cell>
          <cell r="E116">
            <v>2.76E-9</v>
          </cell>
          <cell r="F116">
            <v>1.5068496000000001E-6</v>
          </cell>
          <cell r="G116">
            <v>4.3525199999999999E-7</v>
          </cell>
          <cell r="H116">
            <v>-2148.1</v>
          </cell>
          <cell r="I116">
            <v>93.78</v>
          </cell>
          <cell r="J116">
            <v>2.5014756023718318E-5</v>
          </cell>
          <cell r="K116">
            <v>3934.5373287420321</v>
          </cell>
          <cell r="L116">
            <v>118563.71023188665</v>
          </cell>
          <cell r="M116">
            <v>466493343.74151164</v>
          </cell>
          <cell r="Q116" t="str">
            <v/>
          </cell>
          <cell r="R116" t="str">
            <v/>
          </cell>
          <cell r="S116">
            <v>118563.71023188665</v>
          </cell>
          <cell r="T116" t="str">
            <v/>
          </cell>
        </row>
        <row r="117">
          <cell r="B117" t="str">
            <v>Diopside</v>
          </cell>
          <cell r="C117" t="str">
            <v>CaMgSi2O6</v>
          </cell>
          <cell r="D117">
            <v>216.55</v>
          </cell>
          <cell r="E117">
            <v>1.4E-5</v>
          </cell>
          <cell r="F117">
            <v>3.0317E-3</v>
          </cell>
          <cell r="G117">
            <v>2.2077999999999998E-3</v>
          </cell>
          <cell r="H117">
            <v>-3026.3</v>
          </cell>
          <cell r="I117">
            <v>48.379999999999995</v>
          </cell>
          <cell r="J117">
            <v>7.3343426059517491E-2</v>
          </cell>
          <cell r="K117">
            <v>13975.063495728469</v>
          </cell>
          <cell r="L117">
            <v>118563.71023188665</v>
          </cell>
          <cell r="M117">
            <v>1656935378.7797673</v>
          </cell>
          <cell r="Q117" t="str">
            <v/>
          </cell>
          <cell r="R117" t="str">
            <v/>
          </cell>
          <cell r="S117">
            <v>118563.71023188665</v>
          </cell>
          <cell r="T117" t="str">
            <v/>
          </cell>
        </row>
        <row r="118">
          <cell r="B118" t="str">
            <v>Distene/Kyanite</v>
          </cell>
          <cell r="C118" t="str">
            <v>Al2SiO5</v>
          </cell>
          <cell r="D118">
            <v>162.05000000000001</v>
          </cell>
          <cell r="E118">
            <v>4.3699999999999997E-6</v>
          </cell>
          <cell r="F118">
            <v>7.0815850000000003E-4</v>
          </cell>
          <cell r="G118">
            <v>6.891489999999999E-4</v>
          </cell>
          <cell r="H118">
            <v>-2442</v>
          </cell>
          <cell r="I118">
            <v>14.22</v>
          </cell>
          <cell r="J118">
            <v>-2.6366389771019265E-3</v>
          </cell>
          <cell r="K118">
            <v>15069.423017587163</v>
          </cell>
          <cell r="L118">
            <v>118563.71023188665</v>
          </cell>
          <cell r="M118">
            <v>1786686704.0189273</v>
          </cell>
          <cell r="Q118" t="str">
            <v/>
          </cell>
          <cell r="R118" t="str">
            <v/>
          </cell>
          <cell r="S118">
            <v>118563.71023188665</v>
          </cell>
          <cell r="T118" t="str">
            <v/>
          </cell>
        </row>
        <row r="119">
          <cell r="B119" t="str">
            <v>Dolomite</v>
          </cell>
          <cell r="C119" t="str">
            <v>CaMg(CO3)2</v>
          </cell>
          <cell r="D119">
            <v>184.4</v>
          </cell>
          <cell r="E119">
            <v>7.6299999999999998E-6</v>
          </cell>
          <cell r="F119">
            <v>1.406972E-3</v>
          </cell>
          <cell r="G119">
            <v>1.2032509999999998E-3</v>
          </cell>
          <cell r="H119">
            <v>-2167.9</v>
          </cell>
          <cell r="I119">
            <v>30.98</v>
          </cell>
          <cell r="J119">
            <v>1.7225227392313049E-2</v>
          </cell>
          <cell r="K119">
            <v>11756.507592190888</v>
          </cell>
          <cell r="L119">
            <v>118563.71023188665</v>
          </cell>
          <cell r="M119">
            <v>1393895159.499496</v>
          </cell>
          <cell r="Q119" t="str">
            <v/>
          </cell>
          <cell r="R119" t="str">
            <v/>
          </cell>
          <cell r="S119">
            <v>118563.71023188665</v>
          </cell>
          <cell r="T119" t="str">
            <v/>
          </cell>
        </row>
        <row r="120">
          <cell r="B120" t="str">
            <v>Dumortierite</v>
          </cell>
          <cell r="C120" t="str">
            <v>Al6:9(BO3)(SiO4)3O2:5(OH)0:5</v>
          </cell>
          <cell r="D120">
            <v>569.73</v>
          </cell>
          <cell r="E120">
            <v>1.3299999999999999E-13</v>
          </cell>
          <cell r="F120">
            <v>7.5774089999999996E-11</v>
          </cell>
          <cell r="G120">
            <v>2.0974099999999998E-11</v>
          </cell>
          <cell r="H120">
            <v>-8568</v>
          </cell>
          <cell r="I120">
            <v>120.84</v>
          </cell>
          <cell r="J120">
            <v>1.2561694371510314E-9</v>
          </cell>
          <cell r="K120">
            <v>15038.702543309988</v>
          </cell>
          <cell r="L120">
            <v>118563.71023188665</v>
          </cell>
          <cell r="M120">
            <v>1783044370.6085422</v>
          </cell>
          <cell r="Q120" t="str">
            <v/>
          </cell>
          <cell r="R120" t="str">
            <v/>
          </cell>
          <cell r="S120">
            <v>118563.71023188665</v>
          </cell>
          <cell r="T120" t="str">
            <v/>
          </cell>
        </row>
        <row r="121">
          <cell r="B121" t="str">
            <v>Enstatite</v>
          </cell>
          <cell r="C121" t="str">
            <v>Mg2Si2O6</v>
          </cell>
          <cell r="D121">
            <v>200.78</v>
          </cell>
          <cell r="E121">
            <v>1.39E-6</v>
          </cell>
          <cell r="F121">
            <v>2.7908419999999999E-4</v>
          </cell>
          <cell r="G121">
            <v>2.1920299999999998E-4</v>
          </cell>
          <cell r="H121">
            <v>-2919.9</v>
          </cell>
          <cell r="I121">
            <v>29.49</v>
          </cell>
          <cell r="J121">
            <v>1.8861714818981358E-3</v>
          </cell>
          <cell r="K121">
            <v>14542.783145731646</v>
          </cell>
          <cell r="L121">
            <v>118563.71023188665</v>
          </cell>
          <cell r="M121">
            <v>1724246326.8556919</v>
          </cell>
          <cell r="Q121" t="str">
            <v/>
          </cell>
          <cell r="R121" t="str">
            <v/>
          </cell>
          <cell r="S121">
            <v>118563.71023188665</v>
          </cell>
          <cell r="T121" t="str">
            <v/>
          </cell>
        </row>
        <row r="122">
          <cell r="B122" t="str">
            <v>Epidote</v>
          </cell>
          <cell r="C122" t="str">
            <v>Ca2Fe3+Al2(SiO4)3(OH)</v>
          </cell>
          <cell r="D122">
            <v>483.21249999999998</v>
          </cell>
          <cell r="E122">
            <v>1.8700000000000001E-5</v>
          </cell>
          <cell r="F122">
            <v>9.03607375E-3</v>
          </cell>
          <cell r="G122">
            <v>2.9489899999999999E-3</v>
          </cell>
          <cell r="H122">
            <v>-6076.3</v>
          </cell>
          <cell r="I122">
            <v>76.275000000000006</v>
          </cell>
          <cell r="J122">
            <v>0.18234393956799613</v>
          </cell>
          <cell r="K122">
            <v>12574.798872131827</v>
          </cell>
          <cell r="L122">
            <v>118563.71023188665</v>
          </cell>
          <cell r="M122">
            <v>1490914809.699693</v>
          </cell>
          <cell r="Q122" t="str">
            <v/>
          </cell>
          <cell r="R122" t="str">
            <v/>
          </cell>
          <cell r="S122">
            <v>118563.71023188665</v>
          </cell>
          <cell r="T122" t="str">
            <v/>
          </cell>
        </row>
        <row r="123">
          <cell r="B123" t="str">
            <v>Eudyalite</v>
          </cell>
          <cell r="C123" t="str">
            <v>Na4Ca2Fe2+0:7Mn0:3ZrSi8O22(OH)1:5Cl1:5</v>
          </cell>
          <cell r="D123">
            <v>974.31200000000001</v>
          </cell>
          <cell r="E123">
            <v>4.3000000000000001E-10</v>
          </cell>
          <cell r="F123">
            <v>4.1895416000000003E-7</v>
          </cell>
          <cell r="G123">
            <v>6.7810999999999998E-8</v>
          </cell>
          <cell r="H123">
            <v>-11062.9</v>
          </cell>
          <cell r="I123">
            <v>553.83000000000004</v>
          </cell>
          <cell r="J123">
            <v>3.4781161743143751E-5</v>
          </cell>
          <cell r="K123">
            <v>11354.576357470707</v>
          </cell>
          <cell r="L123">
            <v>118563.71023188665</v>
          </cell>
          <cell r="M123">
            <v>1346240701.0529881</v>
          </cell>
          <cell r="Q123" t="str">
            <v/>
          </cell>
          <cell r="R123" t="str">
            <v/>
          </cell>
          <cell r="S123">
            <v>118563.71023188665</v>
          </cell>
          <cell r="T123" t="str">
            <v/>
          </cell>
        </row>
        <row r="124">
          <cell r="B124" t="str">
            <v>Euxenite</v>
          </cell>
          <cell r="C124" t="str">
            <v>Y0:7Ca0:2Ce0:1(Ta0:2)2(Nb0:7)2(Ti0:025)O6</v>
          </cell>
          <cell r="D124">
            <v>388.68900000000002</v>
          </cell>
          <cell r="E124">
            <v>1.02E-8</v>
          </cell>
          <cell r="F124">
            <v>3.9646278000000002E-6</v>
          </cell>
          <cell r="G124">
            <v>1.60854E-6</v>
          </cell>
          <cell r="H124">
            <v>-2506.3000000000002</v>
          </cell>
          <cell r="I124">
            <v>138.5</v>
          </cell>
          <cell r="J124">
            <v>1.695917469789707E-4</v>
          </cell>
          <cell r="K124">
            <v>6448.0857446441751</v>
          </cell>
          <cell r="L124">
            <v>118563.71023188665</v>
          </cell>
          <cell r="M124">
            <v>764508969.77835107</v>
          </cell>
          <cell r="Q124" t="str">
            <v/>
          </cell>
          <cell r="R124" t="str">
            <v/>
          </cell>
          <cell r="S124">
            <v>118563.71023188665</v>
          </cell>
          <cell r="T124" t="str">
            <v/>
          </cell>
        </row>
        <row r="125">
          <cell r="B125" t="str">
            <v>Fayalite</v>
          </cell>
          <cell r="C125" t="str">
            <v>Fe2+2SiO4</v>
          </cell>
          <cell r="D125">
            <v>203.78</v>
          </cell>
          <cell r="E125">
            <v>2.34E-7</v>
          </cell>
          <cell r="F125">
            <v>4.7684520000000002E-5</v>
          </cell>
          <cell r="G125">
            <v>3.69018E-5</v>
          </cell>
          <cell r="H125">
            <v>-1369.2</v>
          </cell>
          <cell r="I125">
            <v>256.565</v>
          </cell>
          <cell r="J125">
            <v>8.5340236737739741E-3</v>
          </cell>
          <cell r="K125">
            <v>6719.0106978113654</v>
          </cell>
          <cell r="L125">
            <v>118563.71023188665</v>
          </cell>
          <cell r="M125">
            <v>796630837.42025328</v>
          </cell>
          <cell r="Q125" t="str">
            <v/>
          </cell>
          <cell r="R125" t="str">
            <v/>
          </cell>
          <cell r="S125">
            <v>118563.71023188665</v>
          </cell>
          <cell r="T125" t="str">
            <v/>
          </cell>
        </row>
        <row r="126">
          <cell r="B126" t="str">
            <v>Fergusonite</v>
          </cell>
          <cell r="C126" t="str">
            <v>Nd0:4Ce0:4Sm0:1Y0;1NbO4</v>
          </cell>
          <cell r="D126">
            <v>294.58100000000002</v>
          </cell>
          <cell r="E126">
            <v>8.0799999999999995E-11</v>
          </cell>
          <cell r="F126">
            <v>2.38021448E-8</v>
          </cell>
          <cell r="G126">
            <v>1.2742159999999999E-8</v>
          </cell>
          <cell r="H126">
            <v>-2631.2</v>
          </cell>
          <cell r="I126">
            <v>-717.15</v>
          </cell>
          <cell r="J126">
            <v>-9.7122124812810267E-6</v>
          </cell>
          <cell r="K126">
            <v>8932.0085137873793</v>
          </cell>
          <cell r="L126">
            <v>118563.71023188665</v>
          </cell>
          <cell r="M126">
            <v>1059012069.2174314</v>
          </cell>
          <cell r="Q126" t="str">
            <v/>
          </cell>
          <cell r="R126" t="str">
            <v/>
          </cell>
          <cell r="S126">
            <v>118563.71023188665</v>
          </cell>
          <cell r="T126" t="str">
            <v/>
          </cell>
        </row>
        <row r="127">
          <cell r="B127" t="str">
            <v>Ferrocolum-bite/Columbite-(Fe)</v>
          </cell>
          <cell r="C127" t="str">
            <v>Fe2+Nb2O6</v>
          </cell>
          <cell r="D127">
            <v>337.66</v>
          </cell>
          <cell r="E127">
            <v>2.4E-8</v>
          </cell>
          <cell r="F127">
            <v>8.1038400000000013E-6</v>
          </cell>
          <cell r="G127">
            <v>3.7847999999999997E-6</v>
          </cell>
          <cell r="H127">
            <v>-2018.6</v>
          </cell>
          <cell r="I127">
            <v>547.87</v>
          </cell>
          <cell r="J127">
            <v>1.9564506985136178E-3</v>
          </cell>
          <cell r="K127">
            <v>5978.2029260202562</v>
          </cell>
          <cell r="L127">
            <v>118563.71023188665</v>
          </cell>
          <cell r="M127">
            <v>708797919.42808259</v>
          </cell>
          <cell r="Q127" t="str">
            <v/>
          </cell>
          <cell r="R127" t="str">
            <v/>
          </cell>
          <cell r="S127">
            <v>118563.71023188665</v>
          </cell>
          <cell r="T127" t="str">
            <v/>
          </cell>
        </row>
        <row r="128">
          <cell r="B128" t="str">
            <v>Ferrosilite</v>
          </cell>
          <cell r="C128" t="str">
            <v>Fe2+MgSi2O6</v>
          </cell>
          <cell r="D128">
            <v>232.32</v>
          </cell>
          <cell r="E128">
            <v>2.3199999999999998E-6</v>
          </cell>
          <cell r="F128">
            <v>5.3898239999999994E-4</v>
          </cell>
          <cell r="G128">
            <v>3.6586399999999992E-4</v>
          </cell>
          <cell r="H128">
            <v>-2594.6</v>
          </cell>
          <cell r="I128">
            <v>139.98000000000002</v>
          </cell>
          <cell r="J128">
            <v>4.4037032868373828E-2</v>
          </cell>
          <cell r="K128">
            <v>11168.216253443527</v>
          </cell>
          <cell r="L128">
            <v>118563.71023188665</v>
          </cell>
          <cell r="M128">
            <v>1324145155.680325</v>
          </cell>
          <cell r="Q128" t="str">
            <v/>
          </cell>
          <cell r="R128" t="str">
            <v/>
          </cell>
          <cell r="S128">
            <v>118563.71023188665</v>
          </cell>
          <cell r="T128" t="str">
            <v/>
          </cell>
        </row>
        <row r="129">
          <cell r="B129" t="str">
            <v>Ferrotantalite/Tantalite-(Fe)</v>
          </cell>
          <cell r="C129" t="str">
            <v>Fe2+Ta2O6</v>
          </cell>
          <cell r="D129">
            <v>513.74</v>
          </cell>
          <cell r="E129">
            <v>3.0700000000000003E-10</v>
          </cell>
          <cell r="F129">
            <v>1.5771818000000003E-7</v>
          </cell>
          <cell r="G129">
            <v>4.84139E-8</v>
          </cell>
          <cell r="H129">
            <v>-2163.9</v>
          </cell>
          <cell r="I129">
            <v>551.61</v>
          </cell>
          <cell r="J129">
            <v>2.4684217269292448E-5</v>
          </cell>
          <cell r="K129">
            <v>4212.0527893486978</v>
          </cell>
          <cell r="L129">
            <v>118563.71023188665</v>
          </cell>
          <cell r="M129">
            <v>499396606.39774895</v>
          </cell>
          <cell r="N129" t="str">
            <v>Ta</v>
          </cell>
          <cell r="O129">
            <v>0.70443376026783977</v>
          </cell>
          <cell r="P129">
            <v>1.5999999999999999E-6</v>
          </cell>
          <cell r="Q129">
            <v>4.9114337991980374E-7</v>
          </cell>
          <cell r="R129">
            <v>11.179386029494784</v>
          </cell>
          <cell r="S129">
            <v>118563.71023188665</v>
          </cell>
          <cell r="T129">
            <v>1325469.4857714216</v>
          </cell>
        </row>
        <row r="130">
          <cell r="B130" t="str">
            <v>Fluorite</v>
          </cell>
          <cell r="C130" t="str">
            <v>CaF2</v>
          </cell>
          <cell r="D130">
            <v>78.075199999999995</v>
          </cell>
          <cell r="E130">
            <v>1.4399999999999999E-7</v>
          </cell>
          <cell r="F130">
            <v>1.1242828799999998E-5</v>
          </cell>
          <cell r="G130">
            <v>2.2708799999999998E-5</v>
          </cell>
          <cell r="H130">
            <v>-1168.0999999999999</v>
          </cell>
          <cell r="I130">
            <v>47.545000000000002</v>
          </cell>
          <cell r="J130">
            <v>4.7778377622541821E-4</v>
          </cell>
          <cell r="K130">
            <v>14961.216878086769</v>
          </cell>
          <cell r="L130">
            <v>118563.71023188665</v>
          </cell>
          <cell r="M130">
            <v>1773857382.6498916</v>
          </cell>
          <cell r="P130">
            <v>0.92</v>
          </cell>
          <cell r="Q130">
            <v>1.8582597290817058</v>
          </cell>
          <cell r="R130">
            <v>359.1587261825382</v>
          </cell>
          <cell r="S130">
            <v>118563.71023188665</v>
          </cell>
          <cell r="T130">
            <v>42583191.138359979</v>
          </cell>
        </row>
        <row r="131">
          <cell r="B131" t="str">
            <v>Forsterite</v>
          </cell>
          <cell r="C131" t="str">
            <v>Mg2SiO4</v>
          </cell>
          <cell r="D131">
            <v>140.69</v>
          </cell>
          <cell r="E131">
            <v>4.9500000000000003E-7</v>
          </cell>
          <cell r="F131">
            <v>6.9641550000000004E-5</v>
          </cell>
          <cell r="G131">
            <v>7.8061500000000005E-5</v>
          </cell>
          <cell r="H131">
            <v>-2057.8000000000002</v>
          </cell>
          <cell r="I131">
            <v>63.39</v>
          </cell>
          <cell r="J131">
            <v>3.1181896681884928E-3</v>
          </cell>
          <cell r="K131">
            <v>14626.48375861824</v>
          </cell>
          <cell r="L131">
            <v>118563.71023188665</v>
          </cell>
          <cell r="M131">
            <v>1734170182.0682094</v>
          </cell>
          <cell r="Q131" t="str">
            <v/>
          </cell>
          <cell r="R131" t="str">
            <v/>
          </cell>
          <cell r="S131">
            <v>118563.71023188665</v>
          </cell>
          <cell r="T131" t="str">
            <v/>
          </cell>
        </row>
        <row r="132">
          <cell r="B132" t="str">
            <v>Francolite</v>
          </cell>
          <cell r="C132" t="str">
            <v>Ca5(PO4)2:63(CO3)0:5F1:11</v>
          </cell>
          <cell r="D132">
            <v>501.2561</v>
          </cell>
          <cell r="E132">
            <v>8.6799999999999996E-8</v>
          </cell>
          <cell r="F132">
            <v>4.3509029479999997E-5</v>
          </cell>
          <cell r="G132">
            <v>1.3688359999999998E-5</v>
          </cell>
          <cell r="H132">
            <v>-5698.1</v>
          </cell>
          <cell r="I132">
            <v>720.72</v>
          </cell>
          <cell r="J132">
            <v>9.4854831031927142E-3</v>
          </cell>
          <cell r="K132">
            <v>11367.642209241942</v>
          </cell>
          <cell r="L132">
            <v>118563.71023188665</v>
          </cell>
          <cell r="M132">
            <v>1347789836.9163253</v>
          </cell>
          <cell r="Q132" t="str">
            <v/>
          </cell>
          <cell r="R132" t="str">
            <v/>
          </cell>
          <cell r="S132">
            <v>118563.71023188665</v>
          </cell>
          <cell r="T132" t="str">
            <v/>
          </cell>
        </row>
        <row r="133">
          <cell r="B133" t="str">
            <v>Freibergite</v>
          </cell>
          <cell r="C133" t="str">
            <v>Ag7.2Cu3.6Fe2+1.2Sb3AsS13</v>
          </cell>
          <cell r="D133">
            <v>1929.46</v>
          </cell>
          <cell r="E133">
            <v>3.5199999999999999E-12</v>
          </cell>
          <cell r="F133">
            <v>6.7916991999999998E-9</v>
          </cell>
          <cell r="G133">
            <v>5.5510399999999991E-10</v>
          </cell>
          <cell r="H133">
            <v>-727.5</v>
          </cell>
          <cell r="I133">
            <v>10410.629999999999</v>
          </cell>
          <cell r="J133">
            <v>5.7496571773107147E-6</v>
          </cell>
          <cell r="K133">
            <v>377.04850061675285</v>
          </cell>
          <cell r="L133">
            <v>118563.71023188665</v>
          </cell>
          <cell r="M133">
            <v>44704269.170492023</v>
          </cell>
          <cell r="Q133" t="str">
            <v/>
          </cell>
          <cell r="R133" t="str">
            <v/>
          </cell>
          <cell r="S133">
            <v>118563.71023188665</v>
          </cell>
          <cell r="T133" t="str">
            <v/>
          </cell>
        </row>
        <row r="134">
          <cell r="B134" t="str">
            <v>Gadolinite</v>
          </cell>
          <cell r="C134" t="str">
            <v>Y2Fe2+Be2(Si2O10)</v>
          </cell>
          <cell r="D134">
            <v>467.85</v>
          </cell>
          <cell r="E134">
            <v>1.4100000000000001E-9</v>
          </cell>
          <cell r="F134">
            <v>6.5966850000000009E-7</v>
          </cell>
          <cell r="G134">
            <v>2.2235700000000001E-7</v>
          </cell>
          <cell r="H134">
            <v>-4943.3</v>
          </cell>
          <cell r="I134">
            <v>303.58999999999997</v>
          </cell>
          <cell r="J134">
            <v>5.9061802764834576E-5</v>
          </cell>
          <cell r="K134">
            <v>10565.993373944641</v>
          </cell>
          <cell r="L134">
            <v>118563.71023188665</v>
          </cell>
          <cell r="M134">
            <v>1252743376.7004068</v>
          </cell>
          <cell r="N134" t="str">
            <v>Gd</v>
          </cell>
          <cell r="O134">
            <v>0.33611200170994976</v>
          </cell>
          <cell r="P134">
            <v>1.9599999999999999E-2</v>
          </cell>
          <cell r="Q134">
            <v>6.6066474297317504E-3</v>
          </cell>
          <cell r="R134">
            <v>54.569003355596287</v>
          </cell>
          <cell r="S134">
            <v>118563.71023188665</v>
          </cell>
          <cell r="T134">
            <v>6469903.5014957683</v>
          </cell>
        </row>
        <row r="135">
          <cell r="B135" t="str">
            <v>Galena</v>
          </cell>
          <cell r="C135" t="str">
            <v>PbS</v>
          </cell>
          <cell r="D135">
            <v>239.27549999999999</v>
          </cell>
          <cell r="E135">
            <v>2.7899999999999998E-8</v>
          </cell>
          <cell r="F135">
            <v>6.6757864499999994E-6</v>
          </cell>
          <cell r="G135">
            <v>4.3998299999999993E-6</v>
          </cell>
          <cell r="H135">
            <v>-95.9</v>
          </cell>
          <cell r="I135">
            <v>742.13499999999999</v>
          </cell>
          <cell r="J135">
            <v>3.1307491171819685E-3</v>
          </cell>
          <cell r="K135">
            <v>400.79322789002634</v>
          </cell>
          <cell r="L135">
            <v>118563.71023188665</v>
          </cell>
          <cell r="M135">
            <v>47519532.134455599</v>
          </cell>
          <cell r="N135" t="str">
            <v>Pb</v>
          </cell>
          <cell r="O135">
            <v>0.86594741208356052</v>
          </cell>
          <cell r="P135">
            <v>0.03</v>
          </cell>
          <cell r="Q135">
            <v>1.9772187290382843E-2</v>
          </cell>
          <cell r="R135">
            <v>87.129785021635811</v>
          </cell>
          <cell r="S135">
            <v>118563.71023188665</v>
          </cell>
          <cell r="T135">
            <v>10330430.583871806</v>
          </cell>
        </row>
        <row r="136">
          <cell r="B136" t="str">
            <v>Garnierite</v>
          </cell>
          <cell r="C136" t="str">
            <v>(Ni2Mg)Si2O5(OH)4</v>
          </cell>
          <cell r="D136">
            <v>345.89</v>
          </cell>
          <cell r="E136">
            <v>1.18E-8</v>
          </cell>
          <cell r="F136">
            <v>4.0815019999999994E-6</v>
          </cell>
          <cell r="G136">
            <v>1.8608599999999998E-6</v>
          </cell>
          <cell r="H136">
            <v>-3267.1</v>
          </cell>
          <cell r="I136">
            <v>26</v>
          </cell>
          <cell r="J136">
            <v>-1.2480246027353301E-5</v>
          </cell>
          <cell r="K136">
            <v>9445.4884500852877</v>
          </cell>
          <cell r="L136">
            <v>118563.71023188665</v>
          </cell>
          <cell r="M136">
            <v>1119892155.5945442</v>
          </cell>
          <cell r="P136">
            <v>3.1E-2</v>
          </cell>
          <cell r="Q136">
            <v>1.4133684119228657E-2</v>
          </cell>
          <cell r="R136">
            <v>64.034624725296609</v>
          </cell>
          <cell r="S136">
            <v>118563.71023188665</v>
          </cell>
          <cell r="T136">
            <v>7592182.6907376712</v>
          </cell>
        </row>
        <row r="137">
          <cell r="B137" t="str">
            <v>Gedrite</v>
          </cell>
          <cell r="C137" t="str">
            <v>Mg5Al2(Si6Al2O22)(OH)2</v>
          </cell>
          <cell r="D137">
            <v>783.97</v>
          </cell>
          <cell r="E137">
            <v>4.1199999999999998E-8</v>
          </cell>
          <cell r="F137">
            <v>3.2299564E-5</v>
          </cell>
          <cell r="G137">
            <v>6.4972399999999996E-6</v>
          </cell>
          <cell r="H137">
            <v>-11584.2</v>
          </cell>
          <cell r="I137">
            <v>-580.1</v>
          </cell>
          <cell r="J137">
            <v>-3.9614149517095626E-3</v>
          </cell>
          <cell r="K137">
            <v>14776.330726941082</v>
          </cell>
          <cell r="L137">
            <v>118563.71023188665</v>
          </cell>
          <cell r="M137">
            <v>1751936594.5995655</v>
          </cell>
          <cell r="Q137" t="str">
            <v/>
          </cell>
          <cell r="R137" t="str">
            <v/>
          </cell>
          <cell r="S137">
            <v>118563.71023188665</v>
          </cell>
          <cell r="T137" t="str">
            <v/>
          </cell>
        </row>
        <row r="138">
          <cell r="B138" t="str">
            <v>Gersdor_x000E_te</v>
          </cell>
          <cell r="C138" t="str">
            <v>NiAsS</v>
          </cell>
          <cell r="D138">
            <v>165.68</v>
          </cell>
          <cell r="E138">
            <v>9.6999999999999992E-9</v>
          </cell>
          <cell r="F138">
            <v>1.6070959999999999E-6</v>
          </cell>
          <cell r="G138">
            <v>1.5296899999999997E-6</v>
          </cell>
          <cell r="H138">
            <v>-144.30000000000001</v>
          </cell>
          <cell r="I138">
            <v>1189.0899999999999</v>
          </cell>
          <cell r="J138">
            <v>1.7681648590775617E-3</v>
          </cell>
          <cell r="K138">
            <v>870.95605987445674</v>
          </cell>
          <cell r="L138">
            <v>118563.71023188665</v>
          </cell>
          <cell r="M138">
            <v>103263781.90766081</v>
          </cell>
          <cell r="Q138" t="str">
            <v/>
          </cell>
          <cell r="R138" t="str">
            <v/>
          </cell>
          <cell r="S138">
            <v>118563.71023188665</v>
          </cell>
          <cell r="T138" t="str">
            <v/>
          </cell>
        </row>
        <row r="139">
          <cell r="B139" t="str">
            <v>Glauconite</v>
          </cell>
          <cell r="C139" t="str">
            <v>(K0:6Na0:05)(Fe3+1:3Mg0:4Fe2+0:2Al3+0:15)(Si3:8Al0:2)O10(OH)2</v>
          </cell>
          <cell r="D139">
            <v>428.279</v>
          </cell>
          <cell r="E139">
            <v>1.2100000000000001E-8</v>
          </cell>
          <cell r="F139">
            <v>5.1821759000000004E-6</v>
          </cell>
          <cell r="G139">
            <v>1.9081699999999998E-6</v>
          </cell>
          <cell r="H139">
            <v>-4785.6000000000004</v>
          </cell>
          <cell r="I139">
            <v>52.59</v>
          </cell>
          <cell r="J139">
            <v>3.8059451095994938E-5</v>
          </cell>
          <cell r="K139">
            <v>11174.024409321961</v>
          </cell>
          <cell r="L139">
            <v>118563.71023188665</v>
          </cell>
          <cell r="M139">
            <v>1324833792.1908774</v>
          </cell>
          <cell r="Q139" t="str">
            <v/>
          </cell>
          <cell r="R139" t="str">
            <v/>
          </cell>
          <cell r="S139">
            <v>118563.71023188665</v>
          </cell>
          <cell r="T139" t="str">
            <v/>
          </cell>
        </row>
        <row r="140">
          <cell r="B140" t="str">
            <v>Glaucophane</v>
          </cell>
          <cell r="C140" t="str">
            <v>Na2(Mg3Al2)Si8O22(OH)2</v>
          </cell>
          <cell r="D140">
            <v>783.54</v>
          </cell>
          <cell r="E140">
            <v>3.6500000000000002E-6</v>
          </cell>
          <cell r="F140">
            <v>2.8599210000000001E-3</v>
          </cell>
          <cell r="G140">
            <v>5.7560499999999998E-4</v>
          </cell>
          <cell r="H140">
            <v>-11346.7</v>
          </cell>
          <cell r="I140">
            <v>-76.38</v>
          </cell>
          <cell r="J140">
            <v>-5.4608918922916125E-2</v>
          </cell>
          <cell r="K140">
            <v>14481.328330397939</v>
          </cell>
          <cell r="L140">
            <v>118563.71023188665</v>
          </cell>
          <cell r="M140">
            <v>1716960015.9381123</v>
          </cell>
          <cell r="Q140" t="str">
            <v/>
          </cell>
          <cell r="R140" t="str">
            <v/>
          </cell>
          <cell r="S140">
            <v>118563.71023188665</v>
          </cell>
          <cell r="T140" t="str">
            <v/>
          </cell>
        </row>
        <row r="141">
          <cell r="B141" t="str">
            <v>Goethite</v>
          </cell>
          <cell r="C141" t="str">
            <v>Fe3+O(OH)</v>
          </cell>
          <cell r="D141">
            <v>88.85</v>
          </cell>
          <cell r="E141">
            <v>1.17E-5</v>
          </cell>
          <cell r="F141">
            <v>1.039545E-3</v>
          </cell>
          <cell r="G141">
            <v>1.8450899999999998E-3</v>
          </cell>
          <cell r="H141">
            <v>-489.2</v>
          </cell>
          <cell r="I141">
            <v>9.4450000000000003</v>
          </cell>
          <cell r="J141">
            <v>-1.1365255261102464E-2</v>
          </cell>
          <cell r="K141">
            <v>5505.9088351153632</v>
          </cell>
          <cell r="L141">
            <v>118563.71023188665</v>
          </cell>
          <cell r="M141">
            <v>652800979.68980253</v>
          </cell>
          <cell r="Q141" t="str">
            <v/>
          </cell>
          <cell r="R141" t="str">
            <v/>
          </cell>
          <cell r="S141">
            <v>118563.71023188665</v>
          </cell>
          <cell r="T141" t="str">
            <v/>
          </cell>
        </row>
        <row r="142">
          <cell r="B142" t="str">
            <v>Gold</v>
          </cell>
          <cell r="C142" t="str">
            <v>Au</v>
          </cell>
          <cell r="D142">
            <v>196.97</v>
          </cell>
          <cell r="E142">
            <v>6.4699999999999997E-12</v>
          </cell>
          <cell r="F142">
            <v>1.2743959E-9</v>
          </cell>
          <cell r="G142">
            <v>1.0203189999999999E-9</v>
          </cell>
          <cell r="H142">
            <v>-0.81717256434990104</v>
          </cell>
          <cell r="I142">
            <v>59.08</v>
          </cell>
          <cell r="J142">
            <v>7.918323421224858E-9</v>
          </cell>
          <cell r="K142">
            <v>4.1487158671366249</v>
          </cell>
          <cell r="L142">
            <v>118563.71023188665</v>
          </cell>
          <cell r="M142">
            <v>491887.14590561716</v>
          </cell>
          <cell r="N142" t="str">
            <v>Au</v>
          </cell>
          <cell r="O142">
            <v>1</v>
          </cell>
          <cell r="P142">
            <v>1.1000000000000001E-6</v>
          </cell>
          <cell r="Q142">
            <v>8.8069249124232116E-7</v>
          </cell>
          <cell r="R142">
            <v>85.080405861361115</v>
          </cell>
          <cell r="S142">
            <v>118563.71023188665</v>
          </cell>
          <cell r="T142">
            <v>10087448.58695773</v>
          </cell>
        </row>
        <row r="143">
          <cell r="B143" t="str">
            <v>Gold (0.00013% mineral in ground)</v>
          </cell>
          <cell r="C143" t="str">
            <v>Au</v>
          </cell>
          <cell r="D143">
            <v>196.97</v>
          </cell>
          <cell r="E143">
            <v>6.4699999999999997E-12</v>
          </cell>
          <cell r="F143">
            <v>1.2743959E-9</v>
          </cell>
          <cell r="G143">
            <v>1.0203189999999999E-9</v>
          </cell>
          <cell r="H143">
            <v>-0.81717256434990104</v>
          </cell>
          <cell r="I143">
            <v>59.08</v>
          </cell>
          <cell r="J143">
            <v>7.918323421224858E-9</v>
          </cell>
          <cell r="K143">
            <v>4.1487158671366249</v>
          </cell>
          <cell r="L143">
            <v>118563.71023188665</v>
          </cell>
          <cell r="M143">
            <v>491887.14590561716</v>
          </cell>
          <cell r="N143" t="str">
            <v>Au</v>
          </cell>
          <cell r="O143">
            <v>1</v>
          </cell>
          <cell r="P143">
            <v>1.3E-6</v>
          </cell>
          <cell r="Q143">
            <v>1.040818398740925E-6</v>
          </cell>
          <cell r="R143">
            <v>87.182740510272481</v>
          </cell>
          <cell r="S143">
            <v>118563.71023188665</v>
          </cell>
          <cell r="T143">
            <v>10336709.183081713</v>
          </cell>
        </row>
        <row r="144">
          <cell r="B144" t="str">
            <v>Gold (0.00014% mineral in ground)</v>
          </cell>
          <cell r="C144" t="str">
            <v>Au</v>
          </cell>
          <cell r="D144">
            <v>196.97</v>
          </cell>
          <cell r="E144">
            <v>6.4699999999999997E-12</v>
          </cell>
          <cell r="F144">
            <v>1.2743959E-9</v>
          </cell>
          <cell r="G144">
            <v>1.0203189999999999E-9</v>
          </cell>
          <cell r="H144">
            <v>-0.81717256434990104</v>
          </cell>
          <cell r="I144">
            <v>59.08</v>
          </cell>
          <cell r="J144">
            <v>7.918323421224858E-9</v>
          </cell>
          <cell r="K144">
            <v>4.1487158671366249</v>
          </cell>
          <cell r="L144">
            <v>118563.71023188665</v>
          </cell>
          <cell r="M144">
            <v>491887.14590561716</v>
          </cell>
          <cell r="N144" t="str">
            <v>Au</v>
          </cell>
          <cell r="O144">
            <v>1</v>
          </cell>
          <cell r="P144">
            <v>1.3999999999999999E-6</v>
          </cell>
          <cell r="Q144">
            <v>1.1208813524902267E-6</v>
          </cell>
          <cell r="R144">
            <v>88.115371148628142</v>
          </cell>
          <cell r="S144">
            <v>118563.71023188665</v>
          </cell>
          <cell r="T144">
            <v>10447285.331841093</v>
          </cell>
        </row>
        <row r="145">
          <cell r="B145" t="str">
            <v>Gold (0.00021% mineral in ground)</v>
          </cell>
          <cell r="C145" t="str">
            <v>Au</v>
          </cell>
          <cell r="D145">
            <v>196.97</v>
          </cell>
          <cell r="E145">
            <v>6.4699999999999997E-12</v>
          </cell>
          <cell r="F145">
            <v>1.2743959E-9</v>
          </cell>
          <cell r="G145">
            <v>1.0203189999999999E-9</v>
          </cell>
          <cell r="H145">
            <v>-0.81717256434990104</v>
          </cell>
          <cell r="I145">
            <v>59.08</v>
          </cell>
          <cell r="J145">
            <v>7.918323421224858E-9</v>
          </cell>
          <cell r="K145">
            <v>4.1487158671366249</v>
          </cell>
          <cell r="L145">
            <v>118563.71023188665</v>
          </cell>
          <cell r="M145">
            <v>491887.14590561716</v>
          </cell>
          <cell r="N145" t="str">
            <v>Au</v>
          </cell>
          <cell r="O145">
            <v>1</v>
          </cell>
          <cell r="P145">
            <v>2.0999999999999998E-6</v>
          </cell>
          <cell r="Q145">
            <v>1.6813220287353402E-6</v>
          </cell>
          <cell r="R145">
            <v>93.218050005114307</v>
          </cell>
          <cell r="S145">
            <v>118563.71023188665</v>
          </cell>
          <cell r="T145">
            <v>11052277.869187893</v>
          </cell>
        </row>
        <row r="146">
          <cell r="B146" t="str">
            <v>Gold (0.00043% mineral in ground)</v>
          </cell>
          <cell r="C146" t="str">
            <v>Au</v>
          </cell>
          <cell r="D146">
            <v>196.97</v>
          </cell>
          <cell r="E146">
            <v>6.4699999999999997E-12</v>
          </cell>
          <cell r="F146">
            <v>1.2743959E-9</v>
          </cell>
          <cell r="G146">
            <v>1.0203189999999999E-9</v>
          </cell>
          <cell r="H146">
            <v>-0.81717256434990104</v>
          </cell>
          <cell r="I146">
            <v>59.08</v>
          </cell>
          <cell r="J146">
            <v>7.918323421224858E-9</v>
          </cell>
          <cell r="K146">
            <v>4.1487158671366249</v>
          </cell>
          <cell r="L146">
            <v>118563.71023188665</v>
          </cell>
          <cell r="M146">
            <v>491887.14590561716</v>
          </cell>
          <cell r="N146" t="str">
            <v>Au</v>
          </cell>
          <cell r="O146">
            <v>1</v>
          </cell>
          <cell r="P146">
            <v>4.3000000000000003E-6</v>
          </cell>
          <cell r="Q146">
            <v>3.4427070112199831E-6</v>
          </cell>
          <cell r="R146">
            <v>102.23726266032084</v>
          </cell>
          <cell r="S146">
            <v>118563.71023188665</v>
          </cell>
          <cell r="T146">
            <v>12121629.184959564</v>
          </cell>
        </row>
        <row r="147">
          <cell r="B147" t="str">
            <v>Gold (0.00005% mineral in ground)</v>
          </cell>
          <cell r="C147" t="str">
            <v>Au</v>
          </cell>
          <cell r="D147">
            <v>196.97</v>
          </cell>
          <cell r="E147">
            <v>6.4699999999999997E-12</v>
          </cell>
          <cell r="F147">
            <v>1.2743959E-9</v>
          </cell>
          <cell r="G147">
            <v>1.0203189999999999E-9</v>
          </cell>
          <cell r="H147">
            <v>-0.81717256434990104</v>
          </cell>
          <cell r="I147">
            <v>59.08</v>
          </cell>
          <cell r="J147">
            <v>7.918323421224858E-9</v>
          </cell>
          <cell r="K147">
            <v>4.1487158671366249</v>
          </cell>
          <cell r="L147">
            <v>118563.71023188665</v>
          </cell>
          <cell r="M147">
            <v>491887.14590561716</v>
          </cell>
          <cell r="N147" t="str">
            <v>Au</v>
          </cell>
          <cell r="O147">
            <v>1</v>
          </cell>
          <cell r="P147">
            <v>4.8999999999999997E-7</v>
          </cell>
          <cell r="Q147">
            <v>3.9230847337157934E-7</v>
          </cell>
          <cell r="R147">
            <v>74.903617410445165</v>
          </cell>
          <cell r="S147">
            <v>118563.71023188665</v>
          </cell>
          <cell r="T147">
            <v>8880850.7899721209</v>
          </cell>
        </row>
        <row r="148">
          <cell r="B148" t="str">
            <v>Gold (0.00067% mineral in ground)</v>
          </cell>
          <cell r="C148" t="str">
            <v>Au</v>
          </cell>
          <cell r="D148">
            <v>196.97</v>
          </cell>
          <cell r="E148">
            <v>6.4699999999999997E-12</v>
          </cell>
          <cell r="F148">
            <v>1.2743959E-9</v>
          </cell>
          <cell r="G148">
            <v>1.0203189999999999E-9</v>
          </cell>
          <cell r="H148">
            <v>-0.81717256434990104</v>
          </cell>
          <cell r="I148">
            <v>59.08</v>
          </cell>
          <cell r="J148">
            <v>7.918323421224858E-9</v>
          </cell>
          <cell r="K148">
            <v>4.1487158671366249</v>
          </cell>
          <cell r="L148">
            <v>118563.71023188665</v>
          </cell>
          <cell r="M148">
            <v>491887.14590561716</v>
          </cell>
          <cell r="N148" t="str">
            <v>Au</v>
          </cell>
          <cell r="O148">
            <v>1</v>
          </cell>
          <cell r="P148">
            <v>6.7000000000000002E-6</v>
          </cell>
          <cell r="Q148">
            <v>5.3642179012032285E-6</v>
          </cell>
          <cell r="R148">
            <v>107.81850695575643</v>
          </cell>
          <cell r="S148">
            <v>118563.71023188665</v>
          </cell>
          <cell r="T148">
            <v>12783362.216336962</v>
          </cell>
        </row>
        <row r="149">
          <cell r="B149" t="str">
            <v>Gold (0.00071% mineral in ground)</v>
          </cell>
          <cell r="C149" t="str">
            <v>Au</v>
          </cell>
          <cell r="D149">
            <v>196.97</v>
          </cell>
          <cell r="E149">
            <v>6.4699999999999997E-12</v>
          </cell>
          <cell r="F149">
            <v>1.2743959E-9</v>
          </cell>
          <cell r="G149">
            <v>1.0203189999999999E-9</v>
          </cell>
          <cell r="H149">
            <v>-0.81717256434990104</v>
          </cell>
          <cell r="I149">
            <v>59.08</v>
          </cell>
          <cell r="J149">
            <v>7.918323421224858E-9</v>
          </cell>
          <cell r="K149">
            <v>4.1487158671366249</v>
          </cell>
          <cell r="L149">
            <v>118563.71023188665</v>
          </cell>
          <cell r="M149">
            <v>491887.14590561716</v>
          </cell>
          <cell r="N149" t="str">
            <v>Au</v>
          </cell>
          <cell r="O149">
            <v>1</v>
          </cell>
          <cell r="P149">
            <v>7.0999999999999998E-6</v>
          </cell>
          <cell r="Q149">
            <v>5.6844697162004362E-6</v>
          </cell>
          <cell r="R149">
            <v>108.54826235922043</v>
          </cell>
          <cell r="S149">
            <v>118563.71023188665</v>
          </cell>
          <cell r="T149">
            <v>12869884.72453342</v>
          </cell>
        </row>
        <row r="150">
          <cell r="B150" t="str">
            <v>Gold (0.00097% mineral in ground)</v>
          </cell>
          <cell r="C150" t="str">
            <v>Au</v>
          </cell>
          <cell r="D150">
            <v>196.97</v>
          </cell>
          <cell r="E150">
            <v>6.4699999999999997E-12</v>
          </cell>
          <cell r="F150">
            <v>1.2743959E-9</v>
          </cell>
          <cell r="G150">
            <v>1.0203189999999999E-9</v>
          </cell>
          <cell r="H150">
            <v>-0.81717256434990104</v>
          </cell>
          <cell r="I150">
            <v>59.08</v>
          </cell>
          <cell r="J150">
            <v>7.918323421224858E-9</v>
          </cell>
          <cell r="K150">
            <v>4.1487158671366249</v>
          </cell>
          <cell r="L150">
            <v>118563.71023188665</v>
          </cell>
          <cell r="M150">
            <v>491887.14590561716</v>
          </cell>
          <cell r="N150" t="str">
            <v>Au</v>
          </cell>
          <cell r="O150">
            <v>1</v>
          </cell>
          <cell r="P150">
            <v>9.7000000000000003E-6</v>
          </cell>
          <cell r="Q150">
            <v>7.766106513682287E-6</v>
          </cell>
          <cell r="R150">
            <v>112.47509717720393</v>
          </cell>
          <cell r="S150">
            <v>118563.71023188665</v>
          </cell>
          <cell r="T150">
            <v>13335464.830021299</v>
          </cell>
        </row>
        <row r="151">
          <cell r="B151" t="str">
            <v>Graphite</v>
          </cell>
          <cell r="C151" t="str">
            <v>C</v>
          </cell>
          <cell r="D151">
            <v>12.01</v>
          </cell>
          <cell r="E151">
            <v>2.0100000000000001E-5</v>
          </cell>
          <cell r="F151">
            <v>2.41401E-4</v>
          </cell>
          <cell r="G151">
            <v>3.1697699999999997E-3</v>
          </cell>
          <cell r="H151">
            <v>0</v>
          </cell>
          <cell r="I151">
            <v>410.25</v>
          </cell>
          <cell r="J151">
            <v>1.2551865601919228</v>
          </cell>
          <cell r="K151">
            <v>0</v>
          </cell>
          <cell r="L151">
            <v>118563.71023188665</v>
          </cell>
          <cell r="M151">
            <v>0</v>
          </cell>
          <cell r="O151">
            <v>1</v>
          </cell>
          <cell r="P151">
            <v>0.2</v>
          </cell>
          <cell r="Q151">
            <v>2.6261448792672777</v>
          </cell>
          <cell r="R151">
            <v>1386.9030417006184</v>
          </cell>
          <cell r="S151">
            <v>118563.71023188665</v>
          </cell>
          <cell r="T151">
            <v>164436370.35591432</v>
          </cell>
        </row>
        <row r="152">
          <cell r="B152" t="str">
            <v>Greenockite</v>
          </cell>
          <cell r="C152" t="str">
            <v>CdS</v>
          </cell>
          <cell r="D152">
            <v>144.47999999999999</v>
          </cell>
          <cell r="E152">
            <v>8.0100000000000003E-10</v>
          </cell>
          <cell r="F152">
            <v>1.1572848E-7</v>
          </cell>
          <cell r="G152">
            <v>1.263177E-7</v>
          </cell>
          <cell r="H152">
            <v>-156.5</v>
          </cell>
          <cell r="I152">
            <v>751.79500000000007</v>
          </cell>
          <cell r="J152">
            <v>8.9991291593503208E-5</v>
          </cell>
          <cell r="K152">
            <v>1083.1949058693247</v>
          </cell>
          <cell r="L152">
            <v>118563.71023188665</v>
          </cell>
          <cell r="M152">
            <v>128427606.94414635</v>
          </cell>
          <cell r="N152" t="str">
            <v>Cd</v>
          </cell>
          <cell r="O152">
            <v>0.77803848283499455</v>
          </cell>
          <cell r="P152">
            <v>1.8E-3</v>
          </cell>
          <cell r="Q152">
            <v>1.964700996677741E-3</v>
          </cell>
          <cell r="R152">
            <v>165.59860912986056</v>
          </cell>
          <cell r="S152">
            <v>118563.71023188665</v>
          </cell>
          <cell r="T152">
            <v>19633985.507676248</v>
          </cell>
        </row>
        <row r="153">
          <cell r="B153" t="str">
            <v>Grossular</v>
          </cell>
          <cell r="C153" t="str">
            <v>Ca3Al2(SiO4)3</v>
          </cell>
          <cell r="D153">
            <v>450.45</v>
          </cell>
          <cell r="E153">
            <v>4.6199999999999997E-8</v>
          </cell>
          <cell r="F153">
            <v>2.0810789999999997E-5</v>
          </cell>
          <cell r="G153">
            <v>7.285739999999999E-6</v>
          </cell>
          <cell r="H153">
            <v>-6281</v>
          </cell>
          <cell r="I153">
            <v>91.48</v>
          </cell>
          <cell r="J153">
            <v>4.5285669962637524E-4</v>
          </cell>
          <cell r="K153">
            <v>13943.833943833944</v>
          </cell>
          <cell r="L153">
            <v>118563.71023188665</v>
          </cell>
          <cell r="M153">
            <v>1653232687.2382731</v>
          </cell>
          <cell r="Q153" t="str">
            <v/>
          </cell>
          <cell r="R153" t="str">
            <v/>
          </cell>
          <cell r="S153">
            <v>118563.71023188665</v>
          </cell>
          <cell r="T153" t="str">
            <v/>
          </cell>
        </row>
        <row r="154">
          <cell r="B154" t="str">
            <v>Gypsum</v>
          </cell>
          <cell r="C154" t="str">
            <v>CaSO42H2O</v>
          </cell>
          <cell r="D154">
            <v>762.13</v>
          </cell>
          <cell r="E154">
            <v>7.9599999999999998E-7</v>
          </cell>
          <cell r="F154">
            <v>6.0665548000000003E-4</v>
          </cell>
          <cell r="G154">
            <v>1.255292E-4</v>
          </cell>
          <cell r="H154">
            <v>-1798.6</v>
          </cell>
          <cell r="I154">
            <v>24.106666666666666</v>
          </cell>
          <cell r="J154">
            <v>2.3091142896233244E-4</v>
          </cell>
          <cell r="K154">
            <v>2359.9648353955363</v>
          </cell>
          <cell r="L154">
            <v>118563.71023188665</v>
          </cell>
          <cell r="M154">
            <v>279806186.90127844</v>
          </cell>
          <cell r="P154">
            <v>0.93</v>
          </cell>
          <cell r="Q154">
            <v>0.19243567370396125</v>
          </cell>
          <cell r="R154">
            <v>23.856934618625349</v>
          </cell>
          <cell r="S154">
            <v>118563.71023188665</v>
          </cell>
          <cell r="T154">
            <v>2828566.683143761</v>
          </cell>
        </row>
        <row r="155">
          <cell r="B155" t="str">
            <v>Halite</v>
          </cell>
          <cell r="C155" t="str">
            <v>NaCl</v>
          </cell>
          <cell r="D155">
            <v>58.44</v>
          </cell>
          <cell r="E155">
            <v>1.01E-5</v>
          </cell>
          <cell r="F155">
            <v>5.9024399999999997E-4</v>
          </cell>
          <cell r="G155">
            <v>1.5927699999999999E-3</v>
          </cell>
          <cell r="H155">
            <v>-384.4</v>
          </cell>
          <cell r="I155">
            <v>14.35</v>
          </cell>
          <cell r="J155">
            <v>-2.5790901121776752E-3</v>
          </cell>
          <cell r="K155">
            <v>6577.6865160848738</v>
          </cell>
          <cell r="L155">
            <v>118563.71023188665</v>
          </cell>
          <cell r="M155">
            <v>779874918.089275</v>
          </cell>
          <cell r="Q155" t="str">
            <v/>
          </cell>
          <cell r="R155" t="str">
            <v/>
          </cell>
          <cell r="S155">
            <v>118563.71023188665</v>
          </cell>
          <cell r="T155" t="str">
            <v/>
          </cell>
        </row>
        <row r="156">
          <cell r="B156" t="str">
            <v>Hastingsite</v>
          </cell>
          <cell r="C156" t="str">
            <v>NaCa2Fe2+4Fe3+(Si6Al2O22)(OH)2</v>
          </cell>
          <cell r="D156">
            <v>990.86</v>
          </cell>
          <cell r="E156">
            <v>2.6000000000000001E-6</v>
          </cell>
          <cell r="F156">
            <v>2.576236E-3</v>
          </cell>
          <cell r="G156">
            <v>4.1001999999999998E-4</v>
          </cell>
          <cell r="H156">
            <v>-11343.4</v>
          </cell>
          <cell r="I156">
            <v>265.47000000000003</v>
          </cell>
          <cell r="J156">
            <v>0.10092106598364643</v>
          </cell>
          <cell r="K156">
            <v>11448.035040268051</v>
          </cell>
          <cell r="L156">
            <v>118563.71023188665</v>
          </cell>
          <cell r="M156">
            <v>1357321509.238826</v>
          </cell>
          <cell r="Q156" t="str">
            <v/>
          </cell>
          <cell r="R156" t="str">
            <v/>
          </cell>
          <cell r="S156">
            <v>118563.71023188665</v>
          </cell>
          <cell r="T156" t="str">
            <v/>
          </cell>
        </row>
        <row r="157">
          <cell r="B157" t="str">
            <v>Hedenbergite</v>
          </cell>
          <cell r="C157" t="str">
            <v>CaFe2+Si2O6</v>
          </cell>
          <cell r="D157">
            <v>248.09</v>
          </cell>
          <cell r="E157">
            <v>2.7500000000000001E-7</v>
          </cell>
          <cell r="F157">
            <v>6.8224750000000001E-5</v>
          </cell>
          <cell r="G157">
            <v>4.3367500000000001E-5</v>
          </cell>
          <cell r="H157">
            <v>-2676.1</v>
          </cell>
          <cell r="I157">
            <v>150.62</v>
          </cell>
          <cell r="J157">
            <v>5.4520874418573168E-3</v>
          </cell>
          <cell r="K157">
            <v>10786.81123785723</v>
          </cell>
          <cell r="L157">
            <v>118563.71023188665</v>
          </cell>
          <cell r="M157">
            <v>1278924361.9313631</v>
          </cell>
          <cell r="Q157" t="str">
            <v/>
          </cell>
          <cell r="R157" t="str">
            <v/>
          </cell>
          <cell r="S157">
            <v>118563.71023188665</v>
          </cell>
          <cell r="T157" t="str">
            <v/>
          </cell>
        </row>
        <row r="158">
          <cell r="B158" t="str">
            <v>Helvite</v>
          </cell>
          <cell r="C158" t="str">
            <v>Mn4Be3(SiO4)3S</v>
          </cell>
          <cell r="D158">
            <v>555.1</v>
          </cell>
          <cell r="E158">
            <v>1.45E-9</v>
          </cell>
          <cell r="F158">
            <v>8.0489499999999998E-7</v>
          </cell>
          <cell r="G158">
            <v>2.2866499999999996E-7</v>
          </cell>
          <cell r="H158">
            <v>-5532.4</v>
          </cell>
          <cell r="I158">
            <v>1460.04</v>
          </cell>
          <cell r="J158">
            <v>3.2519281026558957E-4</v>
          </cell>
          <cell r="K158">
            <v>9966.4925238695723</v>
          </cell>
          <cell r="L158">
            <v>118563.71023188665</v>
          </cell>
          <cell r="M158">
            <v>1181664331.6283367</v>
          </cell>
          <cell r="Q158" t="str">
            <v/>
          </cell>
          <cell r="R158" t="str">
            <v/>
          </cell>
          <cell r="S158">
            <v>118563.71023188665</v>
          </cell>
          <cell r="T158" t="str">
            <v/>
          </cell>
        </row>
        <row r="159">
          <cell r="B159" t="str">
            <v>Hematite</v>
          </cell>
          <cell r="C159" t="str">
            <v>Fe2O3</v>
          </cell>
          <cell r="D159">
            <v>159.69999999999999</v>
          </cell>
          <cell r="E159">
            <v>6.0499999999999997E-6</v>
          </cell>
          <cell r="F159">
            <v>9.6618499999999983E-4</v>
          </cell>
          <cell r="G159">
            <v>9.5408499999999992E-4</v>
          </cell>
          <cell r="H159">
            <v>-742.2</v>
          </cell>
          <cell r="I159">
            <v>16.790000000000003</v>
          </cell>
          <cell r="J159">
            <v>-4.2894368868803042E-4</v>
          </cell>
          <cell r="K159">
            <v>4647.4639949906077</v>
          </cell>
          <cell r="L159">
            <v>118563.71023188665</v>
          </cell>
          <cell r="M159">
            <v>551020574.41519272</v>
          </cell>
          <cell r="O159">
            <v>0.6994364433312461</v>
          </cell>
          <cell r="P159">
            <v>0.25</v>
          </cell>
          <cell r="Q159">
            <v>0.24686912961803384</v>
          </cell>
          <cell r="R159">
            <v>86.236531248961583</v>
          </cell>
          <cell r="S159">
            <v>118563.71023188665</v>
          </cell>
          <cell r="T159">
            <v>10224523.10240492</v>
          </cell>
        </row>
        <row r="160">
          <cell r="B160" t="str">
            <v>Hisingerite</v>
          </cell>
          <cell r="C160" t="str">
            <v>Fe3+2Si2O5(OH)42(H2O)</v>
          </cell>
          <cell r="D160">
            <v>351.92</v>
          </cell>
          <cell r="E160">
            <v>6.2499999999999997E-9</v>
          </cell>
          <cell r="F160">
            <v>2.1994999999999999E-6</v>
          </cell>
          <cell r="G160">
            <v>9.8562499999999999E-7</v>
          </cell>
          <cell r="H160">
            <v>-2895.6</v>
          </cell>
          <cell r="I160">
            <v>532.86</v>
          </cell>
          <cell r="J160">
            <v>4.9141089880362589E-4</v>
          </cell>
          <cell r="K160">
            <v>8228.0063650829725</v>
          </cell>
          <cell r="L160">
            <v>118563.71023188665</v>
          </cell>
          <cell r="M160">
            <v>975542962.45581651</v>
          </cell>
          <cell r="Q160" t="str">
            <v/>
          </cell>
          <cell r="R160" t="str">
            <v/>
          </cell>
          <cell r="S160">
            <v>118563.71023188665</v>
          </cell>
          <cell r="T160" t="str">
            <v/>
          </cell>
        </row>
        <row r="161">
          <cell r="B161" t="str">
            <v>Hollandite</v>
          </cell>
          <cell r="C161" t="str">
            <v>Ba0:8Pb0:2Na0:125Fe1:3Al0:2Si0:10:5Mn2+Mn4+6O16</v>
          </cell>
          <cell r="D161">
            <v>848.07074999999998</v>
          </cell>
          <cell r="E161">
            <v>2.6300000000000001E-7</v>
          </cell>
          <cell r="F161">
            <v>2.2304260725E-4</v>
          </cell>
          <cell r="G161">
            <v>4.1475099999999999E-5</v>
          </cell>
          <cell r="H161">
            <v>-4330.3999999999996</v>
          </cell>
          <cell r="I161">
            <v>374.51</v>
          </cell>
          <cell r="J161">
            <v>1.4495451262732304E-2</v>
          </cell>
          <cell r="K161">
            <v>5106.1777569854876</v>
          </cell>
          <cell r="L161">
            <v>118563.71023188665</v>
          </cell>
          <cell r="M161">
            <v>605407379.97173226</v>
          </cell>
          <cell r="Q161" t="str">
            <v/>
          </cell>
          <cell r="R161" t="str">
            <v/>
          </cell>
          <cell r="S161">
            <v>118563.71023188665</v>
          </cell>
          <cell r="T161" t="str">
            <v/>
          </cell>
        </row>
        <row r="162">
          <cell r="B162" t="str">
            <v>Hornblende-Fe</v>
          </cell>
          <cell r="C162" t="str">
            <v>Ca2Fe2+4Al0:75Fe3+0.25(Si7AlO22)(OH)2</v>
          </cell>
          <cell r="D162">
            <v>947.36749999999995</v>
          </cell>
          <cell r="E162">
            <v>2.7800000000000001E-5</v>
          </cell>
          <cell r="F162">
            <v>2.6336816499999999E-2</v>
          </cell>
          <cell r="G162">
            <v>4.3840599999999995E-3</v>
          </cell>
          <cell r="H162">
            <v>-10303.700000000001</v>
          </cell>
          <cell r="I162">
            <v>416.94</v>
          </cell>
          <cell r="J162">
            <v>1.7688829730005715</v>
          </cell>
          <cell r="K162">
            <v>10876.138351801175</v>
          </cell>
          <cell r="L162">
            <v>118563.71023188665</v>
          </cell>
          <cell r="M162">
            <v>1289515315.9848638</v>
          </cell>
          <cell r="Q162" t="str">
            <v/>
          </cell>
          <cell r="R162" t="str">
            <v/>
          </cell>
          <cell r="S162">
            <v>118563.71023188665</v>
          </cell>
          <cell r="T162" t="str">
            <v/>
          </cell>
        </row>
        <row r="163">
          <cell r="B163" t="str">
            <v>Humite</v>
          </cell>
          <cell r="C163" t="str">
            <v>Mg5:25Fe2+1:75(SiO4)3F1:5(OH)0:5</v>
          </cell>
          <cell r="D163">
            <v>538.58000000000004</v>
          </cell>
          <cell r="E163">
            <v>9.46E-9</v>
          </cell>
          <cell r="F163">
            <v>5.0949668000000002E-6</v>
          </cell>
          <cell r="G163">
            <v>1.4918419999999999E-6</v>
          </cell>
          <cell r="H163">
            <v>-6512.3</v>
          </cell>
          <cell r="I163">
            <v>5385.28</v>
          </cell>
          <cell r="J163">
            <v>7.984376284159685E-3</v>
          </cell>
          <cell r="K163">
            <v>12091.611274091129</v>
          </cell>
          <cell r="L163">
            <v>118563.71023188665</v>
          </cell>
          <cell r="M163">
            <v>1433626295.3379543</v>
          </cell>
          <cell r="Q163" t="str">
            <v/>
          </cell>
          <cell r="R163" t="str">
            <v/>
          </cell>
          <cell r="S163">
            <v>118563.71023188665</v>
          </cell>
          <cell r="T163" t="str">
            <v/>
          </cell>
        </row>
        <row r="164">
          <cell r="B164" t="str">
            <v>Hydragillite/Gibbsite</v>
          </cell>
          <cell r="C164" t="str">
            <v>Al(OH)3</v>
          </cell>
          <cell r="D164">
            <v>78.003557999999998</v>
          </cell>
          <cell r="E164">
            <v>1.77E-5</v>
          </cell>
          <cell r="F164">
            <v>1.3806629766E-3</v>
          </cell>
          <cell r="G164">
            <v>2.7912899999999997E-3</v>
          </cell>
          <cell r="H164">
            <v>-1155.8</v>
          </cell>
          <cell r="I164">
            <v>0.64</v>
          </cell>
          <cell r="J164">
            <v>-3.8906558572341855E-2</v>
          </cell>
          <cell r="K164">
            <v>14817.272822349976</v>
          </cell>
          <cell r="L164">
            <v>118563.71023188665</v>
          </cell>
          <cell r="M164">
            <v>1756790841.335912</v>
          </cell>
          <cell r="N164" t="str">
            <v>Al</v>
          </cell>
          <cell r="O164">
            <v>0.34613805693324912</v>
          </cell>
          <cell r="P164">
            <v>0.11</v>
          </cell>
          <cell r="Q164">
            <v>0.22238729161559526</v>
          </cell>
          <cell r="R164">
            <v>139.12266921783805</v>
          </cell>
          <cell r="S164">
            <v>118563.71023188665</v>
          </cell>
          <cell r="T164">
            <v>16494899.839830367</v>
          </cell>
        </row>
        <row r="165">
          <cell r="B165" t="str">
            <v>Hydrobiotite</v>
          </cell>
          <cell r="C165" t="str">
            <v>(K0:3Ca0;1)(Mg2:3Fe3+0.06Al0:1)(Si2:8Al1:2)O10((OH)1:8F0:2)3(H2O)</v>
          </cell>
          <cell r="D165">
            <v>467.31799999999998</v>
          </cell>
          <cell r="E165">
            <v>5.2599999999999996E-6</v>
          </cell>
          <cell r="F165">
            <v>2.4580926799999997E-3</v>
          </cell>
          <cell r="G165">
            <v>8.2950199999999987E-4</v>
          </cell>
          <cell r="H165">
            <v>-6238.9</v>
          </cell>
          <cell r="I165">
            <v>45.24</v>
          </cell>
          <cell r="J165">
            <v>2.2938682681096573E-2</v>
          </cell>
          <cell r="K165">
            <v>13350.438031490336</v>
          </cell>
          <cell r="L165">
            <v>118563.71023188665</v>
          </cell>
          <cell r="M165">
            <v>1582877466.2343793</v>
          </cell>
          <cell r="Q165" t="str">
            <v/>
          </cell>
          <cell r="R165" t="str">
            <v/>
          </cell>
          <cell r="S165">
            <v>118563.71023188665</v>
          </cell>
          <cell r="T165" t="str">
            <v/>
          </cell>
        </row>
        <row r="166">
          <cell r="B166" t="str">
            <v>Hydromuscovite/Illite</v>
          </cell>
          <cell r="C166" t="str">
            <v>K0:6(H3O)0:4Al2Mg0:4Fe2+Si3:5O10(OH)2</v>
          </cell>
          <cell r="D166">
            <v>389.34</v>
          </cell>
          <cell r="E166">
            <v>7.7299999999999995E-5</v>
          </cell>
          <cell r="F166">
            <v>3.0095981999999997E-2</v>
          </cell>
          <cell r="G166">
            <v>1.2190209999999998E-2</v>
          </cell>
          <cell r="H166">
            <v>-5499.1</v>
          </cell>
          <cell r="I166">
            <v>186.09</v>
          </cell>
          <cell r="J166">
            <v>2.1353047361565722</v>
          </cell>
          <cell r="K166">
            <v>14124.158832896697</v>
          </cell>
          <cell r="L166">
            <v>118563.71023188665</v>
          </cell>
          <cell r="M166">
            <v>1674612675.1327064</v>
          </cell>
          <cell r="Q166" t="str">
            <v/>
          </cell>
          <cell r="R166" t="str">
            <v/>
          </cell>
          <cell r="S166">
            <v>118563.71023188665</v>
          </cell>
          <cell r="T166" t="str">
            <v/>
          </cell>
        </row>
        <row r="167">
          <cell r="B167" t="str">
            <v>Hydrosodalite</v>
          </cell>
          <cell r="C167" t="str">
            <v>Na8Al6Si6O24(OH)2</v>
          </cell>
          <cell r="D167">
            <v>932.32</v>
          </cell>
          <cell r="E167">
            <v>9.0599999999999997E-10</v>
          </cell>
          <cell r="F167">
            <v>8.4468191999999999E-7</v>
          </cell>
          <cell r="G167">
            <v>1.4287619999999997E-7</v>
          </cell>
          <cell r="H167">
            <v>-12678.2</v>
          </cell>
          <cell r="I167">
            <v>204.42</v>
          </cell>
          <cell r="J167">
            <v>2.3624668247631566E-5</v>
          </cell>
          <cell r="K167">
            <v>13598.549854127337</v>
          </cell>
          <cell r="L167">
            <v>118563.71023188665</v>
          </cell>
          <cell r="M167">
            <v>1612294524.4786181</v>
          </cell>
          <cell r="Q167" t="str">
            <v/>
          </cell>
          <cell r="R167" t="str">
            <v/>
          </cell>
          <cell r="S167">
            <v>118563.71023188665</v>
          </cell>
          <cell r="T167" t="str">
            <v/>
          </cell>
        </row>
        <row r="168">
          <cell r="B168" t="str">
            <v>Hyperstene</v>
          </cell>
          <cell r="C168" t="str">
            <v>MgFe2+Si2O6</v>
          </cell>
          <cell r="D168">
            <v>232.32</v>
          </cell>
          <cell r="E168">
            <v>1.17E-5</v>
          </cell>
          <cell r="F168">
            <v>2.718144E-3</v>
          </cell>
          <cell r="G168">
            <v>1.8450899999999998E-3</v>
          </cell>
          <cell r="H168">
            <v>-2594.6</v>
          </cell>
          <cell r="I168">
            <v>131.91</v>
          </cell>
          <cell r="J168">
            <v>0.21459369158889749</v>
          </cell>
          <cell r="K168">
            <v>11168.216253443527</v>
          </cell>
          <cell r="L168">
            <v>118563.71023188665</v>
          </cell>
          <cell r="M168">
            <v>1324145155.680325</v>
          </cell>
          <cell r="Q168" t="str">
            <v/>
          </cell>
          <cell r="R168" t="str">
            <v/>
          </cell>
          <cell r="S168">
            <v>118563.71023188665</v>
          </cell>
          <cell r="T168" t="str">
            <v/>
          </cell>
        </row>
        <row r="169">
          <cell r="B169" t="str">
            <v>Ilmenite</v>
          </cell>
          <cell r="C169" t="str">
            <v>Fe2+TiO3</v>
          </cell>
          <cell r="D169">
            <v>151.72999999999999</v>
          </cell>
          <cell r="E169">
            <v>3.1000000000000001E-5</v>
          </cell>
          <cell r="F169">
            <v>4.7036300000000003E-3</v>
          </cell>
          <cell r="G169">
            <v>4.8887000000000002E-3</v>
          </cell>
          <cell r="H169">
            <v>-1163.5</v>
          </cell>
          <cell r="I169">
            <v>139.89666666666665</v>
          </cell>
          <cell r="J169">
            <v>0.61943395043580107</v>
          </cell>
          <cell r="K169">
            <v>7668.2264548869707</v>
          </cell>
          <cell r="L169">
            <v>118563.71023188665</v>
          </cell>
          <cell r="M169">
            <v>909173379.38970625</v>
          </cell>
          <cell r="N169" t="str">
            <v>TiO2</v>
          </cell>
          <cell r="O169">
            <v>0.42092532788505899</v>
          </cell>
          <cell r="P169">
            <v>2.5999999999999999E-2</v>
          </cell>
          <cell r="Q169">
            <v>2.7023001384037435E-2</v>
          </cell>
          <cell r="R169">
            <v>27.932450206177123</v>
          </cell>
          <cell r="S169">
            <v>118563.71023188665</v>
          </cell>
          <cell r="T169">
            <v>3311774.9323117868</v>
          </cell>
        </row>
        <row r="170">
          <cell r="B170" t="str">
            <v>Ilmenorutile</v>
          </cell>
          <cell r="C170" t="str">
            <v>Ti0:7Nb0:15Fe2+0:225O2</v>
          </cell>
          <cell r="D170">
            <v>92.020750000000007</v>
          </cell>
          <cell r="E170">
            <v>3.22E-7</v>
          </cell>
          <cell r="F170">
            <v>2.9630681500000004E-5</v>
          </cell>
          <cell r="G170">
            <v>5.0779399999999997E-5</v>
          </cell>
          <cell r="H170">
            <v>-813.2</v>
          </cell>
          <cell r="I170">
            <v>45.32</v>
          </cell>
          <cell r="J170">
            <v>1.0566882199933042E-3</v>
          </cell>
          <cell r="K170">
            <v>8837.1372761034872</v>
          </cell>
          <cell r="L170">
            <v>118563.71023188665</v>
          </cell>
          <cell r="M170">
            <v>1047763783.283338</v>
          </cell>
          <cell r="Q170" t="str">
            <v/>
          </cell>
          <cell r="R170" t="str">
            <v/>
          </cell>
          <cell r="S170">
            <v>118563.71023188665</v>
          </cell>
          <cell r="T170" t="str">
            <v/>
          </cell>
        </row>
        <row r="171">
          <cell r="B171" t="str">
            <v>Iotsite</v>
          </cell>
          <cell r="C171" t="str">
            <v>FeO</v>
          </cell>
          <cell r="D171">
            <v>71.84</v>
          </cell>
          <cell r="E171">
            <v>2.3800000000000001E-10</v>
          </cell>
          <cell r="F171">
            <v>1.709792E-8</v>
          </cell>
          <cell r="G171">
            <v>3.7532600000000001E-8</v>
          </cell>
          <cell r="H171">
            <v>-251.5</v>
          </cell>
          <cell r="I171">
            <v>127.47</v>
          </cell>
          <cell r="J171">
            <v>3.1935367994466745E-6</v>
          </cell>
          <cell r="K171">
            <v>3500.8351893095769</v>
          </cell>
          <cell r="L171">
            <v>118563.71023188665</v>
          </cell>
          <cell r="M171">
            <v>415072008.95489275</v>
          </cell>
          <cell r="Q171" t="str">
            <v/>
          </cell>
          <cell r="R171" t="str">
            <v/>
          </cell>
          <cell r="S171">
            <v>118563.71023188665</v>
          </cell>
          <cell r="T171" t="str">
            <v/>
          </cell>
        </row>
        <row r="172">
          <cell r="B172" t="str">
            <v>I-Platinum</v>
          </cell>
          <cell r="C172" t="str">
            <v>Pt</v>
          </cell>
          <cell r="D172">
            <v>195.08</v>
          </cell>
          <cell r="E172">
            <v>1.5399999999999999E-14</v>
          </cell>
          <cell r="F172">
            <v>3.004232E-12</v>
          </cell>
          <cell r="G172">
            <v>2.4285799999999997E-12</v>
          </cell>
          <cell r="H172">
            <v>-0.82508960426491695</v>
          </cell>
          <cell r="I172">
            <v>140.16999999999999</v>
          </cell>
          <cell r="J172">
            <v>1.7941661742473563E-10</v>
          </cell>
          <cell r="K172">
            <v>4.2294935629737385</v>
          </cell>
          <cell r="L172">
            <v>118563.71023188665</v>
          </cell>
          <cell r="M172">
            <v>501464.44922804815</v>
          </cell>
          <cell r="Q172" t="str">
            <v/>
          </cell>
          <cell r="R172" t="str">
            <v/>
          </cell>
          <cell r="S172">
            <v>118563.71023188665</v>
          </cell>
          <cell r="T172" t="str">
            <v/>
          </cell>
        </row>
        <row r="173">
          <cell r="B173" t="str">
            <v>Iridium</v>
          </cell>
          <cell r="C173" t="str">
            <v>Ir0:5Os0:3Ru0:2</v>
          </cell>
          <cell r="D173">
            <v>155.19</v>
          </cell>
          <cell r="E173">
            <v>1.4999999999999999E-13</v>
          </cell>
          <cell r="F173">
            <v>2.3278499999999999E-11</v>
          </cell>
          <cell r="G173">
            <v>2.3654999999999998E-11</v>
          </cell>
          <cell r="H173" t="str">
            <v>N.A.</v>
          </cell>
          <cell r="I173" t="str">
            <v>NA</v>
          </cell>
          <cell r="J173" t="e">
            <v>#VALUE!</v>
          </cell>
          <cell r="K173" t="e">
            <v>#VALUE!</v>
          </cell>
          <cell r="L173">
            <v>118563.71023188665</v>
          </cell>
          <cell r="M173" t="e">
            <v>#VALUE!</v>
          </cell>
          <cell r="Q173" t="str">
            <v/>
          </cell>
          <cell r="R173" t="str">
            <v/>
          </cell>
          <cell r="S173">
            <v>118563.71023188665</v>
          </cell>
          <cell r="T173" t="str">
            <v/>
          </cell>
        </row>
        <row r="174">
          <cell r="B174" t="str">
            <v>Jacobsite</v>
          </cell>
          <cell r="C174" t="str">
            <v>Mn2+0:6Fe2+0:3Mg2+Fe3+1:5Mn3+0:5O4</v>
          </cell>
          <cell r="D174">
            <v>249.25899999999999</v>
          </cell>
          <cell r="E174">
            <v>1.1999999999999999E-7</v>
          </cell>
          <cell r="F174">
            <v>2.9911079999999994E-5</v>
          </cell>
          <cell r="G174">
            <v>1.8923999999999997E-5</v>
          </cell>
          <cell r="H174">
            <v>-1137.5</v>
          </cell>
          <cell r="I174">
            <v>724.41</v>
          </cell>
          <cell r="J174">
            <v>1.319859385346934E-2</v>
          </cell>
          <cell r="K174">
            <v>4563.5262919292791</v>
          </cell>
          <cell r="L174">
            <v>118563.71023188665</v>
          </cell>
          <cell r="M174">
            <v>541068608.91189921</v>
          </cell>
          <cell r="Q174" t="str">
            <v/>
          </cell>
          <cell r="R174" t="str">
            <v/>
          </cell>
          <cell r="S174">
            <v>118563.71023188665</v>
          </cell>
          <cell r="T174" t="str">
            <v/>
          </cell>
        </row>
        <row r="175">
          <cell r="B175" t="str">
            <v>Jadeite</v>
          </cell>
          <cell r="C175" t="str">
            <v>NaAl0:9Fe3+0:1(Si2O6)</v>
          </cell>
          <cell r="D175">
            <v>205.03</v>
          </cell>
          <cell r="E175">
            <v>4.7800000000000002E-7</v>
          </cell>
          <cell r="F175">
            <v>9.8004340000000002E-5</v>
          </cell>
          <cell r="G175">
            <v>7.5380600000000001E-5</v>
          </cell>
          <cell r="H175">
            <v>-2812.1</v>
          </cell>
          <cell r="I175">
            <v>9.4550000000000001</v>
          </cell>
          <cell r="J175">
            <v>-1.0610823577499576E-3</v>
          </cell>
          <cell r="K175">
            <v>13715.553821391992</v>
          </cell>
          <cell r="L175">
            <v>118563.71023188665</v>
          </cell>
          <cell r="M175">
            <v>1626166948.9493659</v>
          </cell>
          <cell r="Q175" t="str">
            <v/>
          </cell>
          <cell r="R175" t="str">
            <v/>
          </cell>
          <cell r="S175">
            <v>118563.71023188665</v>
          </cell>
          <cell r="T175" t="str">
            <v/>
          </cell>
        </row>
        <row r="176">
          <cell r="B176" t="str">
            <v>Jarosite</v>
          </cell>
          <cell r="C176" t="str">
            <v>KFe3+3(SO4)2(OH)6</v>
          </cell>
          <cell r="D176">
            <v>500.81</v>
          </cell>
          <cell r="E176">
            <v>9.5700000000000007E-9</v>
          </cell>
          <cell r="F176">
            <v>4.7927517000000006E-6</v>
          </cell>
          <cell r="G176">
            <v>1.509189E-6</v>
          </cell>
          <cell r="H176">
            <v>-3318.7</v>
          </cell>
          <cell r="I176">
            <v>129.11000000000001</v>
          </cell>
          <cell r="J176">
            <v>1.4470717184118131E-4</v>
          </cell>
          <cell r="K176">
            <v>6626.6648030191091</v>
          </cell>
          <cell r="L176">
            <v>118563.71023188665</v>
          </cell>
          <cell r="M176">
            <v>785681965.50899994</v>
          </cell>
          <cell r="Q176" t="str">
            <v/>
          </cell>
          <cell r="R176" t="str">
            <v/>
          </cell>
          <cell r="S176">
            <v>118563.71023188665</v>
          </cell>
          <cell r="T176" t="str">
            <v/>
          </cell>
        </row>
        <row r="177">
          <cell r="B177" t="str">
            <v>Kaolinite</v>
          </cell>
          <cell r="C177" t="str">
            <v>Al2Si2O5(OH)4</v>
          </cell>
          <cell r="D177">
            <v>258.16000000000003</v>
          </cell>
          <cell r="E177">
            <v>3.2400000000000001E-5</v>
          </cell>
          <cell r="F177">
            <v>8.3643840000000007E-3</v>
          </cell>
          <cell r="G177">
            <v>5.1094799999999996E-3</v>
          </cell>
          <cell r="H177">
            <v>-3796</v>
          </cell>
          <cell r="I177">
            <v>-3.9049999999999998</v>
          </cell>
          <cell r="J177">
            <v>-8.6783903360300438E-2</v>
          </cell>
          <cell r="K177">
            <v>14704.059497985743</v>
          </cell>
          <cell r="L177">
            <v>118563.71023188665</v>
          </cell>
          <cell r="M177">
            <v>1743367849.5516024</v>
          </cell>
          <cell r="P177">
            <v>0.24</v>
          </cell>
          <cell r="Q177">
            <v>0.14660675550046481</v>
          </cell>
          <cell r="R177">
            <v>32.230181203422646</v>
          </cell>
          <cell r="S177">
            <v>118563.71023188665</v>
          </cell>
          <cell r="T177">
            <v>3821329.8649238022</v>
          </cell>
        </row>
        <row r="178">
          <cell r="B178" t="str">
            <v>Kernite</v>
          </cell>
          <cell r="C178" t="str">
            <v>Na2O2B2O34H2O</v>
          </cell>
          <cell r="D178">
            <v>219.60140000000001</v>
          </cell>
          <cell r="E178">
            <v>8.9900000000000004E-8</v>
          </cell>
          <cell r="F178">
            <v>1.9742165860000002E-5</v>
          </cell>
          <cell r="G178">
            <v>1.4177229999999999E-5</v>
          </cell>
          <cell r="H178">
            <v>-3713.1</v>
          </cell>
          <cell r="I178">
            <v>440.94</v>
          </cell>
          <cell r="J178">
            <v>5.8589781543088018E-3</v>
          </cell>
          <cell r="K178">
            <v>16908.36215069667</v>
          </cell>
          <cell r="L178">
            <v>118563.71023188665</v>
          </cell>
          <cell r="M178">
            <v>2004718150.5309999</v>
          </cell>
          <cell r="N178" t="str">
            <v>B2O3</v>
          </cell>
          <cell r="O178">
            <v>0.31703805166998023</v>
          </cell>
          <cell r="P178">
            <v>0.25</v>
          </cell>
          <cell r="Q178">
            <v>0.17952982084813665</v>
          </cell>
          <cell r="R178">
            <v>106.62984894819188</v>
          </cell>
          <cell r="S178">
            <v>118563.71023188665</v>
          </cell>
          <cell r="T178">
            <v>12642430.512763266</v>
          </cell>
        </row>
        <row r="179">
          <cell r="B179" t="str">
            <v>Kieserite</v>
          </cell>
          <cell r="C179" t="str">
            <v>MgSO4(H2O)</v>
          </cell>
          <cell r="D179">
            <v>138.38</v>
          </cell>
          <cell r="E179">
            <v>3.0600000000000003E-8</v>
          </cell>
          <cell r="F179">
            <v>4.2344280000000004E-6</v>
          </cell>
          <cell r="G179">
            <v>4.8256199999999997E-6</v>
          </cell>
          <cell r="H179">
            <v>-1428.7</v>
          </cell>
          <cell r="I179">
            <v>53.74</v>
          </cell>
          <cell r="J179">
            <v>1.1289711308522261E-4</v>
          </cell>
          <cell r="K179">
            <v>10324.468853880619</v>
          </cell>
          <cell r="L179">
            <v>118563.71023188665</v>
          </cell>
          <cell r="M179">
            <v>1224107333.4896405</v>
          </cell>
          <cell r="P179">
            <v>0.25</v>
          </cell>
          <cell r="Q179">
            <v>0.28490388784506432</v>
          </cell>
          <cell r="R179">
            <v>196.79308547907357</v>
          </cell>
          <cell r="S179">
            <v>118563.71023188665</v>
          </cell>
          <cell r="T179">
            <v>23332518.362379778</v>
          </cell>
        </row>
        <row r="180">
          <cell r="B180" t="str">
            <v>Kornerupine</v>
          </cell>
          <cell r="C180" t="str">
            <v>Mg1:1Fe0:2Al5:7(Si3:7B0:3)O17:2(OH)</v>
          </cell>
          <cell r="D180">
            <v>591.07299999999998</v>
          </cell>
          <cell r="E180">
            <v>9.2400000000000004E-9</v>
          </cell>
          <cell r="F180">
            <v>5.4615145200000003E-6</v>
          </cell>
          <cell r="G180">
            <v>1.457148E-6</v>
          </cell>
          <cell r="H180">
            <v>-8624.7999999999993</v>
          </cell>
          <cell r="I180">
            <v>183.59</v>
          </cell>
          <cell r="J180">
            <v>2.1897594233587868E-4</v>
          </cell>
          <cell r="K180">
            <v>14591.767852701782</v>
          </cell>
          <cell r="L180">
            <v>118563.71023188665</v>
          </cell>
          <cell r="M180">
            <v>1730054135.458693</v>
          </cell>
          <cell r="Q180" t="str">
            <v/>
          </cell>
          <cell r="R180" t="str">
            <v/>
          </cell>
          <cell r="S180">
            <v>118563.71023188665</v>
          </cell>
          <cell r="T180" t="str">
            <v/>
          </cell>
        </row>
        <row r="181">
          <cell r="B181" t="str">
            <v>Labradorite</v>
          </cell>
          <cell r="C181" t="str">
            <v>Na0:5Ca0:5Al1:5Si2:5O8</v>
          </cell>
          <cell r="D181">
            <v>271.81</v>
          </cell>
          <cell r="E181">
            <v>9.2499999999999999E-5</v>
          </cell>
          <cell r="F181">
            <v>2.5142424999999999E-2</v>
          </cell>
          <cell r="G181">
            <v>1.458725E-2</v>
          </cell>
          <cell r="H181">
            <v>-769.8</v>
          </cell>
          <cell r="I181">
            <v>27.89</v>
          </cell>
          <cell r="J181">
            <v>0.25397169512070306</v>
          </cell>
          <cell r="K181">
            <v>2832.1253817004526</v>
          </cell>
          <cell r="L181">
            <v>118563.71023188665</v>
          </cell>
          <cell r="M181">
            <v>335787293.09630382</v>
          </cell>
          <cell r="Q181" t="str">
            <v/>
          </cell>
          <cell r="R181" t="str">
            <v/>
          </cell>
          <cell r="S181">
            <v>118563.71023188665</v>
          </cell>
          <cell r="T181" t="str">
            <v/>
          </cell>
        </row>
        <row r="182">
          <cell r="B182" t="str">
            <v>Lampro-phyllite</v>
          </cell>
          <cell r="C182" t="str">
            <v>Na2SrBaTi3Si4O16(OH)F</v>
          </cell>
          <cell r="D182">
            <v>891.53</v>
          </cell>
          <cell r="E182">
            <v>5.6099999999999997E-12</v>
          </cell>
          <cell r="F182">
            <v>5.0014832999999998E-9</v>
          </cell>
          <cell r="G182">
            <v>8.8469699999999993E-10</v>
          </cell>
          <cell r="H182">
            <v>-7865.3</v>
          </cell>
          <cell r="I182">
            <v>887.38</v>
          </cell>
          <cell r="J182">
            <v>7.3934755764775383E-7</v>
          </cell>
          <cell r="K182">
            <v>8822.2493914955194</v>
          </cell>
          <cell r="L182">
            <v>118563.71023188665</v>
          </cell>
          <cell r="M182">
            <v>1045998620.4467131</v>
          </cell>
          <cell r="Q182" t="str">
            <v/>
          </cell>
          <cell r="R182" t="str">
            <v/>
          </cell>
          <cell r="S182">
            <v>118563.71023188665</v>
          </cell>
          <cell r="T182" t="str">
            <v/>
          </cell>
        </row>
        <row r="183">
          <cell r="B183" t="str">
            <v>Lautarite</v>
          </cell>
          <cell r="C183" t="str">
            <v>Ca(IO3)2</v>
          </cell>
          <cell r="D183">
            <v>389.88</v>
          </cell>
          <cell r="E183">
            <v>2.76E-9</v>
          </cell>
          <cell r="F183">
            <v>1.0760688000000001E-6</v>
          </cell>
          <cell r="G183">
            <v>4.3525199999999999E-7</v>
          </cell>
          <cell r="H183">
            <v>-839.3</v>
          </cell>
          <cell r="I183">
            <v>78.75</v>
          </cell>
          <cell r="J183">
            <v>1.8472918463718317E-5</v>
          </cell>
          <cell r="K183">
            <v>2152.7136554837384</v>
          </cell>
          <cell r="L183">
            <v>118563.71023188665</v>
          </cell>
          <cell r="M183">
            <v>255233718.06099942</v>
          </cell>
          <cell r="Q183" t="str">
            <v/>
          </cell>
          <cell r="R183" t="str">
            <v/>
          </cell>
          <cell r="S183">
            <v>118563.71023188665</v>
          </cell>
          <cell r="T183" t="str">
            <v/>
          </cell>
        </row>
        <row r="184">
          <cell r="B184" t="str">
            <v>Lavenite</v>
          </cell>
          <cell r="C184" t="str">
            <v>Na1:1Ca0:9Mn2+0:5Fe2+0.05Zr0:8Ti0:1Nb0:1(Si2O7)O0:6(OH)0:3F0:1</v>
          </cell>
          <cell r="D184">
            <v>390.09100000000001</v>
          </cell>
          <cell r="E184">
            <v>2.5899999999999999E-11</v>
          </cell>
          <cell r="F184">
            <v>1.0103356899999999E-8</v>
          </cell>
          <cell r="G184">
            <v>4.0844299999999993E-9</v>
          </cell>
          <cell r="H184">
            <v>-3925.1</v>
          </cell>
          <cell r="I184">
            <v>472.97</v>
          </cell>
          <cell r="J184">
            <v>1.7362459493731743E-6</v>
          </cell>
          <cell r="K184">
            <v>10062.011171752232</v>
          </cell>
          <cell r="L184">
            <v>118563.71023188665</v>
          </cell>
          <cell r="M184">
            <v>1192989376.9176381</v>
          </cell>
          <cell r="Q184" t="str">
            <v/>
          </cell>
          <cell r="R184" t="str">
            <v/>
          </cell>
          <cell r="S184">
            <v>118563.71023188665</v>
          </cell>
          <cell r="T184" t="str">
            <v/>
          </cell>
        </row>
        <row r="185">
          <cell r="B185" t="str">
            <v>Lawsenite</v>
          </cell>
          <cell r="C185" t="str">
            <v>CaAl2Si2O7(OH)2H2O</v>
          </cell>
          <cell r="D185">
            <v>314.24</v>
          </cell>
          <cell r="E185">
            <v>6.3600000000000001E-6</v>
          </cell>
          <cell r="F185">
            <v>1.9985663999999999E-3</v>
          </cell>
          <cell r="G185">
            <v>1.002972E-3</v>
          </cell>
          <cell r="H185">
            <v>-4510.6000000000004</v>
          </cell>
          <cell r="I185">
            <v>250.37</v>
          </cell>
          <cell r="J185">
            <v>0.23394751212225537</v>
          </cell>
          <cell r="K185">
            <v>14353.996945010183</v>
          </cell>
          <cell r="L185">
            <v>118563.71023188665</v>
          </cell>
          <cell r="M185">
            <v>1701863134.4575737</v>
          </cell>
          <cell r="Q185" t="str">
            <v/>
          </cell>
          <cell r="R185" t="str">
            <v/>
          </cell>
          <cell r="S185">
            <v>118563.71023188665</v>
          </cell>
          <cell r="T185" t="str">
            <v/>
          </cell>
        </row>
        <row r="186">
          <cell r="B186" t="str">
            <v>Lead</v>
          </cell>
          <cell r="C186" t="str">
            <v>Pb</v>
          </cell>
          <cell r="D186">
            <v>207.2</v>
          </cell>
          <cell r="E186">
            <v>3.0499999999999998E-10</v>
          </cell>
          <cell r="F186">
            <v>6.3195999999999992E-8</v>
          </cell>
          <cell r="G186">
            <v>4.8098499999999992E-8</v>
          </cell>
          <cell r="H186">
            <v>-0.776826640926641</v>
          </cell>
          <cell r="I186">
            <v>231.61</v>
          </cell>
          <cell r="J186">
            <v>9.1311087689153184E-6</v>
          </cell>
          <cell r="K186">
            <v>3.7491633249355258</v>
          </cell>
          <cell r="L186">
            <v>118563.71023188665</v>
          </cell>
          <cell r="M186">
            <v>444514.71406967239</v>
          </cell>
          <cell r="Q186" t="str">
            <v/>
          </cell>
          <cell r="R186" t="str">
            <v/>
          </cell>
          <cell r="S186">
            <v>118563.71023188665</v>
          </cell>
          <cell r="T186" t="str">
            <v/>
          </cell>
        </row>
        <row r="187">
          <cell r="B187" t="str">
            <v>Lepidolite</v>
          </cell>
          <cell r="C187" t="str">
            <v>KLi2AlSi4O10F(OH)</v>
          </cell>
          <cell r="D187">
            <v>388.3</v>
          </cell>
          <cell r="E187">
            <v>1.03E-7</v>
          </cell>
          <cell r="F187">
            <v>3.9994899999999999E-5</v>
          </cell>
          <cell r="G187">
            <v>1.6243099999999997E-5</v>
          </cell>
          <cell r="H187">
            <v>-5654.7</v>
          </cell>
          <cell r="I187">
            <v>134.72</v>
          </cell>
          <cell r="J187">
            <v>1.7442486238442097E-3</v>
          </cell>
          <cell r="K187">
            <v>14562.709245428792</v>
          </cell>
          <cell r="L187">
            <v>118563.71023188665</v>
          </cell>
          <cell r="M187">
            <v>1726608839.1662362</v>
          </cell>
          <cell r="Q187" t="str">
            <v/>
          </cell>
          <cell r="R187" t="str">
            <v/>
          </cell>
          <cell r="S187">
            <v>118563.71023188665</v>
          </cell>
          <cell r="T187" t="str">
            <v/>
          </cell>
        </row>
        <row r="188">
          <cell r="B188" t="str">
            <v>Lepidomelane/Annite</v>
          </cell>
          <cell r="C188" t="str">
            <v>KFe2+2:5Mg0:5Fe3+Al0:25Si3O10(OH)2</v>
          </cell>
          <cell r="D188">
            <v>517.78250000000003</v>
          </cell>
          <cell r="E188">
            <v>1.7799999999999999E-6</v>
          </cell>
          <cell r="F188">
            <v>9.2165284999999998E-4</v>
          </cell>
          <cell r="G188">
            <v>2.8070599999999998E-4</v>
          </cell>
          <cell r="H188">
            <v>-4642.3</v>
          </cell>
          <cell r="I188">
            <v>315.86500000000001</v>
          </cell>
          <cell r="J188">
            <v>8.2974648641164134E-2</v>
          </cell>
          <cell r="K188">
            <v>8965.7336816134175</v>
          </cell>
          <cell r="L188">
            <v>118563.71023188665</v>
          </cell>
          <cell r="M188">
            <v>1063010650.2430795</v>
          </cell>
          <cell r="Q188" t="str">
            <v/>
          </cell>
          <cell r="R188" t="str">
            <v/>
          </cell>
          <cell r="S188">
            <v>118563.71023188665</v>
          </cell>
          <cell r="T188" t="str">
            <v/>
          </cell>
        </row>
        <row r="189">
          <cell r="B189" t="str">
            <v>Leucoxene</v>
          </cell>
          <cell r="C189" t="str">
            <v>CaTiSiO5</v>
          </cell>
          <cell r="D189">
            <v>196.03</v>
          </cell>
          <cell r="E189">
            <v>1.9E-6</v>
          </cell>
          <cell r="F189">
            <v>3.7245700000000003E-4</v>
          </cell>
          <cell r="G189">
            <v>2.9963E-4</v>
          </cell>
          <cell r="H189">
            <v>-2454.8000000000002</v>
          </cell>
          <cell r="I189">
            <v>47.27</v>
          </cell>
          <cell r="J189">
            <v>8.1377813280839768E-3</v>
          </cell>
          <cell r="K189">
            <v>12522.573075549661</v>
          </cell>
          <cell r="L189">
            <v>118563.71023188665</v>
          </cell>
          <cell r="M189">
            <v>1484722725.4870956</v>
          </cell>
          <cell r="Q189" t="str">
            <v/>
          </cell>
          <cell r="R189" t="str">
            <v/>
          </cell>
          <cell r="S189">
            <v>118563.71023188665</v>
          </cell>
          <cell r="T189" t="str">
            <v/>
          </cell>
        </row>
        <row r="190">
          <cell r="B190" t="str">
            <v>Linnaeite</v>
          </cell>
          <cell r="C190" t="str">
            <v>Co3S4</v>
          </cell>
          <cell r="D190">
            <v>305.0616</v>
          </cell>
          <cell r="E190">
            <v>1.6900000000000001E-11</v>
          </cell>
          <cell r="F190">
            <v>5.1555410400000003E-9</v>
          </cell>
          <cell r="G190">
            <v>2.6651299999999999E-9</v>
          </cell>
          <cell r="H190">
            <v>-323.60000000000002</v>
          </cell>
          <cell r="I190">
            <v>1806.33</v>
          </cell>
          <cell r="J190">
            <v>4.6836745224702924E-6</v>
          </cell>
          <cell r="K190">
            <v>1060.7693659247836</v>
          </cell>
          <cell r="L190">
            <v>118563.71023188665</v>
          </cell>
          <cell r="M190">
            <v>125768751.72436818</v>
          </cell>
          <cell r="N190" t="str">
            <v>Co</v>
          </cell>
          <cell r="O190">
            <v>0.57955376881259391</v>
          </cell>
          <cell r="P190">
            <v>2E-3</v>
          </cell>
          <cell r="Q190">
            <v>1.033889548864885E-3</v>
          </cell>
          <cell r="R190">
            <v>104.56542532429631</v>
          </cell>
          <cell r="S190">
            <v>118563.71023188665</v>
          </cell>
          <cell r="T190">
            <v>12397664.788423851</v>
          </cell>
        </row>
        <row r="191">
          <cell r="B191" t="str">
            <v>Loellingite</v>
          </cell>
          <cell r="C191" t="str">
            <v>FeAs2</v>
          </cell>
          <cell r="D191">
            <v>205.6884</v>
          </cell>
          <cell r="E191">
            <v>1.2999999999999999E-12</v>
          </cell>
          <cell r="F191">
            <v>2.6739491999999999E-10</v>
          </cell>
          <cell r="G191">
            <v>2.0500999999999997E-10</v>
          </cell>
          <cell r="H191">
            <v>-80.2</v>
          </cell>
          <cell r="I191">
            <v>1284.43</v>
          </cell>
          <cell r="J191">
            <v>2.5198447367533258E-7</v>
          </cell>
          <cell r="K191">
            <v>389.9101748081078</v>
          </cell>
          <cell r="L191">
            <v>118563.71023188665</v>
          </cell>
          <cell r="M191">
            <v>46229196.982412763</v>
          </cell>
          <cell r="Q191" t="str">
            <v/>
          </cell>
          <cell r="R191" t="str">
            <v/>
          </cell>
          <cell r="S191">
            <v>118563.71023188665</v>
          </cell>
          <cell r="T191" t="str">
            <v/>
          </cell>
        </row>
        <row r="192">
          <cell r="B192" t="str">
            <v>Loparite-(Ce)</v>
          </cell>
          <cell r="C192" t="str">
            <v>Na0:6Ce0:22La0:11Ca0:1Ti0:8Nb0:2O3</v>
          </cell>
          <cell r="D192">
            <v>164.6</v>
          </cell>
          <cell r="E192">
            <v>4.8099999999999999E-10</v>
          </cell>
          <cell r="F192">
            <v>7.9172599999999995E-8</v>
          </cell>
          <cell r="G192">
            <v>7.5853699999999996E-8</v>
          </cell>
          <cell r="H192">
            <v>-1343.6</v>
          </cell>
          <cell r="I192">
            <v>184.27</v>
          </cell>
          <cell r="J192">
            <v>1.0894950447778412E-5</v>
          </cell>
          <cell r="K192">
            <v>8162.8189550425277</v>
          </cell>
          <cell r="L192">
            <v>118563.71023188665</v>
          </cell>
          <cell r="M192">
            <v>967814101.2610141</v>
          </cell>
          <cell r="Q192" t="str">
            <v/>
          </cell>
          <cell r="R192" t="str">
            <v/>
          </cell>
          <cell r="S192">
            <v>118563.71023188665</v>
          </cell>
          <cell r="T192" t="str">
            <v/>
          </cell>
        </row>
        <row r="193">
          <cell r="B193" t="str">
            <v>Magnesioferrite</v>
          </cell>
          <cell r="C193" t="str">
            <v>MgFe3+2O4</v>
          </cell>
          <cell r="D193">
            <v>200</v>
          </cell>
          <cell r="E193">
            <v>4.3999999999999998E-10</v>
          </cell>
          <cell r="F193">
            <v>8.7999999999999994E-8</v>
          </cell>
          <cell r="G193">
            <v>6.9387999999999986E-8</v>
          </cell>
          <cell r="H193">
            <v>-1351</v>
          </cell>
          <cell r="I193">
            <v>73.290000000000006</v>
          </cell>
          <cell r="J193">
            <v>2.2502706537533477E-6</v>
          </cell>
          <cell r="K193">
            <v>6755</v>
          </cell>
          <cell r="L193">
            <v>118563.71023188665</v>
          </cell>
          <cell r="M193">
            <v>800897862.61639428</v>
          </cell>
          <cell r="Q193" t="str">
            <v/>
          </cell>
          <cell r="R193" t="str">
            <v/>
          </cell>
          <cell r="S193">
            <v>118563.71023188665</v>
          </cell>
          <cell r="T193" t="str">
            <v/>
          </cell>
        </row>
        <row r="194">
          <cell r="B194" t="str">
            <v>Magnesite</v>
          </cell>
          <cell r="C194" t="str">
            <v>MgCO3</v>
          </cell>
          <cell r="D194">
            <v>84.31</v>
          </cell>
          <cell r="E194">
            <v>3.58E-7</v>
          </cell>
          <cell r="F194">
            <v>3.0182980000000001E-5</v>
          </cell>
          <cell r="G194">
            <v>5.6456599999999997E-5</v>
          </cell>
          <cell r="H194">
            <v>-1030.2</v>
          </cell>
          <cell r="I194">
            <v>24</v>
          </cell>
          <cell r="J194">
            <v>-1.3995789597085988E-5</v>
          </cell>
          <cell r="K194">
            <v>12219.191080536117</v>
          </cell>
          <cell r="L194">
            <v>118563.71023188665</v>
          </cell>
          <cell r="M194">
            <v>1448752630.5407381</v>
          </cell>
          <cell r="P194">
            <v>0.6</v>
          </cell>
          <cell r="Q194">
            <v>1.122286798719013</v>
          </cell>
          <cell r="R194">
            <v>290.99609630638054</v>
          </cell>
          <cell r="S194">
            <v>118563.71023188665</v>
          </cell>
          <cell r="T194">
            <v>34501576.841079883</v>
          </cell>
        </row>
        <row r="195">
          <cell r="B195" t="str">
            <v>Magnetite</v>
          </cell>
          <cell r="C195" t="str">
            <v>Fe3+2Fe2+O4</v>
          </cell>
          <cell r="D195">
            <v>231.55</v>
          </cell>
          <cell r="E195">
            <v>3.43E-5</v>
          </cell>
          <cell r="F195">
            <v>7.942165000000001E-3</v>
          </cell>
          <cell r="G195">
            <v>5.40911E-3</v>
          </cell>
          <cell r="H195">
            <v>-1015.9</v>
          </cell>
          <cell r="I195">
            <v>125.1</v>
          </cell>
          <cell r="J195">
            <v>0.60669324514020717</v>
          </cell>
          <cell r="K195">
            <v>4387.3893327575033</v>
          </cell>
          <cell r="L195">
            <v>118563.71023188665</v>
          </cell>
          <cell r="M195">
            <v>520185157.52353114</v>
          </cell>
          <cell r="Q195" t="str">
            <v/>
          </cell>
          <cell r="R195" t="str">
            <v/>
          </cell>
          <cell r="S195">
            <v>118563.71023188665</v>
          </cell>
          <cell r="T195" t="str">
            <v/>
          </cell>
        </row>
        <row r="196">
          <cell r="B196" t="str">
            <v>Malachite</v>
          </cell>
          <cell r="C196" t="str">
            <v>Cu2(CO3)(OH)2</v>
          </cell>
          <cell r="D196">
            <v>221.12</v>
          </cell>
          <cell r="E196">
            <v>5.4599999999999998E-9</v>
          </cell>
          <cell r="F196">
            <v>1.2073151999999999E-6</v>
          </cell>
          <cell r="G196">
            <v>8.6104199999999988E-7</v>
          </cell>
          <cell r="H196">
            <v>-906</v>
          </cell>
          <cell r="I196">
            <v>22.786666666666665</v>
          </cell>
          <cell r="J196">
            <v>-1.0186424653181592E-5</v>
          </cell>
          <cell r="K196">
            <v>4097.3227206946458</v>
          </cell>
          <cell r="L196">
            <v>118563.71023188665</v>
          </cell>
          <cell r="M196">
            <v>485793783.78296542</v>
          </cell>
          <cell r="Q196" t="str">
            <v/>
          </cell>
          <cell r="R196" t="str">
            <v/>
          </cell>
          <cell r="S196">
            <v>118563.71023188665</v>
          </cell>
          <cell r="T196" t="str">
            <v/>
          </cell>
        </row>
        <row r="197">
          <cell r="B197" t="str">
            <v>Manganite</v>
          </cell>
          <cell r="C197" t="str">
            <v>MnO(OH)</v>
          </cell>
          <cell r="D197">
            <v>87.94</v>
          </cell>
          <cell r="E197">
            <v>1.55E-7</v>
          </cell>
          <cell r="F197">
            <v>1.36307E-5</v>
          </cell>
          <cell r="G197">
            <v>2.4443499999999997E-5</v>
          </cell>
          <cell r="H197">
            <v>-557.29999999999995</v>
          </cell>
          <cell r="I197">
            <v>60.76</v>
          </cell>
          <cell r="J197">
            <v>8.4176221522500787E-4</v>
          </cell>
          <cell r="K197">
            <v>6337.2754150557203</v>
          </cell>
          <cell r="L197">
            <v>118563.71023188665</v>
          </cell>
          <cell r="M197">
            <v>751370885.97032559</v>
          </cell>
          <cell r="Q197" t="str">
            <v/>
          </cell>
          <cell r="R197" t="str">
            <v/>
          </cell>
          <cell r="S197">
            <v>118563.71023188665</v>
          </cell>
          <cell r="T197" t="str">
            <v/>
          </cell>
        </row>
        <row r="198">
          <cell r="B198" t="str">
            <v>Marcasite</v>
          </cell>
          <cell r="C198" t="str">
            <v>FeS2</v>
          </cell>
          <cell r="D198">
            <v>119.98</v>
          </cell>
          <cell r="E198">
            <v>5.2399999999999999E-8</v>
          </cell>
          <cell r="F198">
            <v>6.2869520000000005E-6</v>
          </cell>
          <cell r="G198">
            <v>8.26348E-6</v>
          </cell>
          <cell r="H198">
            <v>-156.6</v>
          </cell>
          <cell r="I198">
            <v>1433</v>
          </cell>
          <cell r="J198">
            <v>1.160183280936835E-2</v>
          </cell>
          <cell r="K198">
            <v>1305.2175362560426</v>
          </cell>
          <cell r="L198">
            <v>118563.71023188665</v>
          </cell>
          <cell r="M198">
            <v>154751433.75823846</v>
          </cell>
          <cell r="Q198" t="str">
            <v/>
          </cell>
          <cell r="R198" t="str">
            <v/>
          </cell>
          <cell r="S198">
            <v>118563.71023188665</v>
          </cell>
          <cell r="T198" t="str">
            <v/>
          </cell>
        </row>
        <row r="199">
          <cell r="B199" t="str">
            <v>Metacinnabar</v>
          </cell>
          <cell r="C199" t="str">
            <v>HgS</v>
          </cell>
          <cell r="D199">
            <v>232.6575</v>
          </cell>
          <cell r="E199">
            <v>3.17E-12</v>
          </cell>
          <cell r="F199">
            <v>7.3752427499999997E-10</v>
          </cell>
          <cell r="G199">
            <v>4.9990899999999997E-10</v>
          </cell>
          <cell r="H199">
            <v>-47.7</v>
          </cell>
          <cell r="I199">
            <v>674.35</v>
          </cell>
          <cell r="J199">
            <v>3.1057453273198987E-7</v>
          </cell>
          <cell r="K199">
            <v>205.02240417781502</v>
          </cell>
          <cell r="L199">
            <v>118563.71023188665</v>
          </cell>
          <cell r="M199">
            <v>24308216.919983208</v>
          </cell>
          <cell r="Q199" t="str">
            <v/>
          </cell>
          <cell r="R199" t="str">
            <v/>
          </cell>
          <cell r="S199">
            <v>118563.71023188665</v>
          </cell>
          <cell r="T199" t="str">
            <v/>
          </cell>
        </row>
        <row r="200">
          <cell r="B200" t="str">
            <v>Microlite</v>
          </cell>
          <cell r="C200" t="str">
            <v>Na0:4Ca1:6Ta2O6:6(OH)0:3F0:1</v>
          </cell>
          <cell r="D200">
            <v>547.82399999999996</v>
          </cell>
          <cell r="E200">
            <v>8.7099999999999998E-12</v>
          </cell>
          <cell r="F200">
            <v>4.7715470399999994E-9</v>
          </cell>
          <cell r="G200">
            <v>1.3735669999999999E-9</v>
          </cell>
          <cell r="H200">
            <v>-3004.3</v>
          </cell>
          <cell r="I200">
            <v>321.64999999999998</v>
          </cell>
          <cell r="J200">
            <v>3.7232947893941365E-7</v>
          </cell>
          <cell r="K200">
            <v>5484.060574199013</v>
          </cell>
          <cell r="L200">
            <v>118563.71023188665</v>
          </cell>
          <cell r="M200">
            <v>650210568.81344569</v>
          </cell>
          <cell r="Q200" t="str">
            <v/>
          </cell>
          <cell r="R200" t="str">
            <v/>
          </cell>
          <cell r="S200">
            <v>118563.71023188665</v>
          </cell>
          <cell r="T200" t="str">
            <v/>
          </cell>
        </row>
        <row r="201">
          <cell r="B201" t="str">
            <v>Miserite</v>
          </cell>
          <cell r="C201" t="str">
            <v>KCa2Ce3Si8O22(OH)1;5F0;5</v>
          </cell>
          <cell r="D201">
            <v>1151.2850000000001</v>
          </cell>
          <cell r="E201">
            <v>2E-12</v>
          </cell>
          <cell r="F201">
            <v>2.3025700000000002E-9</v>
          </cell>
          <cell r="G201">
            <v>3.1539999999999997E-10</v>
          </cell>
          <cell r="H201">
            <v>-11035.1</v>
          </cell>
          <cell r="I201">
            <v>11820.68</v>
          </cell>
          <cell r="J201">
            <v>3.7111384655420558E-6</v>
          </cell>
          <cell r="K201">
            <v>9585.02890248722</v>
          </cell>
          <cell r="L201">
            <v>118563.71023188665</v>
          </cell>
          <cell r="M201">
            <v>1136436589.3587532</v>
          </cell>
          <cell r="Q201" t="str">
            <v/>
          </cell>
          <cell r="R201" t="str">
            <v/>
          </cell>
          <cell r="S201">
            <v>118563.71023188665</v>
          </cell>
          <cell r="T201" t="str">
            <v/>
          </cell>
        </row>
        <row r="202">
          <cell r="B202" t="str">
            <v>Moissanite</v>
          </cell>
          <cell r="C202" t="str">
            <v>SiC</v>
          </cell>
          <cell r="D202">
            <v>40.096299999999999</v>
          </cell>
          <cell r="E202">
            <v>3.51E-11</v>
          </cell>
          <cell r="F202">
            <v>1.4073801299999999E-9</v>
          </cell>
          <cell r="G202">
            <v>5.5352699999999996E-9</v>
          </cell>
          <cell r="H202">
            <v>-60.3</v>
          </cell>
          <cell r="I202">
            <v>1204.05</v>
          </cell>
          <cell r="J202">
            <v>6.403877743450226E-6</v>
          </cell>
          <cell r="K202">
            <v>1503.8794103196556</v>
          </cell>
          <cell r="L202">
            <v>118563.71023188665</v>
          </cell>
          <cell r="M202">
            <v>178305522.62884021</v>
          </cell>
          <cell r="Q202" t="str">
            <v/>
          </cell>
          <cell r="R202" t="str">
            <v/>
          </cell>
          <cell r="S202">
            <v>118563.71023188665</v>
          </cell>
          <cell r="T202" t="str">
            <v/>
          </cell>
        </row>
        <row r="203">
          <cell r="B203" t="str">
            <v>Molybdenite</v>
          </cell>
          <cell r="C203" t="str">
            <v>MoS2</v>
          </cell>
          <cell r="D203">
            <v>160.07</v>
          </cell>
          <cell r="E203">
            <v>1.14E-8</v>
          </cell>
          <cell r="F203">
            <v>1.8247979999999998E-6</v>
          </cell>
          <cell r="G203">
            <v>1.7977799999999998E-6</v>
          </cell>
          <cell r="H203">
            <v>-262.8</v>
          </cell>
          <cell r="I203">
            <v>1718.5</v>
          </cell>
          <cell r="J203">
            <v>3.0305317799512203E-3</v>
          </cell>
          <cell r="K203">
            <v>1641.7817204972825</v>
          </cell>
          <cell r="L203">
            <v>118563.71023188665</v>
          </cell>
          <cell r="M203">
            <v>194655732.17304814</v>
          </cell>
          <cell r="N203" t="str">
            <v>Mo</v>
          </cell>
          <cell r="O203">
            <v>0.5993627787842819</v>
          </cell>
          <cell r="P203">
            <v>8.2000000000000001E-5</v>
          </cell>
          <cell r="Q203">
            <v>8.0785906166052358E-5</v>
          </cell>
          <cell r="R203">
            <v>58.927508337134462</v>
          </cell>
          <cell r="S203">
            <v>118563.71023188665</v>
          </cell>
          <cell r="T203">
            <v>6986664.0231710952</v>
          </cell>
        </row>
        <row r="204">
          <cell r="B204" t="str">
            <v>Molybdenite (0.0684% mineral in ground)</v>
          </cell>
          <cell r="C204" t="str">
            <v>MoS2</v>
          </cell>
          <cell r="D204">
            <v>160.07</v>
          </cell>
          <cell r="E204">
            <v>1.14E-8</v>
          </cell>
          <cell r="F204">
            <v>1.8247979999999998E-6</v>
          </cell>
          <cell r="G204">
            <v>1.7977799999999998E-6</v>
          </cell>
          <cell r="H204">
            <v>-262.8</v>
          </cell>
          <cell r="I204">
            <v>1718.5</v>
          </cell>
          <cell r="J204">
            <v>3.0305317799512203E-3</v>
          </cell>
          <cell r="K204">
            <v>1641.7817204972825</v>
          </cell>
          <cell r="L204">
            <v>118563.71023188665</v>
          </cell>
          <cell r="M204">
            <v>194655732.17304814</v>
          </cell>
          <cell r="N204" t="str">
            <v>Mo</v>
          </cell>
          <cell r="O204">
            <v>0.5993627787842819</v>
          </cell>
          <cell r="P204">
            <v>4.0999999999999999E-4</v>
          </cell>
          <cell r="Q204">
            <v>4.0392953083026177E-4</v>
          </cell>
          <cell r="R204">
            <v>83.851013288754217</v>
          </cell>
          <cell r="S204">
            <v>118563.71023188665</v>
          </cell>
          <cell r="T204">
            <v>9941687.2422179319</v>
          </cell>
        </row>
        <row r="205">
          <cell r="B205" t="str">
            <v>Molybdenite (for Rhenium, 0.0684% mineral in ground)</v>
          </cell>
          <cell r="C205" t="str">
            <v>MoS2</v>
          </cell>
          <cell r="D205">
            <v>160.07</v>
          </cell>
          <cell r="E205">
            <v>1.14E-8</v>
          </cell>
          <cell r="F205">
            <v>1.8247979999999998E-6</v>
          </cell>
          <cell r="G205">
            <v>1.7977799999999998E-6</v>
          </cell>
          <cell r="H205">
            <v>-262.8</v>
          </cell>
          <cell r="I205">
            <v>1718.5</v>
          </cell>
          <cell r="J205">
            <v>3.0305317799512203E-3</v>
          </cell>
          <cell r="K205">
            <v>1641.7817204972825</v>
          </cell>
          <cell r="L205">
            <v>118563.71023188665</v>
          </cell>
          <cell r="M205">
            <v>194655732.17304814</v>
          </cell>
          <cell r="N205" t="str">
            <v>Re</v>
          </cell>
          <cell r="O205">
            <v>1.9112021923006455E-4</v>
          </cell>
          <cell r="P205">
            <v>4.0999999999999999E-4</v>
          </cell>
          <cell r="Q205">
            <v>4.0392953083026177E-4</v>
          </cell>
          <cell r="R205">
            <v>83.851013288754217</v>
          </cell>
          <cell r="S205">
            <v>118563.71023188665</v>
          </cell>
          <cell r="T205">
            <v>9941687.2422179319</v>
          </cell>
        </row>
        <row r="206">
          <cell r="B206" t="str">
            <v>Monazite(Ce)</v>
          </cell>
          <cell r="C206" t="str">
            <v>Ce0:5La0:25Nd0:2Th0:05(PO4)</v>
          </cell>
          <cell r="D206">
            <v>240.21</v>
          </cell>
          <cell r="E206">
            <v>4.2899999999999999E-7</v>
          </cell>
          <cell r="F206">
            <v>1.0305009E-4</v>
          </cell>
          <cell r="G206">
            <v>6.7653299999999991E-5</v>
          </cell>
          <cell r="H206">
            <v>-1943.3</v>
          </cell>
          <cell r="I206">
            <v>-43.07</v>
          </cell>
          <cell r="J206">
            <v>-4.5239373255318268E-3</v>
          </cell>
          <cell r="K206">
            <v>8090.0045793264226</v>
          </cell>
          <cell r="L206">
            <v>118563.71023188665</v>
          </cell>
          <cell r="M206">
            <v>959180958.71789408</v>
          </cell>
          <cell r="Q206" t="str">
            <v/>
          </cell>
          <cell r="R206" t="str">
            <v/>
          </cell>
          <cell r="S206">
            <v>118563.71023188665</v>
          </cell>
          <cell r="T206" t="str">
            <v/>
          </cell>
        </row>
        <row r="207">
          <cell r="B207" t="str">
            <v>Montmorillonite</v>
          </cell>
          <cell r="C207" t="str">
            <v>Na0:165Ca0:084Al2:33Si3:67O10(OH)2</v>
          </cell>
          <cell r="D207">
            <v>367.11376999999999</v>
          </cell>
          <cell r="E207">
            <v>6.5200000000000003E-6</v>
          </cell>
          <cell r="F207">
            <v>2.3935817803999999E-3</v>
          </cell>
          <cell r="G207">
            <v>1.028204E-3</v>
          </cell>
          <cell r="H207">
            <v>-5354.5</v>
          </cell>
          <cell r="I207">
            <v>-12.01</v>
          </cell>
          <cell r="J207">
            <v>-2.9883855610108097E-2</v>
          </cell>
          <cell r="K207">
            <v>14585.396783128021</v>
          </cell>
          <cell r="L207">
            <v>118563.71023188665</v>
          </cell>
          <cell r="M207">
            <v>1729298757.8118823</v>
          </cell>
          <cell r="Q207" t="str">
            <v/>
          </cell>
          <cell r="R207" t="str">
            <v/>
          </cell>
          <cell r="S207">
            <v>118563.71023188665</v>
          </cell>
          <cell r="T207" t="str">
            <v/>
          </cell>
        </row>
        <row r="208">
          <cell r="B208" t="str">
            <v>Murmanite</v>
          </cell>
          <cell r="C208" t="str">
            <v>Na4Ti3:6Nb0:4(Si2O7)2O44(H2O)</v>
          </cell>
          <cell r="D208">
            <v>773.88</v>
          </cell>
          <cell r="E208">
            <v>2.7800000000000001E-8</v>
          </cell>
          <cell r="F208">
            <v>2.1513863999999999E-5</v>
          </cell>
          <cell r="G208">
            <v>4.3840599999999998E-6</v>
          </cell>
          <cell r="H208">
            <v>-9096.6</v>
          </cell>
          <cell r="I208">
            <v>1227.19</v>
          </cell>
          <cell r="J208">
            <v>5.2459989966434735E-3</v>
          </cell>
          <cell r="K208">
            <v>11754.5355869127</v>
          </cell>
          <cell r="L208">
            <v>118563.71023188665</v>
          </cell>
          <cell r="M208">
            <v>1393661351.2371171</v>
          </cell>
          <cell r="Q208" t="str">
            <v/>
          </cell>
          <cell r="R208" t="str">
            <v/>
          </cell>
          <cell r="S208">
            <v>118563.71023188665</v>
          </cell>
          <cell r="T208" t="str">
            <v/>
          </cell>
        </row>
        <row r="209">
          <cell r="B209" t="str">
            <v>Muscovite</v>
          </cell>
          <cell r="C209" t="str">
            <v>KAl3Si3O10(OH)1:8F0:2</v>
          </cell>
          <cell r="D209">
            <v>398.71</v>
          </cell>
          <cell r="E209">
            <v>2.5400000000000001E-5</v>
          </cell>
          <cell r="F209">
            <v>1.0127234000000001E-2</v>
          </cell>
          <cell r="G209">
            <v>4.0055799999999999E-3</v>
          </cell>
          <cell r="H209">
            <v>-5616.6</v>
          </cell>
          <cell r="I209">
            <v>5584.04</v>
          </cell>
          <cell r="J209">
            <v>22.312509601719849</v>
          </cell>
          <cell r="K209">
            <v>14086.930350379977</v>
          </cell>
          <cell r="L209">
            <v>118563.71023188665</v>
          </cell>
          <cell r="M209">
            <v>1670198728.119221</v>
          </cell>
          <cell r="Q209" t="str">
            <v/>
          </cell>
          <cell r="R209" t="str">
            <v/>
          </cell>
          <cell r="S209">
            <v>118563.71023188665</v>
          </cell>
          <cell r="T209" t="str">
            <v/>
          </cell>
        </row>
        <row r="210">
          <cell r="B210" t="str">
            <v>Naegite</v>
          </cell>
          <cell r="C210" t="str">
            <v>ZrSiO4</v>
          </cell>
          <cell r="D210">
            <v>183.31</v>
          </cell>
          <cell r="E210">
            <v>6.9799999999999997E-12</v>
          </cell>
          <cell r="F210">
            <v>1.2795037999999999E-9</v>
          </cell>
          <cell r="G210">
            <v>1.1007459999999999E-9</v>
          </cell>
          <cell r="H210">
            <v>-1919.2</v>
          </cell>
          <cell r="I210">
            <v>23.72</v>
          </cell>
          <cell r="J210">
            <v>-3.017286777458681E-8</v>
          </cell>
          <cell r="K210">
            <v>10469.696143145491</v>
          </cell>
          <cell r="L210">
            <v>118563.71023188665</v>
          </cell>
          <cell r="M210">
            <v>1241326019.7318032</v>
          </cell>
          <cell r="Q210" t="str">
            <v/>
          </cell>
          <cell r="R210" t="str">
            <v/>
          </cell>
          <cell r="S210">
            <v>118563.71023188665</v>
          </cell>
          <cell r="T210" t="str">
            <v/>
          </cell>
        </row>
        <row r="211">
          <cell r="B211" t="str">
            <v>Native silver</v>
          </cell>
          <cell r="C211" t="str">
            <v>Ag</v>
          </cell>
          <cell r="D211">
            <v>107.87</v>
          </cell>
          <cell r="E211">
            <v>1.94E-10</v>
          </cell>
          <cell r="F211">
            <v>2.0926780000000002E-8</v>
          </cell>
          <cell r="G211">
            <v>3.0593799999999998E-8</v>
          </cell>
          <cell r="H211">
            <v>-1.4921524056734958</v>
          </cell>
          <cell r="I211">
            <v>68.349999999999994</v>
          </cell>
          <cell r="J211">
            <v>7.7892765340264887E-7</v>
          </cell>
          <cell r="K211">
            <v>13.832876663330822</v>
          </cell>
          <cell r="L211">
            <v>118563.71023188665</v>
          </cell>
          <cell r="M211">
            <v>1640077.1803845826</v>
          </cell>
          <cell r="N211" t="str">
            <v>Ag</v>
          </cell>
          <cell r="O211">
            <v>1</v>
          </cell>
          <cell r="P211">
            <v>2.0999999999999998E-6</v>
          </cell>
          <cell r="Q211">
            <v>3.0700843608046716E-6</v>
          </cell>
          <cell r="R211">
            <v>105.90564321989956</v>
          </cell>
          <cell r="S211">
            <v>118563.71023188665</v>
          </cell>
          <cell r="T211">
            <v>12556565.994645743</v>
          </cell>
        </row>
        <row r="212">
          <cell r="B212" t="str">
            <v>Native silver (0.0042% mineral in ground)</v>
          </cell>
          <cell r="C212" t="str">
            <v>Ag</v>
          </cell>
          <cell r="D212">
            <v>107.87</v>
          </cell>
          <cell r="E212">
            <v>1.94E-10</v>
          </cell>
          <cell r="F212">
            <v>2.0926780000000002E-8</v>
          </cell>
          <cell r="G212">
            <v>3.0593799999999998E-8</v>
          </cell>
          <cell r="H212">
            <v>-1.4921524056734958</v>
          </cell>
          <cell r="I212">
            <v>68.349999999999994</v>
          </cell>
          <cell r="J212">
            <v>7.7892765340264887E-7</v>
          </cell>
          <cell r="K212">
            <v>13.832876663330822</v>
          </cell>
          <cell r="L212">
            <v>118563.71023188665</v>
          </cell>
          <cell r="M212">
            <v>1640077.1803845826</v>
          </cell>
          <cell r="N212" t="str">
            <v>Ag</v>
          </cell>
          <cell r="O212">
            <v>1</v>
          </cell>
          <cell r="P212">
            <v>4.1999999999999998E-5</v>
          </cell>
          <cell r="Q212">
            <v>6.1401687216093443E-5</v>
          </cell>
          <cell r="R212">
            <v>174.74664051453249</v>
          </cell>
          <cell r="S212">
            <v>118563.71023188665</v>
          </cell>
          <cell r="T212">
            <v>20718610.049960695</v>
          </cell>
        </row>
        <row r="213">
          <cell r="B213" t="str">
            <v>Native silver (0.00005% mineral in ground)</v>
          </cell>
          <cell r="C213" t="str">
            <v>Ag</v>
          </cell>
          <cell r="D213">
            <v>107.87</v>
          </cell>
          <cell r="E213">
            <v>1.94E-10</v>
          </cell>
          <cell r="F213">
            <v>2.0926780000000002E-8</v>
          </cell>
          <cell r="G213">
            <v>3.0593799999999998E-8</v>
          </cell>
          <cell r="H213">
            <v>-1.4921524056734958</v>
          </cell>
          <cell r="I213">
            <v>68.349999999999994</v>
          </cell>
          <cell r="J213">
            <v>7.7892765340264887E-7</v>
          </cell>
          <cell r="K213">
            <v>13.832876663330822</v>
          </cell>
          <cell r="L213">
            <v>118563.71023188665</v>
          </cell>
          <cell r="M213">
            <v>1640077.1803845826</v>
          </cell>
          <cell r="N213" t="str">
            <v>Ag</v>
          </cell>
          <cell r="O213">
            <v>1</v>
          </cell>
          <cell r="P213">
            <v>4.5999999999999999E-7</v>
          </cell>
          <cell r="Q213">
            <v>6.7249466950959477E-7</v>
          </cell>
          <cell r="R213">
            <v>71.011763028665143</v>
          </cell>
          <cell r="S213">
            <v>118563.71023188665</v>
          </cell>
          <cell r="T213">
            <v>8419418.0947860554</v>
          </cell>
        </row>
        <row r="214">
          <cell r="B214" t="str">
            <v>Native silver (0.00097% mineral in ground)</v>
          </cell>
          <cell r="C214" t="str">
            <v>Ag</v>
          </cell>
          <cell r="D214">
            <v>107.87</v>
          </cell>
          <cell r="E214">
            <v>1.94E-10</v>
          </cell>
          <cell r="F214">
            <v>2.0926780000000002E-8</v>
          </cell>
          <cell r="G214">
            <v>3.0593799999999998E-8</v>
          </cell>
          <cell r="H214">
            <v>-1.4921524056734958</v>
          </cell>
          <cell r="I214">
            <v>68.349999999999994</v>
          </cell>
          <cell r="J214">
            <v>7.7892765340264887E-7</v>
          </cell>
          <cell r="K214">
            <v>13.832876663330822</v>
          </cell>
          <cell r="L214">
            <v>118563.71023188665</v>
          </cell>
          <cell r="M214">
            <v>1640077.1803845826</v>
          </cell>
          <cell r="N214" t="str">
            <v>Ag</v>
          </cell>
          <cell r="O214">
            <v>1</v>
          </cell>
          <cell r="P214">
            <v>9.7000000000000003E-6</v>
          </cell>
          <cell r="Q214">
            <v>1.4180865857050153E-5</v>
          </cell>
          <cell r="R214">
            <v>141.06890067319048</v>
          </cell>
          <cell r="S214">
            <v>118563.71023188665</v>
          </cell>
          <cell r="T214">
            <v>16725652.262146957</v>
          </cell>
        </row>
        <row r="215">
          <cell r="B215" t="str">
            <v>Natrolite</v>
          </cell>
          <cell r="C215" t="str">
            <v>Na2Al2Si3O102(H2O)</v>
          </cell>
          <cell r="D215">
            <v>1834.15</v>
          </cell>
          <cell r="E215">
            <v>7.8199999999999997E-6</v>
          </cell>
          <cell r="F215">
            <v>1.4343053E-2</v>
          </cell>
          <cell r="G215">
            <v>1.2332139999999998E-3</v>
          </cell>
          <cell r="H215">
            <v>-5316.6</v>
          </cell>
          <cell r="I215">
            <v>3.77</v>
          </cell>
          <cell r="J215">
            <v>-1.5826398002097661E-2</v>
          </cell>
          <cell r="K215">
            <v>2898.6724095630125</v>
          </cell>
          <cell r="L215">
            <v>118563.71023188665</v>
          </cell>
          <cell r="M215">
            <v>343677355.62459368</v>
          </cell>
          <cell r="Q215" t="str">
            <v/>
          </cell>
          <cell r="R215" t="str">
            <v/>
          </cell>
          <cell r="S215">
            <v>118563.71023188665</v>
          </cell>
          <cell r="T215" t="str">
            <v/>
          </cell>
        </row>
        <row r="216">
          <cell r="B216" t="str">
            <v>Nepheline</v>
          </cell>
          <cell r="C216" t="str">
            <v>Na0:75K0;25Al(SiO4)</v>
          </cell>
          <cell r="D216">
            <v>146.08000000000001</v>
          </cell>
          <cell r="E216">
            <v>5.0900000000000002E-7</v>
          </cell>
          <cell r="F216">
            <v>7.435472000000001E-5</v>
          </cell>
          <cell r="G216">
            <v>8.0269299999999994E-5</v>
          </cell>
          <cell r="H216">
            <v>-1972.4</v>
          </cell>
          <cell r="I216">
            <v>34.590000000000003</v>
          </cell>
          <cell r="J216">
            <v>9.0017446069610649E-4</v>
          </cell>
          <cell r="K216">
            <v>13502.190580503833</v>
          </cell>
          <cell r="L216">
            <v>118563.71023188665</v>
          </cell>
          <cell r="M216">
            <v>1600869811.4825659</v>
          </cell>
          <cell r="Q216" t="str">
            <v/>
          </cell>
          <cell r="R216" t="str">
            <v/>
          </cell>
          <cell r="S216">
            <v>118563.71023188665</v>
          </cell>
          <cell r="T216" t="str">
            <v/>
          </cell>
        </row>
        <row r="217">
          <cell r="B217" t="str">
            <v>Neptunite</v>
          </cell>
          <cell r="C217" t="str">
            <v>KNa2LiFe2+1:5Mn2+.05Ti2Si8O24</v>
          </cell>
          <cell r="D217">
            <v>907.69</v>
          </cell>
          <cell r="E217">
            <v>1.1000000000000001E-6</v>
          </cell>
          <cell r="F217">
            <v>9.9845900000000015E-4</v>
          </cell>
          <cell r="G217">
            <v>1.7347E-4</v>
          </cell>
          <cell r="H217">
            <v>-10061.299999999999</v>
          </cell>
          <cell r="I217">
            <v>879.22</v>
          </cell>
          <cell r="J217">
            <v>0.14879469938142931</v>
          </cell>
          <cell r="K217">
            <v>11084.511231808216</v>
          </cell>
          <cell r="L217">
            <v>118563.71023188665</v>
          </cell>
          <cell r="M217">
            <v>1314220777.7502022</v>
          </cell>
          <cell r="Q217" t="str">
            <v/>
          </cell>
          <cell r="R217" t="str">
            <v/>
          </cell>
          <cell r="S217">
            <v>118563.71023188665</v>
          </cell>
          <cell r="T217" t="str">
            <v/>
          </cell>
        </row>
        <row r="218">
          <cell r="B218" t="str">
            <v>Nickeline</v>
          </cell>
          <cell r="C218" t="str">
            <v>NiAs</v>
          </cell>
          <cell r="D218">
            <v>133.62</v>
          </cell>
          <cell r="E218">
            <v>2.0400000000000001E-8</v>
          </cell>
          <cell r="F218">
            <v>2.7258480000000003E-6</v>
          </cell>
          <cell r="G218">
            <v>3.21708E-6</v>
          </cell>
          <cell r="H218" t="str">
            <v>N.A.</v>
          </cell>
          <cell r="I218" t="str">
            <v>N.A.</v>
          </cell>
          <cell r="J218" t="e">
            <v>#VALUE!</v>
          </cell>
          <cell r="K218" t="e">
            <v>#VALUE!</v>
          </cell>
          <cell r="L218">
            <v>118563.71023188665</v>
          </cell>
          <cell r="M218" t="e">
            <v>#VALUE!</v>
          </cell>
          <cell r="Q218" t="str">
            <v/>
          </cell>
          <cell r="R218" t="str">
            <v/>
          </cell>
          <cell r="S218">
            <v>118563.71023188665</v>
          </cell>
          <cell r="T218" t="str">
            <v/>
          </cell>
        </row>
        <row r="219">
          <cell r="B219" t="str">
            <v>Niter</v>
          </cell>
          <cell r="C219" t="str">
            <v>KNO3</v>
          </cell>
          <cell r="D219">
            <v>101.1</v>
          </cell>
          <cell r="E219">
            <v>2.96E-6</v>
          </cell>
          <cell r="F219">
            <v>2.9925599999999997E-4</v>
          </cell>
          <cell r="G219">
            <v>4.66792E-4</v>
          </cell>
          <cell r="H219">
            <v>-395.2</v>
          </cell>
          <cell r="I219">
            <v>-21.82</v>
          </cell>
          <cell r="J219">
            <v>-1.9059872345157314E-2</v>
          </cell>
          <cell r="K219">
            <v>3909.0009891196837</v>
          </cell>
          <cell r="L219">
            <v>118563.71023188665</v>
          </cell>
          <cell r="M219">
            <v>463465660.57014447</v>
          </cell>
          <cell r="Q219" t="str">
            <v/>
          </cell>
          <cell r="R219" t="str">
            <v/>
          </cell>
          <cell r="S219">
            <v>118563.71023188665</v>
          </cell>
          <cell r="T219" t="str">
            <v/>
          </cell>
        </row>
        <row r="220">
          <cell r="B220" t="str">
            <v>Nitratine</v>
          </cell>
          <cell r="C220" t="str">
            <v>NaNO3</v>
          </cell>
          <cell r="D220">
            <v>84.99</v>
          </cell>
          <cell r="E220">
            <v>2.96E-6</v>
          </cell>
          <cell r="F220">
            <v>2.5157039999999998E-4</v>
          </cell>
          <cell r="G220">
            <v>4.66792E-4</v>
          </cell>
          <cell r="H220">
            <v>-367.1</v>
          </cell>
          <cell r="I220">
            <v>-24.07</v>
          </cell>
          <cell r="J220">
            <v>-2.0110154345157314E-2</v>
          </cell>
          <cell r="K220">
            <v>4319.3316860807154</v>
          </cell>
          <cell r="L220">
            <v>118563.71023188665</v>
          </cell>
          <cell r="M220">
            <v>512115990.42388034</v>
          </cell>
          <cell r="P220">
            <v>0.17480000000000001</v>
          </cell>
          <cell r="Q220">
            <v>0.32434356983174495</v>
          </cell>
          <cell r="R220">
            <v>190.85287981303617</v>
          </cell>
          <cell r="S220">
            <v>118563.71023188665</v>
          </cell>
          <cell r="T220">
            <v>22628225.539073911</v>
          </cell>
        </row>
        <row r="221">
          <cell r="B221" t="str">
            <v>Nontronite</v>
          </cell>
          <cell r="C221" t="str">
            <v>Na0:3Fe3+2(Si3:7Al0;3)O10(OH)24(H2O)</v>
          </cell>
          <cell r="D221">
            <v>495.9</v>
          </cell>
          <cell r="E221">
            <v>3.8800000000000001E-5</v>
          </cell>
          <cell r="F221">
            <v>1.9240919999999998E-2</v>
          </cell>
          <cell r="G221">
            <v>6.11876E-3</v>
          </cell>
          <cell r="H221">
            <v>-5447.7</v>
          </cell>
          <cell r="I221">
            <v>18.54</v>
          </cell>
          <cell r="J221">
            <v>3.6143250419011466E-2</v>
          </cell>
          <cell r="K221">
            <v>10985.480943738658</v>
          </cell>
          <cell r="L221">
            <v>118563.71023188665</v>
          </cell>
          <cell r="M221">
            <v>1302479379.3713429</v>
          </cell>
          <cell r="Q221" t="str">
            <v/>
          </cell>
          <cell r="R221" t="str">
            <v/>
          </cell>
          <cell r="S221">
            <v>118563.71023188665</v>
          </cell>
          <cell r="T221" t="str">
            <v/>
          </cell>
        </row>
        <row r="222">
          <cell r="B222" t="str">
            <v>Nordite</v>
          </cell>
          <cell r="C222" t="str">
            <v>Na2:8Mn2+0:2Sr0:5Ca0:5La0:33Ce0:6Zn0;6Mg0:4Si6O17</v>
          </cell>
          <cell r="D222">
            <v>758.62030000000004</v>
          </cell>
          <cell r="E222">
            <v>7.1999999999999996E-13</v>
          </cell>
          <cell r="F222">
            <v>5.4620661599999998E-10</v>
          </cell>
          <cell r="G222">
            <v>1.1354399999999999E-10</v>
          </cell>
          <cell r="H222">
            <v>-7532.2</v>
          </cell>
          <cell r="I222">
            <v>968.44</v>
          </cell>
          <cell r="J222">
            <v>1.0351556014659856E-7</v>
          </cell>
          <cell r="K222">
            <v>9928.8141907091067</v>
          </cell>
          <cell r="L222">
            <v>118563.71023188665</v>
          </cell>
          <cell r="M222">
            <v>1177197048.6534786</v>
          </cell>
          <cell r="Q222" t="str">
            <v/>
          </cell>
          <cell r="R222" t="str">
            <v/>
          </cell>
          <cell r="S222">
            <v>118563.71023188665</v>
          </cell>
          <cell r="T222" t="str">
            <v/>
          </cell>
        </row>
        <row r="223">
          <cell r="B223" t="str">
            <v>Nosean</v>
          </cell>
          <cell r="C223" t="str">
            <v>Na8Al6Si6O24SO4</v>
          </cell>
          <cell r="D223">
            <v>994.37</v>
          </cell>
          <cell r="E223">
            <v>1.2900000000000001E-9</v>
          </cell>
          <cell r="F223">
            <v>1.2827373E-6</v>
          </cell>
          <cell r="G223">
            <v>2.0343299999999999E-7</v>
          </cell>
          <cell r="H223">
            <v>-13131.5</v>
          </cell>
          <cell r="I223">
            <v>126.04</v>
          </cell>
          <cell r="J223">
            <v>1.7870883339801214E-5</v>
          </cell>
          <cell r="K223">
            <v>13205.848929472933</v>
          </cell>
          <cell r="L223">
            <v>118563.71023188665</v>
          </cell>
          <cell r="M223">
            <v>1565734445.8400993</v>
          </cell>
          <cell r="P223">
            <v>0.22</v>
          </cell>
          <cell r="Q223">
            <v>3.4890433138570147E-2</v>
          </cell>
          <cell r="R223">
            <v>30.044838334151937</v>
          </cell>
          <cell r="S223">
            <v>118563.71023188665</v>
          </cell>
          <cell r="T223">
            <v>3562227.5062142704</v>
          </cell>
        </row>
        <row r="224">
          <cell r="B224" t="str">
            <v>Oligoclase</v>
          </cell>
          <cell r="C224" t="str">
            <v>Na0:8Ca0:2Al1:2Si2:808</v>
          </cell>
          <cell r="D224">
            <v>265.42</v>
          </cell>
          <cell r="E224">
            <v>4.4900000000000002E-4</v>
          </cell>
          <cell r="F224">
            <v>0.11917358000000002</v>
          </cell>
          <cell r="G224">
            <v>7.0807300000000004E-2</v>
          </cell>
          <cell r="H224">
            <v>-750.9</v>
          </cell>
          <cell r="I224">
            <v>21.51</v>
          </cell>
          <cell r="J224">
            <v>1.0583283690691103</v>
          </cell>
          <cell r="K224">
            <v>2829.1010473965789</v>
          </cell>
          <cell r="L224">
            <v>118563.71023188665</v>
          </cell>
          <cell r="M224">
            <v>335428716.800255</v>
          </cell>
          <cell r="Q224" t="str">
            <v/>
          </cell>
          <cell r="R224" t="str">
            <v/>
          </cell>
          <cell r="S224">
            <v>118563.71023188665</v>
          </cell>
          <cell r="T224" t="str">
            <v/>
          </cell>
        </row>
        <row r="225">
          <cell r="B225" t="str">
            <v>Olivine</v>
          </cell>
          <cell r="C225" t="str">
            <v>Mg1:6Fe2+0:4(SiO4)</v>
          </cell>
          <cell r="D225">
            <v>153.31</v>
          </cell>
          <cell r="E225">
            <v>1.53E-6</v>
          </cell>
          <cell r="F225">
            <v>2.3456430000000001E-4</v>
          </cell>
          <cell r="G225">
            <v>2.4128099999999998E-4</v>
          </cell>
          <cell r="H225">
            <v>-1925</v>
          </cell>
          <cell r="I225">
            <v>65.539999999999992</v>
          </cell>
          <cell r="J225">
            <v>1.0831720926979432E-2</v>
          </cell>
          <cell r="K225">
            <v>12556.258561085382</v>
          </cell>
          <cell r="L225">
            <v>118563.71023188665</v>
          </cell>
          <cell r="M225">
            <v>1488716601.6331732</v>
          </cell>
          <cell r="P225">
            <v>0.92</v>
          </cell>
          <cell r="Q225">
            <v>0.94634400887091508</v>
          </cell>
          <cell r="R225">
            <v>133.78604640119397</v>
          </cell>
          <cell r="S225">
            <v>118563.71023188665</v>
          </cell>
          <cell r="T225">
            <v>15862170.038580904</v>
          </cell>
        </row>
        <row r="226">
          <cell r="B226" t="str">
            <v>Omphacite</v>
          </cell>
          <cell r="C226" t="str">
            <v>Ca0:6Na0:4Mg0:6Al0:3Fe0:1Si2O6</v>
          </cell>
          <cell r="D226">
            <v>213.66900000000001</v>
          </cell>
          <cell r="E226">
            <v>7.4799999999999998E-9</v>
          </cell>
          <cell r="F226">
            <v>1.59824412E-6</v>
          </cell>
          <cell r="G226">
            <v>1.1795959999999998E-6</v>
          </cell>
          <cell r="H226">
            <v>-2904.3</v>
          </cell>
          <cell r="I226">
            <v>43.52</v>
          </cell>
          <cell r="J226">
            <v>1.1422358447286142E-5</v>
          </cell>
          <cell r="K226">
            <v>13592.519270460385</v>
          </cell>
          <cell r="L226">
            <v>118563.71023188665</v>
          </cell>
          <cell r="M226">
            <v>1611579516.1042004</v>
          </cell>
          <cell r="Q226" t="str">
            <v/>
          </cell>
          <cell r="R226" t="str">
            <v/>
          </cell>
          <cell r="S226">
            <v>118563.71023188665</v>
          </cell>
          <cell r="T226" t="str">
            <v/>
          </cell>
        </row>
        <row r="227">
          <cell r="B227" t="str">
            <v>Opal</v>
          </cell>
          <cell r="C227" t="str">
            <v>SiO2O, 5H2O</v>
          </cell>
          <cell r="D227">
            <v>87.11</v>
          </cell>
          <cell r="E227">
            <v>1.4200000000000001E-4</v>
          </cell>
          <cell r="F227">
            <v>1.2369620000000001E-2</v>
          </cell>
          <cell r="G227">
            <v>2.2393400000000001E-2</v>
          </cell>
          <cell r="H227">
            <v>-967.9</v>
          </cell>
          <cell r="I227">
            <v>9.26</v>
          </cell>
          <cell r="J227">
            <v>-3.5159095752009852E-3</v>
          </cell>
          <cell r="K227">
            <v>11111.238663758466</v>
          </cell>
          <cell r="L227">
            <v>118563.71023188665</v>
          </cell>
          <cell r="M227">
            <v>1317389681.2471943</v>
          </cell>
          <cell r="Q227" t="str">
            <v/>
          </cell>
          <cell r="R227" t="str">
            <v/>
          </cell>
          <cell r="S227">
            <v>118563.71023188665</v>
          </cell>
          <cell r="T227" t="str">
            <v/>
          </cell>
        </row>
        <row r="228">
          <cell r="B228" t="str">
            <v>Orpiment</v>
          </cell>
          <cell r="C228" t="str">
            <v>As2S3</v>
          </cell>
          <cell r="D228">
            <v>246.03970000000001</v>
          </cell>
          <cell r="E228">
            <v>1.85E-9</v>
          </cell>
          <cell r="F228">
            <v>4.5517344500000002E-7</v>
          </cell>
          <cell r="G228">
            <v>2.9174499999999997E-7</v>
          </cell>
          <cell r="H228">
            <v>-168.7</v>
          </cell>
          <cell r="I228">
            <v>2676.7150000000001</v>
          </cell>
          <cell r="J228">
            <v>7.7003620296085145E-4</v>
          </cell>
          <cell r="K228">
            <v>685.66170418838908</v>
          </cell>
          <cell r="L228">
            <v>118563.71023188665</v>
          </cell>
          <cell r="M228">
            <v>81294595.612493739</v>
          </cell>
          <cell r="Q228" t="str">
            <v/>
          </cell>
          <cell r="R228" t="str">
            <v/>
          </cell>
          <cell r="S228">
            <v>118563.71023188665</v>
          </cell>
          <cell r="T228" t="str">
            <v/>
          </cell>
        </row>
        <row r="229">
          <cell r="B229" t="str">
            <v>Orthite-Allanite</v>
          </cell>
          <cell r="C229" t="str">
            <v>Ca(Ce0:4Ca0:2Y0:133)(Al2Fe3+)Si3O12(OH)</v>
          </cell>
          <cell r="D229">
            <v>519.04899999999998</v>
          </cell>
          <cell r="E229">
            <v>7.8100000000000005E-8</v>
          </cell>
          <cell r="F229">
            <v>4.0537726899999999E-5</v>
          </cell>
          <cell r="G229">
            <v>1.2316369999999999E-5</v>
          </cell>
          <cell r="H229">
            <v>-6055.4</v>
          </cell>
          <cell r="I229">
            <v>45.05</v>
          </cell>
          <cell r="J229">
            <v>2.0972300044574136E-4</v>
          </cell>
          <cell r="K229">
            <v>11666.335933601646</v>
          </cell>
          <cell r="L229">
            <v>118563.71023188665</v>
          </cell>
          <cell r="M229">
            <v>1383204073.0993924</v>
          </cell>
          <cell r="Q229" t="str">
            <v/>
          </cell>
          <cell r="R229" t="str">
            <v/>
          </cell>
          <cell r="S229">
            <v>118563.71023188665</v>
          </cell>
          <cell r="T229" t="str">
            <v/>
          </cell>
        </row>
        <row r="230">
          <cell r="B230" t="str">
            <v>Orthoclase/K-feldspar</v>
          </cell>
          <cell r="C230" t="str">
            <v>KAISi3O8</v>
          </cell>
          <cell r="D230">
            <v>278.33</v>
          </cell>
          <cell r="E230">
            <v>4.2200000000000001E-4</v>
          </cell>
          <cell r="F230">
            <v>0.11745525999999999</v>
          </cell>
          <cell r="G230">
            <v>6.6549399999999995E-2</v>
          </cell>
          <cell r="H230">
            <v>-3752.1</v>
          </cell>
          <cell r="I230">
            <v>-11.18</v>
          </cell>
          <cell r="J230">
            <v>-1.1910433061053924</v>
          </cell>
          <cell r="K230">
            <v>13480.760248625733</v>
          </cell>
          <cell r="L230">
            <v>118563.71023188665</v>
          </cell>
          <cell r="M230">
            <v>1598328951.8235977</v>
          </cell>
          <cell r="P230">
            <v>0.46</v>
          </cell>
          <cell r="Q230">
            <v>0.26063306147379012</v>
          </cell>
          <cell r="R230">
            <v>12.158254510698001</v>
          </cell>
          <cell r="S230">
            <v>118563.71023188665</v>
          </cell>
          <cell r="T230">
            <v>1441527.7647319266</v>
          </cell>
        </row>
        <row r="231">
          <cell r="B231" t="str">
            <v>Osmium</v>
          </cell>
          <cell r="C231" t="str">
            <v>Os0:75Ir0:25</v>
          </cell>
          <cell r="D231">
            <v>190.71</v>
          </cell>
          <cell r="E231">
            <v>1.5700000000000001E-13</v>
          </cell>
          <cell r="F231">
            <v>2.9941470000000004E-11</v>
          </cell>
          <cell r="G231">
            <v>2.4758899999999999E-11</v>
          </cell>
          <cell r="H231" t="str">
            <v>N.A.</v>
          </cell>
          <cell r="I231" t="str">
            <v>NA</v>
          </cell>
          <cell r="J231" t="e">
            <v>#VALUE!</v>
          </cell>
          <cell r="K231" t="e">
            <v>#VALUE!</v>
          </cell>
          <cell r="L231">
            <v>118563.71023188665</v>
          </cell>
          <cell r="M231" t="e">
            <v>#VALUE!</v>
          </cell>
          <cell r="Q231" t="str">
            <v/>
          </cell>
          <cell r="R231" t="str">
            <v/>
          </cell>
          <cell r="S231">
            <v>118563.71023188665</v>
          </cell>
          <cell r="T231" t="str">
            <v/>
          </cell>
        </row>
        <row r="232">
          <cell r="B232" t="str">
            <v>Palygorskite</v>
          </cell>
          <cell r="C232" t="str">
            <v>MgAlSi4O10(OH)4(H2O)</v>
          </cell>
          <cell r="D232">
            <v>412.685</v>
          </cell>
          <cell r="E232">
            <v>2.7700000000000002E-9</v>
          </cell>
          <cell r="F232">
            <v>1.14313745E-6</v>
          </cell>
          <cell r="G232">
            <v>4.36829E-7</v>
          </cell>
          <cell r="H232">
            <v>-5939.9</v>
          </cell>
          <cell r="I232">
            <v>81.489999999999995</v>
          </cell>
          <cell r="J232">
            <v>1.9740676958599448E-5</v>
          </cell>
          <cell r="K232">
            <v>14393.302397712541</v>
          </cell>
          <cell r="L232">
            <v>118563.71023188665</v>
          </cell>
          <cell r="M232">
            <v>1706523334.7623091</v>
          </cell>
          <cell r="Q232" t="str">
            <v/>
          </cell>
          <cell r="R232" t="str">
            <v/>
          </cell>
          <cell r="S232">
            <v>118563.71023188665</v>
          </cell>
          <cell r="T232" t="str">
            <v/>
          </cell>
        </row>
        <row r="233">
          <cell r="B233" t="str">
            <v>Paragonite</v>
          </cell>
          <cell r="C233" t="str">
            <v>NaAl3Si3O10(OH)2</v>
          </cell>
          <cell r="D233">
            <v>382.2</v>
          </cell>
          <cell r="E233">
            <v>4.9499999999999997E-5</v>
          </cell>
          <cell r="F233">
            <v>1.8918899999999999E-2</v>
          </cell>
          <cell r="G233">
            <v>7.8061499999999987E-3</v>
          </cell>
          <cell r="H233">
            <v>-5557.6</v>
          </cell>
          <cell r="I233">
            <v>-10.41</v>
          </cell>
          <cell r="J233">
            <v>-0.17516470480761659</v>
          </cell>
          <cell r="K233">
            <v>14541.077969649399</v>
          </cell>
          <cell r="L233">
            <v>118563.71023188665</v>
          </cell>
          <cell r="M233">
            <v>1724044154.852782</v>
          </cell>
          <cell r="Q233" t="str">
            <v/>
          </cell>
          <cell r="R233" t="str">
            <v/>
          </cell>
          <cell r="S233">
            <v>118563.71023188665</v>
          </cell>
          <cell r="T233" t="str">
            <v/>
          </cell>
        </row>
        <row r="234">
          <cell r="B234" t="str">
            <v>Pennine</v>
          </cell>
          <cell r="C234" t="str">
            <v>(Mg3:75Fe1:25Al)(Si3Al)O10(OH)2(OH)6</v>
          </cell>
          <cell r="D234">
            <v>595.22</v>
          </cell>
          <cell r="E234">
            <v>2.8700000000000001E-6</v>
          </cell>
          <cell r="F234">
            <v>1.7082814000000002E-3</v>
          </cell>
          <cell r="G234">
            <v>4.5259899999999998E-4</v>
          </cell>
          <cell r="H234">
            <v>-7788.2</v>
          </cell>
          <cell r="I234">
            <v>187.89</v>
          </cell>
          <cell r="J234">
            <v>7.6399545575461955E-2</v>
          </cell>
          <cell r="K234">
            <v>13084.573771042638</v>
          </cell>
          <cell r="L234">
            <v>118563.71023188665</v>
          </cell>
          <cell r="M234">
            <v>1551355613.0976439</v>
          </cell>
          <cell r="Q234" t="str">
            <v/>
          </cell>
          <cell r="R234" t="str">
            <v/>
          </cell>
          <cell r="S234">
            <v>118563.71023188665</v>
          </cell>
          <cell r="T234" t="str">
            <v/>
          </cell>
        </row>
        <row r="235">
          <cell r="B235" t="str">
            <v>Pentlandite</v>
          </cell>
          <cell r="C235" t="str">
            <v>Fe2+4:5Ni4:5S8</v>
          </cell>
          <cell r="D235">
            <v>771.94</v>
          </cell>
          <cell r="E235">
            <v>7.4400000000000004E-8</v>
          </cell>
          <cell r="F235">
            <v>5.7432336000000008E-5</v>
          </cell>
          <cell r="G235">
            <v>1.1732879999999999E-5</v>
          </cell>
          <cell r="H235">
            <v>-766.2</v>
          </cell>
          <cell r="I235">
            <v>6833.8</v>
          </cell>
          <cell r="J235">
            <v>7.9849964888721495E-2</v>
          </cell>
          <cell r="K235">
            <v>992.56418892660042</v>
          </cell>
          <cell r="L235">
            <v>118563.71023188665</v>
          </cell>
          <cell r="M235">
            <v>117682092.88244104</v>
          </cell>
          <cell r="P235">
            <v>3.2000000000000001E-2</v>
          </cell>
          <cell r="Q235">
            <v>6.5372956447392284E-3</v>
          </cell>
          <cell r="R235">
            <v>20.303760477660074</v>
          </cell>
          <cell r="S235">
            <v>118563.71023188665</v>
          </cell>
          <cell r="T235">
            <v>2407289.1738909213</v>
          </cell>
        </row>
        <row r="236">
          <cell r="B236" t="str">
            <v>Periclase</v>
          </cell>
          <cell r="C236" t="str">
            <v>MgO</v>
          </cell>
          <cell r="D236">
            <v>40.304499999999997</v>
          </cell>
          <cell r="E236">
            <v>3.7700000000000003E-12</v>
          </cell>
          <cell r="F236">
            <v>1.5194796500000001E-10</v>
          </cell>
          <cell r="G236">
            <v>5.9452900000000001E-10</v>
          </cell>
          <cell r="H236">
            <v>-569.5</v>
          </cell>
          <cell r="J236">
            <v>-3.1306813826711793E-8</v>
          </cell>
          <cell r="K236">
            <v>14129.935863241079</v>
          </cell>
          <cell r="L236">
            <v>118563.71023188665</v>
          </cell>
          <cell r="M236">
            <v>1675297621.2844584</v>
          </cell>
          <cell r="Q236" t="str">
            <v/>
          </cell>
          <cell r="R236" t="str">
            <v/>
          </cell>
          <cell r="S236">
            <v>118563.71023188665</v>
          </cell>
          <cell r="T236" t="str">
            <v/>
          </cell>
        </row>
        <row r="237">
          <cell r="B237" t="str">
            <v>Perovskite</v>
          </cell>
          <cell r="C237" t="str">
            <v>CaTiO3</v>
          </cell>
          <cell r="D237">
            <v>135.94</v>
          </cell>
          <cell r="E237">
            <v>5.1000000000000002E-9</v>
          </cell>
          <cell r="F237">
            <v>6.9329400000000004E-7</v>
          </cell>
          <cell r="G237">
            <v>8.0426999999999999E-7</v>
          </cell>
          <cell r="H237">
            <v>-1575.7</v>
          </cell>
          <cell r="J237">
            <v>-2.7977407342969268E-5</v>
          </cell>
          <cell r="K237">
            <v>11591.143151390319</v>
          </cell>
          <cell r="L237">
            <v>118563.71023188665</v>
          </cell>
          <cell r="M237">
            <v>1374288937.8577592</v>
          </cell>
          <cell r="Q237" t="str">
            <v/>
          </cell>
          <cell r="R237" t="str">
            <v/>
          </cell>
          <cell r="S237">
            <v>118563.71023188665</v>
          </cell>
          <cell r="T237" t="str">
            <v/>
          </cell>
        </row>
        <row r="238">
          <cell r="B238" t="str">
            <v>Phenakite</v>
          </cell>
          <cell r="C238" t="str">
            <v>Be2SiO4</v>
          </cell>
          <cell r="D238">
            <v>110.11</v>
          </cell>
          <cell r="E238">
            <v>7.3099999999999998E-9</v>
          </cell>
          <cell r="F238">
            <v>8.0490409999999996E-7</v>
          </cell>
          <cell r="G238">
            <v>1.1527869999999999E-6</v>
          </cell>
          <cell r="H238">
            <v>-2033.3</v>
          </cell>
          <cell r="J238">
            <v>-3.9072224556110565E-5</v>
          </cell>
          <cell r="K238">
            <v>18466.079375170284</v>
          </cell>
          <cell r="L238">
            <v>118563.71023188665</v>
          </cell>
          <cell r="M238">
            <v>2189406884.1567082</v>
          </cell>
          <cell r="Q238" t="str">
            <v/>
          </cell>
          <cell r="R238" t="str">
            <v/>
          </cell>
          <cell r="S238">
            <v>118563.71023188665</v>
          </cell>
          <cell r="T238" t="str">
            <v/>
          </cell>
        </row>
        <row r="239">
          <cell r="B239" t="str">
            <v>Phlogopite</v>
          </cell>
          <cell r="C239" t="str">
            <v>KMg3AlSi3O10F(OH)</v>
          </cell>
          <cell r="D239">
            <v>419.25</v>
          </cell>
          <cell r="E239">
            <v>1.5800000000000001E-7</v>
          </cell>
          <cell r="F239">
            <v>6.6241499999999999E-5</v>
          </cell>
          <cell r="G239">
            <v>2.4916600000000001E-5</v>
          </cell>
          <cell r="H239">
            <v>-5902.2</v>
          </cell>
          <cell r="J239">
            <v>-6.5469422307668065E-4</v>
          </cell>
          <cell r="K239">
            <v>14077.996422182468</v>
          </cell>
          <cell r="L239">
            <v>118563.71023188665</v>
          </cell>
          <cell r="M239">
            <v>1669139488.4451792</v>
          </cell>
          <cell r="Q239" t="str">
            <v/>
          </cell>
          <cell r="R239" t="str">
            <v/>
          </cell>
          <cell r="S239">
            <v>118563.71023188665</v>
          </cell>
          <cell r="T239" t="str">
            <v/>
          </cell>
        </row>
        <row r="240">
          <cell r="B240" t="str">
            <v>Phosphate rock</v>
          </cell>
          <cell r="C240" t="str">
            <v>Ca3(PO4)2</v>
          </cell>
          <cell r="D240">
            <v>310.18</v>
          </cell>
          <cell r="E240">
            <v>8.9900000000000003E-6</v>
          </cell>
          <cell r="F240">
            <v>2.7885182000000003E-3</v>
          </cell>
          <cell r="G240">
            <v>1.4177229999999999E-3</v>
          </cell>
          <cell r="H240">
            <v>-3878.2</v>
          </cell>
          <cell r="I240">
            <v>-695.64</v>
          </cell>
          <cell r="J240">
            <v>-1.0092739397196635</v>
          </cell>
          <cell r="K240">
            <v>12503.062737765169</v>
          </cell>
          <cell r="L240">
            <v>118563.71023188665</v>
          </cell>
          <cell r="M240">
            <v>1482409507.451489</v>
          </cell>
          <cell r="P240">
            <v>0.90720000000000001</v>
          </cell>
          <cell r="Q240">
            <v>0.4612336062931201</v>
          </cell>
          <cell r="R240">
            <v>46.229940966994661</v>
          </cell>
          <cell r="S240">
            <v>118563.71023188665</v>
          </cell>
          <cell r="T240">
            <v>5481193.3248479804</v>
          </cell>
        </row>
        <row r="241">
          <cell r="B241" t="str">
            <v>Pigeonite</v>
          </cell>
          <cell r="C241" t="str">
            <v>Mg1:35Fe0:55Ca0:1(Si2O6)</v>
          </cell>
          <cell r="D241">
            <v>219.7</v>
          </cell>
          <cell r="E241">
            <v>1.99E-6</v>
          </cell>
          <cell r="F241">
            <v>4.3720299999999999E-4</v>
          </cell>
          <cell r="G241">
            <v>3.1382299999999997E-4</v>
          </cell>
          <cell r="H241">
            <v>-1448.8</v>
          </cell>
          <cell r="J241">
            <v>-6.2751557486454097E-3</v>
          </cell>
          <cell r="K241">
            <v>6594.4469731451982</v>
          </cell>
          <cell r="L241">
            <v>118563.71023188665</v>
          </cell>
          <cell r="M241">
            <v>781862100.06352925</v>
          </cell>
          <cell r="Q241" t="str">
            <v/>
          </cell>
          <cell r="R241" t="str">
            <v/>
          </cell>
          <cell r="S241">
            <v>118563.71023188665</v>
          </cell>
          <cell r="T241" t="str">
            <v/>
          </cell>
        </row>
        <row r="242">
          <cell r="B242" t="str">
            <v>Polixene/Tetraferroplatinum</v>
          </cell>
          <cell r="C242" t="str">
            <v>PtFe</v>
          </cell>
          <cell r="D242">
            <v>250.92</v>
          </cell>
          <cell r="E242">
            <v>1.1999999999999999E-14</v>
          </cell>
          <cell r="F242">
            <v>3.0110399999999997E-12</v>
          </cell>
          <cell r="G242">
            <v>1.8923999999999999E-12</v>
          </cell>
          <cell r="H242" t="str">
            <v>N.A.</v>
          </cell>
          <cell r="J242">
            <v>-1.2662275181848864E-10</v>
          </cell>
          <cell r="K242" t="e">
            <v>#VALUE!</v>
          </cell>
          <cell r="L242">
            <v>118563.71023188665</v>
          </cell>
          <cell r="M242" t="e">
            <v>#VALUE!</v>
          </cell>
          <cell r="Q242" t="str">
            <v/>
          </cell>
          <cell r="R242" t="str">
            <v/>
          </cell>
          <cell r="S242">
            <v>118563.71023188665</v>
          </cell>
          <cell r="T242" t="str">
            <v/>
          </cell>
        </row>
        <row r="243">
          <cell r="B243" t="str">
            <v>Pollucite</v>
          </cell>
          <cell r="C243" t="str">
            <v>Cs0:6Na0:2Rb0:1Al0:9Si2:1O6(H2O)</v>
          </cell>
          <cell r="D243">
            <v>290.15820000000002</v>
          </cell>
          <cell r="E243">
            <v>6.1399999999999994E-8</v>
          </cell>
          <cell r="F243">
            <v>1.781571348E-5</v>
          </cell>
          <cell r="G243">
            <v>9.6827799999999985E-6</v>
          </cell>
          <cell r="H243">
            <v>-3074.2</v>
          </cell>
          <cell r="J243">
            <v>-2.7710535024704543E-4</v>
          </cell>
          <cell r="K243">
            <v>10594.909949124305</v>
          </cell>
          <cell r="L243">
            <v>118563.71023188665</v>
          </cell>
          <cell r="M243">
            <v>1256171833.140907</v>
          </cell>
          <cell r="Q243" t="str">
            <v/>
          </cell>
          <cell r="R243" t="str">
            <v/>
          </cell>
          <cell r="S243">
            <v>118563.71023188665</v>
          </cell>
          <cell r="T243" t="str">
            <v/>
          </cell>
        </row>
        <row r="244">
          <cell r="B244" t="str">
            <v>Polycrase(Y)</v>
          </cell>
          <cell r="C244" t="str">
            <v>Y0:5Ca0:1Ce0:1U0:1Th0:1Ti1:2Nb0:6Ta0:2O6</v>
          </cell>
          <cell r="D244">
            <v>372.96</v>
          </cell>
          <cell r="E244">
            <v>2.4600000000000001E-14</v>
          </cell>
          <cell r="F244">
            <v>9.1748160000000004E-12</v>
          </cell>
          <cell r="G244">
            <v>3.87942E-12</v>
          </cell>
          <cell r="H244">
            <v>-2681.3</v>
          </cell>
          <cell r="J244">
            <v>-2.5267362071579186E-10</v>
          </cell>
          <cell r="K244">
            <v>7189.2428142428143</v>
          </cell>
          <cell r="L244">
            <v>118563.71023188665</v>
          </cell>
          <cell r="M244">
            <v>852383301.81455839</v>
          </cell>
          <cell r="Q244" t="str">
            <v/>
          </cell>
          <cell r="R244" t="str">
            <v/>
          </cell>
          <cell r="S244">
            <v>118563.71023188665</v>
          </cell>
          <cell r="T244" t="str">
            <v/>
          </cell>
        </row>
        <row r="245">
          <cell r="B245" t="str">
            <v>Powellite</v>
          </cell>
          <cell r="C245" t="str">
            <v>CaMoO4</v>
          </cell>
          <cell r="D245">
            <v>200.02</v>
          </cell>
          <cell r="E245">
            <v>3.0499999999999998E-11</v>
          </cell>
          <cell r="F245">
            <v>6.1006100000000001E-9</v>
          </cell>
          <cell r="G245">
            <v>4.8098499999999991E-9</v>
          </cell>
          <cell r="H245">
            <v>-1434.7</v>
          </cell>
          <cell r="J245">
            <v>-2.2835162353162751E-7</v>
          </cell>
          <cell r="K245">
            <v>7172.7827217278273</v>
          </cell>
          <cell r="L245">
            <v>118563.71023188665</v>
          </cell>
          <cell r="M245">
            <v>850431732.17522144</v>
          </cell>
          <cell r="Q245" t="str">
            <v/>
          </cell>
          <cell r="R245" t="str">
            <v/>
          </cell>
          <cell r="S245">
            <v>118563.71023188665</v>
          </cell>
          <cell r="T245" t="str">
            <v/>
          </cell>
        </row>
        <row r="246">
          <cell r="B246" t="str">
            <v>Prehnite</v>
          </cell>
          <cell r="C246" t="str">
            <v>Ca2Al2Si3O10(OH)2</v>
          </cell>
          <cell r="D246">
            <v>395.38</v>
          </cell>
          <cell r="E246">
            <v>3.58E-6</v>
          </cell>
          <cell r="F246">
            <v>1.4154604E-3</v>
          </cell>
          <cell r="G246">
            <v>5.6456599999999996E-4</v>
          </cell>
          <cell r="H246">
            <v>-5823</v>
          </cell>
          <cell r="J246">
            <v>-1.0467173106301646E-2</v>
          </cell>
          <cell r="K246">
            <v>14727.603824169153</v>
          </cell>
          <cell r="L246">
            <v>118563.71023188665</v>
          </cell>
          <cell r="M246">
            <v>1746159352.2188172</v>
          </cell>
          <cell r="Q246" t="str">
            <v/>
          </cell>
          <cell r="R246" t="str">
            <v/>
          </cell>
          <cell r="S246">
            <v>118563.71023188665</v>
          </cell>
          <cell r="T246" t="str">
            <v/>
          </cell>
        </row>
        <row r="247">
          <cell r="B247" t="str">
            <v>Psilomelane</v>
          </cell>
          <cell r="C247" t="str">
            <v>Ba2Mn2+2Mn4+3O102H2O</v>
          </cell>
          <cell r="D247">
            <v>590.03</v>
          </cell>
          <cell r="E247">
            <v>5.0999999999999999E-7</v>
          </cell>
          <cell r="F247">
            <v>3.0091529999999995E-4</v>
          </cell>
          <cell r="G247">
            <v>8.0426999999999994E-5</v>
          </cell>
          <cell r="H247">
            <v>-2347.1999999999998</v>
          </cell>
          <cell r="J247">
            <v>-1.879635660145363E-3</v>
          </cell>
          <cell r="K247">
            <v>3978.1028083317801</v>
          </cell>
          <cell r="L247">
            <v>118563.71023188665</v>
          </cell>
          <cell r="M247">
            <v>471658628.63970369</v>
          </cell>
          <cell r="Q247" t="str">
            <v/>
          </cell>
          <cell r="R247" t="str">
            <v/>
          </cell>
          <cell r="S247">
            <v>118563.71023188665</v>
          </cell>
          <cell r="T247" t="str">
            <v/>
          </cell>
        </row>
        <row r="248">
          <cell r="B248" t="str">
            <v>Pumpellyte</v>
          </cell>
          <cell r="C248" t="str">
            <v>Ca2MgAl2(SiO4)(Si2O7)(OH)2H2O</v>
          </cell>
          <cell r="D248">
            <v>470.7</v>
          </cell>
          <cell r="E248">
            <v>1.8900000000000001E-7</v>
          </cell>
          <cell r="F248">
            <v>8.89623E-5</v>
          </cell>
          <cell r="G248">
            <v>2.9805300000000001E-5</v>
          </cell>
          <cell r="H248">
            <v>-6672.5</v>
          </cell>
          <cell r="J248">
            <v>-7.6991078987068346E-4</v>
          </cell>
          <cell r="K248">
            <v>14175.69577225409</v>
          </cell>
          <cell r="L248">
            <v>118563.71023188665</v>
          </cell>
          <cell r="M248">
            <v>1680723085.8769147</v>
          </cell>
          <cell r="Q248" t="str">
            <v/>
          </cell>
          <cell r="R248" t="str">
            <v/>
          </cell>
          <cell r="S248">
            <v>118563.71023188665</v>
          </cell>
          <cell r="T248" t="str">
            <v/>
          </cell>
        </row>
        <row r="249">
          <cell r="B249" t="str">
            <v>Pyrargirite</v>
          </cell>
          <cell r="C249" t="str">
            <v>Ag3SbS3</v>
          </cell>
          <cell r="D249">
            <v>541.54999999999995</v>
          </cell>
          <cell r="E249">
            <v>2.3800000000000001E-11</v>
          </cell>
          <cell r="F249">
            <v>1.288889E-8</v>
          </cell>
          <cell r="G249">
            <v>3.7532599999999999E-9</v>
          </cell>
          <cell r="H249">
            <v>-142.19999999999999</v>
          </cell>
          <cell r="I249">
            <v>2288.42</v>
          </cell>
          <cell r="J249">
            <v>8.4085384252144645E-6</v>
          </cell>
          <cell r="K249">
            <v>262.57963253623859</v>
          </cell>
          <cell r="L249">
            <v>118563.71023188665</v>
          </cell>
          <cell r="M249">
            <v>31132415.464821868</v>
          </cell>
          <cell r="Q249" t="str">
            <v/>
          </cell>
          <cell r="R249" t="str">
            <v/>
          </cell>
          <cell r="S249">
            <v>118563.71023188665</v>
          </cell>
          <cell r="T249" t="str">
            <v/>
          </cell>
        </row>
        <row r="250">
          <cell r="B250" t="str">
            <v>Pyrite</v>
          </cell>
          <cell r="C250" t="str">
            <v>FeS2</v>
          </cell>
          <cell r="D250">
            <v>119.98</v>
          </cell>
          <cell r="E250">
            <v>2.7499999999999999E-6</v>
          </cell>
          <cell r="F250">
            <v>3.29945E-4</v>
          </cell>
          <cell r="G250">
            <v>4.3367499999999996E-4</v>
          </cell>
          <cell r="H250">
            <v>-163.30000000000001</v>
          </cell>
          <cell r="J250">
            <v>-8.3239707932731104E-3</v>
          </cell>
          <cell r="K250">
            <v>1361.0601766961161</v>
          </cell>
          <cell r="L250">
            <v>118563.71023188665</v>
          </cell>
          <cell r="M250">
            <v>161372344.39795876</v>
          </cell>
          <cell r="P250">
            <v>1E-3</v>
          </cell>
          <cell r="Q250">
            <v>1.3143857309551592E-3</v>
          </cell>
          <cell r="R250">
            <v>22.908711952565707</v>
          </cell>
          <cell r="S250">
            <v>118563.71023188665</v>
          </cell>
          <cell r="T250">
            <v>2716141.8857297585</v>
          </cell>
        </row>
        <row r="251">
          <cell r="B251" t="str">
            <v>Pyrochlore</v>
          </cell>
          <cell r="C251" t="str">
            <v>NaCaNb2O6(OH)0:75F0:25</v>
          </cell>
          <cell r="D251">
            <v>362.38</v>
          </cell>
          <cell r="E251">
            <v>3.4699999999999998E-9</v>
          </cell>
          <cell r="F251">
            <v>1.2574586E-6</v>
          </cell>
          <cell r="G251">
            <v>5.4721899999999992E-7</v>
          </cell>
          <cell r="H251">
            <v>-2687.3</v>
          </cell>
          <cell r="J251">
            <v>-1.9557961017242953E-5</v>
          </cell>
          <cell r="K251">
            <v>7415.6962304762956</v>
          </cell>
          <cell r="L251">
            <v>118563.71023188665</v>
          </cell>
          <cell r="M251">
            <v>879232459.03788567</v>
          </cell>
          <cell r="P251">
            <v>0.01</v>
          </cell>
          <cell r="Q251">
            <v>4.3517854186213368E-3</v>
          </cell>
          <cell r="R251">
            <v>61.435201366420024</v>
          </cell>
          <cell r="S251">
            <v>118563.71023188665</v>
          </cell>
          <cell r="T251">
            <v>7283985.4128458304</v>
          </cell>
        </row>
        <row r="252">
          <cell r="B252" t="str">
            <v>Pyrolusite</v>
          </cell>
          <cell r="C252" t="str">
            <v>MnO2</v>
          </cell>
          <cell r="D252">
            <v>86.94</v>
          </cell>
          <cell r="E252">
            <v>5.6400000000000002E-7</v>
          </cell>
          <cell r="F252">
            <v>4.9034160000000003E-5</v>
          </cell>
          <cell r="G252">
            <v>8.8942799999999991E-5</v>
          </cell>
          <cell r="H252">
            <v>-465.2</v>
          </cell>
          <cell r="I252">
            <v>34.86</v>
          </cell>
          <cell r="J252">
            <v>1.0440792927619963E-3</v>
          </cell>
          <cell r="K252">
            <v>5350.8166551644817</v>
          </cell>
          <cell r="L252">
            <v>118563.71023188665</v>
          </cell>
          <cell r="M252">
            <v>634412675.40687454</v>
          </cell>
          <cell r="N252" t="str">
            <v>Mn</v>
          </cell>
          <cell r="O252">
            <v>0.63170002300437089</v>
          </cell>
          <cell r="P252">
            <v>0.14199999999999999</v>
          </cell>
          <cell r="Q252">
            <v>0.2575730388773867</v>
          </cell>
          <cell r="R252">
            <v>227.26970914049775</v>
          </cell>
          <cell r="S252">
            <v>118563.71023188665</v>
          </cell>
          <cell r="T252">
            <v>26945939.939019136</v>
          </cell>
        </row>
        <row r="253">
          <cell r="B253" t="str">
            <v>Pyrophyllite</v>
          </cell>
          <cell r="C253" t="str">
            <v>Al2Si4O10(OH)2</v>
          </cell>
          <cell r="D253">
            <v>360.31</v>
          </cell>
          <cell r="E253">
            <v>8.9299999999999999E-8</v>
          </cell>
          <cell r="F253">
            <v>3.2175682999999998E-5</v>
          </cell>
          <cell r="G253">
            <v>1.4082609999999999E-5</v>
          </cell>
          <cell r="H253">
            <v>-5257.6</v>
          </cell>
          <cell r="J253">
            <v>-3.8994496299408371E-4</v>
          </cell>
          <cell r="K253">
            <v>14591.879215120312</v>
          </cell>
          <cell r="L253">
            <v>118563.71023188665</v>
          </cell>
          <cell r="M253">
            <v>1730067339.0002143</v>
          </cell>
          <cell r="Q253" t="str">
            <v/>
          </cell>
          <cell r="R253" t="str">
            <v/>
          </cell>
          <cell r="S253">
            <v>118563.71023188665</v>
          </cell>
          <cell r="T253" t="str">
            <v/>
          </cell>
        </row>
        <row r="254">
          <cell r="B254" t="str">
            <v>Pyrrhotite</v>
          </cell>
          <cell r="C254" t="str">
            <v>Fe2+S</v>
          </cell>
          <cell r="D254">
            <v>85.12</v>
          </cell>
          <cell r="E254">
            <v>1.79E-6</v>
          </cell>
          <cell r="F254">
            <v>1.5236480000000002E-4</v>
          </cell>
          <cell r="G254">
            <v>2.8228299999999998E-4</v>
          </cell>
          <cell r="H254">
            <v>-100.5</v>
          </cell>
          <cell r="J254">
            <v>-5.7186013845417572E-3</v>
          </cell>
          <cell r="K254">
            <v>1180.6860902255639</v>
          </cell>
          <cell r="L254">
            <v>118563.71023188665</v>
          </cell>
          <cell r="M254">
            <v>139986523.47632295</v>
          </cell>
          <cell r="Q254" t="str">
            <v/>
          </cell>
          <cell r="R254" t="str">
            <v/>
          </cell>
          <cell r="S254">
            <v>118563.71023188665</v>
          </cell>
          <cell r="T254" t="str">
            <v/>
          </cell>
        </row>
        <row r="255">
          <cell r="B255" t="str">
            <v>Quartz</v>
          </cell>
          <cell r="C255" t="str">
            <v>SiO2</v>
          </cell>
          <cell r="D255">
            <v>60.084400000000002</v>
          </cell>
          <cell r="E255">
            <v>3.81E-3</v>
          </cell>
          <cell r="F255">
            <v>0.22892156400000002</v>
          </cell>
          <cell r="G255">
            <v>0.60083699999999995</v>
          </cell>
          <cell r="H255">
            <v>-857.2</v>
          </cell>
          <cell r="I255">
            <v>0.82</v>
          </cell>
          <cell r="J255">
            <v>-0.2660438761988545</v>
          </cell>
          <cell r="K255">
            <v>14266.598318365499</v>
          </cell>
          <cell r="L255">
            <v>118563.71023188665</v>
          </cell>
          <cell r="M255">
            <v>1691500829.0134084</v>
          </cell>
          <cell r="P255">
            <v>0.95</v>
          </cell>
          <cell r="Q255">
            <v>2.4934092709588511</v>
          </cell>
          <cell r="R255">
            <v>58.71015135710357</v>
          </cell>
          <cell r="S255">
            <v>118563.71023188665</v>
          </cell>
          <cell r="T255">
            <v>6960893.3731738348</v>
          </cell>
        </row>
        <row r="256">
          <cell r="B256" t="str">
            <v>Ramsayite/Lorenzenite</v>
          </cell>
          <cell r="C256" t="str">
            <v>Na2Ti2Si2O9</v>
          </cell>
          <cell r="D256">
            <v>341.91</v>
          </cell>
          <cell r="E256">
            <v>3.6199999999999999E-10</v>
          </cell>
          <cell r="F256">
            <v>1.2377142000000002E-7</v>
          </cell>
          <cell r="G256">
            <v>5.7087399999999995E-8</v>
          </cell>
          <cell r="H256">
            <v>-4103.8999999999996</v>
          </cell>
          <cell r="J256">
            <v>-2.3601892980531401E-6</v>
          </cell>
          <cell r="K256">
            <v>12002.866251352692</v>
          </cell>
          <cell r="L256">
            <v>118563.71023188665</v>
          </cell>
          <cell r="M256">
            <v>1423104356.1774721</v>
          </cell>
          <cell r="Q256" t="str">
            <v/>
          </cell>
          <cell r="R256" t="str">
            <v/>
          </cell>
          <cell r="S256">
            <v>118563.71023188665</v>
          </cell>
          <cell r="T256" t="str">
            <v/>
          </cell>
        </row>
        <row r="257">
          <cell r="B257" t="str">
            <v>Realgar</v>
          </cell>
          <cell r="C257" t="str">
            <v>As4S4</v>
          </cell>
          <cell r="D257">
            <v>427.94839999999999</v>
          </cell>
          <cell r="E257">
            <v>1.4000000000000001E-10</v>
          </cell>
          <cell r="F257">
            <v>5.9912775999999997E-8</v>
          </cell>
          <cell r="G257">
            <v>2.2078000000000001E-8</v>
          </cell>
          <cell r="H257">
            <v>-132.69999999999999</v>
          </cell>
          <cell r="J257">
            <v>-9.6477148911668226E-7</v>
          </cell>
          <cell r="K257">
            <v>310.08411294445779</v>
          </cell>
          <cell r="L257">
            <v>118563.71023188665</v>
          </cell>
          <cell r="M257">
            <v>36764722.914658308</v>
          </cell>
          <cell r="Q257" t="str">
            <v/>
          </cell>
          <cell r="R257" t="str">
            <v/>
          </cell>
          <cell r="S257">
            <v>118563.71023188665</v>
          </cell>
          <cell r="T257" t="str">
            <v/>
          </cell>
        </row>
        <row r="258">
          <cell r="B258" t="str">
            <v>Rhabdophane</v>
          </cell>
          <cell r="C258" t="str">
            <v>Ce0:75La0:25(PO4)H2O</v>
          </cell>
          <cell r="D258">
            <v>252.8</v>
          </cell>
          <cell r="E258">
            <v>1.0300000000000001E-10</v>
          </cell>
          <cell r="F258">
            <v>2.6038400000000003E-8</v>
          </cell>
          <cell r="G258">
            <v>1.6243100000000001E-8</v>
          </cell>
          <cell r="H258">
            <v>-1821.9</v>
          </cell>
          <cell r="I258">
            <v>324.95999999999998</v>
          </cell>
          <cell r="J258">
            <v>4.5562041365571184E-6</v>
          </cell>
          <cell r="K258">
            <v>7206.8829113924048</v>
          </cell>
          <cell r="L258">
            <v>118563.71023188665</v>
          </cell>
          <cell r="M258">
            <v>854474777.18146479</v>
          </cell>
          <cell r="Q258" t="str">
            <v/>
          </cell>
          <cell r="R258" t="str">
            <v/>
          </cell>
          <cell r="S258">
            <v>118563.71023188665</v>
          </cell>
          <cell r="T258" t="str">
            <v/>
          </cell>
        </row>
        <row r="259">
          <cell r="B259" t="str">
            <v>Rhodochrosite</v>
          </cell>
          <cell r="C259" t="str">
            <v>MnCO3</v>
          </cell>
          <cell r="D259">
            <v>114.95</v>
          </cell>
          <cell r="E259">
            <v>9.4799999999999997E-7</v>
          </cell>
          <cell r="F259">
            <v>1.089726E-4</v>
          </cell>
          <cell r="G259">
            <v>1.4949959999999997E-4</v>
          </cell>
          <cell r="H259">
            <v>-817.1</v>
          </cell>
          <cell r="I259">
            <v>95.57</v>
          </cell>
          <cell r="J259">
            <v>1.1023506072402666E-2</v>
          </cell>
          <cell r="K259">
            <v>7108.3079599826006</v>
          </cell>
          <cell r="L259">
            <v>118563.71023188665</v>
          </cell>
          <cell r="M259">
            <v>842787365.20639038</v>
          </cell>
          <cell r="Q259" t="str">
            <v/>
          </cell>
          <cell r="R259" t="str">
            <v/>
          </cell>
          <cell r="S259">
            <v>118563.71023188665</v>
          </cell>
          <cell r="T259" t="str">
            <v/>
          </cell>
        </row>
        <row r="260">
          <cell r="B260" t="str">
            <v>Rhodonite</v>
          </cell>
          <cell r="C260" t="str">
            <v>Mn2+SiO3</v>
          </cell>
          <cell r="D260">
            <v>131.02000000000001</v>
          </cell>
          <cell r="E260">
            <v>2.3200000000000001E-7</v>
          </cell>
          <cell r="F260">
            <v>3.0396640000000002E-5</v>
          </cell>
          <cell r="G260">
            <v>3.6586399999999999E-5</v>
          </cell>
          <cell r="H260">
            <v>-1243.0999999999999</v>
          </cell>
          <cell r="J260">
            <v>-9.264848843814036E-4</v>
          </cell>
          <cell r="K260">
            <v>9487.8644481758511</v>
          </cell>
          <cell r="L260">
            <v>118563.71023188665</v>
          </cell>
          <cell r="M260">
            <v>1124916411.1529408</v>
          </cell>
          <cell r="Q260" t="str">
            <v/>
          </cell>
          <cell r="R260" t="str">
            <v/>
          </cell>
          <cell r="S260">
            <v>118563.71023188665</v>
          </cell>
          <cell r="T260" t="str">
            <v/>
          </cell>
        </row>
        <row r="261">
          <cell r="B261" t="str">
            <v>Riebeckite</v>
          </cell>
          <cell r="C261" t="str">
            <v>Na2Fe2+3Fe3+2(Si8O22)(OH)2</v>
          </cell>
          <cell r="D261">
            <v>935.9</v>
          </cell>
          <cell r="E261">
            <v>6.1399999999999997E-6</v>
          </cell>
          <cell r="F261">
            <v>5.7464259999999998E-3</v>
          </cell>
          <cell r="G261">
            <v>9.6827799999999983E-4</v>
          </cell>
          <cell r="H261">
            <v>-9399.5</v>
          </cell>
          <cell r="J261">
            <v>-1.665727001433082E-2</v>
          </cell>
          <cell r="K261">
            <v>10043.273854044235</v>
          </cell>
          <cell r="L261">
            <v>118563.71023188665</v>
          </cell>
          <cell r="M261">
            <v>1190767811.0103841</v>
          </cell>
          <cell r="Q261" t="str">
            <v/>
          </cell>
          <cell r="R261" t="str">
            <v/>
          </cell>
          <cell r="S261">
            <v>118563.71023188665</v>
          </cell>
          <cell r="T261" t="str">
            <v/>
          </cell>
        </row>
        <row r="262">
          <cell r="B262" t="str">
            <v>Rinkolite</v>
          </cell>
          <cell r="C262" t="str">
            <v>Na2Ca3Ce1;5Y0;5Ti0;4Nb0;5Zr0;1(Si2O7)2O1;5F3;5</v>
          </cell>
          <cell r="D262">
            <v>891.096</v>
          </cell>
          <cell r="E262">
            <v>2.25E-13</v>
          </cell>
          <cell r="F262">
            <v>2.0049660000000001E-10</v>
          </cell>
          <cell r="G262">
            <v>3.5482499999999999E-11</v>
          </cell>
          <cell r="H262">
            <v>-8808.5</v>
          </cell>
          <cell r="J262">
            <v>-2.1163643332253873E-9</v>
          </cell>
          <cell r="K262">
            <v>9885.0180003052428</v>
          </cell>
          <cell r="L262">
            <v>118563.71023188665</v>
          </cell>
          <cell r="M262">
            <v>1172004409.8251746</v>
          </cell>
          <cell r="Q262" t="str">
            <v/>
          </cell>
          <cell r="R262" t="str">
            <v/>
          </cell>
          <cell r="S262">
            <v>118563.71023188665</v>
          </cell>
          <cell r="T262" t="str">
            <v/>
          </cell>
        </row>
        <row r="263">
          <cell r="B263" t="str">
            <v>Ripidolite</v>
          </cell>
          <cell r="C263" t="str">
            <v>(Mg3:75Fe1:25Al)(Si3Al)O10(OH)2(OH)6</v>
          </cell>
          <cell r="D263">
            <v>595.28499999999997</v>
          </cell>
          <cell r="E263">
            <v>2.0100000000000001E-5</v>
          </cell>
          <cell r="F263">
            <v>1.1965228499999999E-2</v>
          </cell>
          <cell r="G263">
            <v>3.1697699999999997E-3</v>
          </cell>
          <cell r="H263">
            <v>-7788.2</v>
          </cell>
          <cell r="J263">
            <v>-4.521158230807714E-2</v>
          </cell>
          <cell r="K263">
            <v>13083.145048170205</v>
          </cell>
          <cell r="L263">
            <v>118563.71023188665</v>
          </cell>
          <cell r="M263">
            <v>1551186218.4129949</v>
          </cell>
          <cell r="Q263" t="str">
            <v/>
          </cell>
          <cell r="R263" t="str">
            <v/>
          </cell>
          <cell r="S263">
            <v>118563.71023188665</v>
          </cell>
          <cell r="T263" t="str">
            <v/>
          </cell>
        </row>
        <row r="264">
          <cell r="B264" t="str">
            <v>Rutile</v>
          </cell>
          <cell r="C264" t="str">
            <v>TiO2</v>
          </cell>
          <cell r="D264">
            <v>79.866</v>
          </cell>
          <cell r="E264">
            <v>3.41E-6</v>
          </cell>
          <cell r="F264">
            <v>2.7234306000000001E-4</v>
          </cell>
          <cell r="G264">
            <v>5.3775699999999993E-4</v>
          </cell>
          <cell r="H264">
            <v>-890.1</v>
          </cell>
          <cell r="I264">
            <v>20.715000000000003</v>
          </cell>
          <cell r="J264">
            <v>1.1046564400225608E-3</v>
          </cell>
          <cell r="K264">
            <v>11144.917737209826</v>
          </cell>
          <cell r="L264">
            <v>118563.71023188665</v>
          </cell>
          <cell r="M264">
            <v>1321382797.1527596</v>
          </cell>
          <cell r="N264" t="str">
            <v>TiO2</v>
          </cell>
          <cell r="O264">
            <v>1</v>
          </cell>
          <cell r="P264">
            <v>4.0000000000000001E-3</v>
          </cell>
          <cell r="Q264">
            <v>7.8982295344702368E-3</v>
          </cell>
          <cell r="R264">
            <v>83.396626735101748</v>
          </cell>
          <cell r="S264">
            <v>118563.71023188665</v>
          </cell>
          <cell r="T264">
            <v>9887813.4865374155</v>
          </cell>
        </row>
        <row r="265">
          <cell r="B265" t="str">
            <v>Samsonite</v>
          </cell>
          <cell r="C265" t="str">
            <v>Ag4MnSb2S6</v>
          </cell>
          <cell r="D265">
            <v>922.32410000000004</v>
          </cell>
          <cell r="E265">
            <v>5.2899999999999997E-13</v>
          </cell>
          <cell r="F265">
            <v>4.8790944889999997E-10</v>
          </cell>
          <cell r="G265">
            <v>8.3423299999999987E-11</v>
          </cell>
          <cell r="H265">
            <v>-463.5</v>
          </cell>
          <cell r="I265">
            <v>4830.68</v>
          </cell>
          <cell r="J265">
            <v>3.9819224252586291E-7</v>
          </cell>
          <cell r="K265">
            <v>502.5348464818386</v>
          </cell>
          <cell r="L265">
            <v>118563.71023188665</v>
          </cell>
          <cell r="M265">
            <v>59582395.919698358</v>
          </cell>
          <cell r="Q265" t="str">
            <v/>
          </cell>
          <cell r="R265" t="str">
            <v/>
          </cell>
          <cell r="S265">
            <v>118563.71023188665</v>
          </cell>
          <cell r="T265" t="str">
            <v/>
          </cell>
        </row>
        <row r="266">
          <cell r="B266" t="str">
            <v>Sanidine</v>
          </cell>
          <cell r="C266" t="str">
            <v>K0:75Na0:25AlSi3O8</v>
          </cell>
          <cell r="D266">
            <v>274.3</v>
          </cell>
          <cell r="E266">
            <v>2.6699999999999998E-6</v>
          </cell>
          <cell r="F266">
            <v>7.3238099999999994E-4</v>
          </cell>
          <cell r="G266">
            <v>4.2105899999999994E-4</v>
          </cell>
          <cell r="H266">
            <v>-3715.9</v>
          </cell>
          <cell r="J266">
            <v>-8.1126323443627621E-3</v>
          </cell>
          <cell r="K266">
            <v>13546.846518410499</v>
          </cell>
          <cell r="L266">
            <v>118563.71023188665</v>
          </cell>
          <cell r="M266">
            <v>1606164385.164665</v>
          </cell>
          <cell r="Q266" t="str">
            <v/>
          </cell>
          <cell r="R266" t="str">
            <v/>
          </cell>
          <cell r="S266">
            <v>118563.71023188665</v>
          </cell>
          <cell r="T266" t="str">
            <v/>
          </cell>
        </row>
        <row r="267">
          <cell r="B267" t="str">
            <v>Sapphirine</v>
          </cell>
          <cell r="C267" t="str">
            <v>Mg4Al6:5Si1:5O20</v>
          </cell>
          <cell r="D267">
            <v>683.33</v>
          </cell>
          <cell r="E267">
            <v>2.0400000000000001E-8</v>
          </cell>
          <cell r="F267">
            <v>1.3939932000000001E-5</v>
          </cell>
          <cell r="G267">
            <v>3.21708E-6</v>
          </cell>
          <cell r="H267">
            <v>-9962.9</v>
          </cell>
          <cell r="J267">
            <v>-1.008545427122401E-4</v>
          </cell>
          <cell r="K267">
            <v>14579.924780120878</v>
          </cell>
          <cell r="L267">
            <v>118563.71023188665</v>
          </cell>
          <cell r="M267">
            <v>1728649976.8329556</v>
          </cell>
          <cell r="Q267" t="str">
            <v/>
          </cell>
          <cell r="R267" t="str">
            <v/>
          </cell>
          <cell r="S267">
            <v>118563.71023188665</v>
          </cell>
          <cell r="T267" t="str">
            <v/>
          </cell>
        </row>
        <row r="268">
          <cell r="B268" t="str">
            <v>Sassolite</v>
          </cell>
          <cell r="C268" t="str">
            <v>H3BO3</v>
          </cell>
          <cell r="D268">
            <v>61.83</v>
          </cell>
          <cell r="E268">
            <v>3.5999999999999999E-7</v>
          </cell>
          <cell r="F268">
            <v>2.2258799999999998E-5</v>
          </cell>
          <cell r="G268">
            <v>5.6771999999999998E-5</v>
          </cell>
          <cell r="H268">
            <v>-969</v>
          </cell>
          <cell r="J268">
            <v>-1.375817979023614E-3</v>
          </cell>
          <cell r="K268">
            <v>15672.003881610868</v>
          </cell>
          <cell r="L268">
            <v>118563.71023188665</v>
          </cell>
          <cell r="M268">
            <v>1858130926.9723139</v>
          </cell>
          <cell r="Q268" t="str">
            <v/>
          </cell>
          <cell r="R268" t="str">
            <v/>
          </cell>
          <cell r="S268">
            <v>118563.71023188665</v>
          </cell>
          <cell r="T268" t="str">
            <v/>
          </cell>
        </row>
        <row r="269">
          <cell r="B269" t="str">
            <v>Scapolite-Marialite</v>
          </cell>
          <cell r="C269" t="str">
            <v>Na4Al3Si9O24Cl</v>
          </cell>
          <cell r="D269">
            <v>845.11</v>
          </cell>
          <cell r="E269">
            <v>6.3399999999999999E-8</v>
          </cell>
          <cell r="F269">
            <v>5.3579974000000001E-5</v>
          </cell>
          <cell r="G269">
            <v>9.9981799999999989E-6</v>
          </cell>
          <cell r="H269">
            <v>-11504.2</v>
          </cell>
          <cell r="J269">
            <v>-2.853371664382791E-4</v>
          </cell>
          <cell r="K269">
            <v>13612.665806818048</v>
          </cell>
          <cell r="L269">
            <v>118563.71023188665</v>
          </cell>
          <cell r="M269">
            <v>1613968164.2030866</v>
          </cell>
          <cell r="Q269" t="str">
            <v/>
          </cell>
          <cell r="R269" t="str">
            <v/>
          </cell>
          <cell r="S269">
            <v>118563.71023188665</v>
          </cell>
          <cell r="T269" t="str">
            <v/>
          </cell>
        </row>
        <row r="270">
          <cell r="B270" t="str">
            <v>Scheelite</v>
          </cell>
          <cell r="C270" t="str">
            <v>CaWO4</v>
          </cell>
          <cell r="D270">
            <v>287.93</v>
          </cell>
          <cell r="E270">
            <v>9.2799999999999994E-9</v>
          </cell>
          <cell r="F270">
            <v>2.6719903999999999E-6</v>
          </cell>
          <cell r="G270">
            <v>1.4634559999999999E-6</v>
          </cell>
          <cell r="H270">
            <v>-1419.6</v>
          </cell>
          <cell r="J270">
            <v>-4.8736326714649742E-5</v>
          </cell>
          <cell r="K270">
            <v>4930.3650192755185</v>
          </cell>
          <cell r="L270">
            <v>118563.71023188665</v>
          </cell>
          <cell r="M270">
            <v>584562369.48281288</v>
          </cell>
          <cell r="Q270" t="str">
            <v/>
          </cell>
          <cell r="R270" t="str">
            <v/>
          </cell>
          <cell r="S270">
            <v>118563.71023188665</v>
          </cell>
          <cell r="T270" t="str">
            <v/>
          </cell>
        </row>
        <row r="271">
          <cell r="B271" t="str">
            <v>Sepiolite</v>
          </cell>
          <cell r="C271" t="str">
            <v>Mg4Si6O15(OH)26(H2O)</v>
          </cell>
          <cell r="D271">
            <v>647.84</v>
          </cell>
          <cell r="E271">
            <v>5.6699999999999999E-6</v>
          </cell>
          <cell r="F271">
            <v>3.6732528E-3</v>
          </cell>
          <cell r="G271">
            <v>8.9415899999999995E-4</v>
          </cell>
          <cell r="H271">
            <v>-9257.7999999999993</v>
          </cell>
          <cell r="J271">
            <v>-1.5558711163502808E-2</v>
          </cell>
          <cell r="K271">
            <v>14290.256853544084</v>
          </cell>
          <cell r="L271">
            <v>118563.71023188665</v>
          </cell>
          <cell r="M271">
            <v>1694305872.7228332</v>
          </cell>
          <cell r="Q271" t="str">
            <v/>
          </cell>
          <cell r="R271" t="str">
            <v/>
          </cell>
          <cell r="S271">
            <v>118563.71023188665</v>
          </cell>
          <cell r="T271" t="str">
            <v/>
          </cell>
        </row>
        <row r="272">
          <cell r="B272" t="str">
            <v>Serpentine/Chrysotile</v>
          </cell>
          <cell r="C272" t="str">
            <v>Mg3Si2O5(OH)4</v>
          </cell>
          <cell r="D272">
            <v>277.11</v>
          </cell>
          <cell r="E272">
            <v>1.64E-6</v>
          </cell>
          <cell r="F272">
            <v>4.5446040000000004E-4</v>
          </cell>
          <cell r="G272">
            <v>2.5862799999999995E-4</v>
          </cell>
          <cell r="H272">
            <v>-4035.4</v>
          </cell>
          <cell r="J272">
            <v>-5.295496953399855E-3</v>
          </cell>
          <cell r="K272">
            <v>14562.448125293204</v>
          </cell>
          <cell r="L272">
            <v>118563.71023188665</v>
          </cell>
          <cell r="M272">
            <v>1726577879.7941444</v>
          </cell>
          <cell r="Q272" t="str">
            <v/>
          </cell>
          <cell r="R272" t="str">
            <v/>
          </cell>
          <cell r="S272">
            <v>118563.71023188665</v>
          </cell>
          <cell r="T272" t="str">
            <v/>
          </cell>
        </row>
        <row r="273">
          <cell r="B273" t="str">
            <v>Siderite</v>
          </cell>
          <cell r="C273" t="str">
            <v>Fe2+CO3</v>
          </cell>
          <cell r="D273">
            <v>115.85429999999999</v>
          </cell>
          <cell r="E273">
            <v>2.08E-6</v>
          </cell>
          <cell r="F273">
            <v>2.40976944E-4</v>
          </cell>
          <cell r="G273">
            <v>3.2801599999999998E-4</v>
          </cell>
          <cell r="H273">
            <v>-671.1</v>
          </cell>
          <cell r="I273">
            <v>124.79</v>
          </cell>
          <cell r="J273">
            <v>3.4410125597768244E-2</v>
          </cell>
          <cell r="K273">
            <v>5792.6205587535378</v>
          </cell>
          <cell r="L273">
            <v>118563.71023188665</v>
          </cell>
          <cell r="M273">
            <v>686794585.41132379</v>
          </cell>
          <cell r="Q273" t="str">
            <v/>
          </cell>
          <cell r="R273" t="str">
            <v/>
          </cell>
          <cell r="S273">
            <v>118563.71023188665</v>
          </cell>
          <cell r="T273" t="str">
            <v/>
          </cell>
        </row>
        <row r="274">
          <cell r="B274" t="str">
            <v>Sillimanite</v>
          </cell>
          <cell r="C274" t="str">
            <v>Al2SiO5</v>
          </cell>
          <cell r="D274">
            <v>162.04580000000001</v>
          </cell>
          <cell r="E274">
            <v>6.1500000000000004E-5</v>
          </cell>
          <cell r="F274">
            <v>9.9658167000000013E-3</v>
          </cell>
          <cell r="G274">
            <v>9.6985500000000002E-3</v>
          </cell>
          <cell r="H274">
            <v>-2441</v>
          </cell>
          <cell r="J274">
            <v>-0.11144853303964825</v>
          </cell>
          <cell r="K274">
            <v>15063.642501070684</v>
          </cell>
          <cell r="L274">
            <v>118563.71023188665</v>
          </cell>
          <cell r="M274">
            <v>1786001344.5336769</v>
          </cell>
          <cell r="Q274" t="str">
            <v/>
          </cell>
          <cell r="R274" t="str">
            <v/>
          </cell>
          <cell r="S274">
            <v>118563.71023188665</v>
          </cell>
          <cell r="T274" t="str">
            <v/>
          </cell>
        </row>
        <row r="275">
          <cell r="B275" t="str">
            <v>Sirtolite</v>
          </cell>
          <cell r="C275" t="str">
            <v>ZrSiO4</v>
          </cell>
          <cell r="D275">
            <v>183.31</v>
          </cell>
          <cell r="E275">
            <v>4.0200000000000001E-10</v>
          </cell>
          <cell r="F275">
            <v>7.3690620000000006E-8</v>
          </cell>
          <cell r="G275">
            <v>6.3395400000000001E-8</v>
          </cell>
          <cell r="H275">
            <v>-1919.2</v>
          </cell>
          <cell r="J275">
            <v>-2.6045135854902604E-6</v>
          </cell>
          <cell r="K275">
            <v>10469.696143145491</v>
          </cell>
          <cell r="L275">
            <v>118563.71023188665</v>
          </cell>
          <cell r="M275">
            <v>1241326019.7318032</v>
          </cell>
          <cell r="Q275" t="str">
            <v/>
          </cell>
          <cell r="R275" t="str">
            <v/>
          </cell>
          <cell r="S275">
            <v>118563.71023188665</v>
          </cell>
          <cell r="T275" t="str">
            <v/>
          </cell>
        </row>
        <row r="276">
          <cell r="B276" t="str">
            <v>Smaltite</v>
          </cell>
          <cell r="C276" t="str">
            <v>CoAs2</v>
          </cell>
          <cell r="D276">
            <v>208.78</v>
          </cell>
          <cell r="E276">
            <v>5.0599999999999998E-11</v>
          </cell>
          <cell r="F276">
            <v>1.0564268000000001E-8</v>
          </cell>
          <cell r="G276">
            <v>7.979619999999999E-9</v>
          </cell>
          <cell r="H276" t="str">
            <v>N.A.</v>
          </cell>
          <cell r="J276">
            <v>-3.6882594108307407E-7</v>
          </cell>
          <cell r="K276" t="e">
            <v>#VALUE!</v>
          </cell>
          <cell r="L276">
            <v>118563.71023188665</v>
          </cell>
          <cell r="M276" t="e">
            <v>#VALUE!</v>
          </cell>
          <cell r="Q276" t="str">
            <v/>
          </cell>
          <cell r="R276" t="str">
            <v/>
          </cell>
          <cell r="S276">
            <v>118563.71023188665</v>
          </cell>
          <cell r="T276" t="str">
            <v/>
          </cell>
        </row>
        <row r="277">
          <cell r="B277" t="str">
            <v>Smithsonite</v>
          </cell>
          <cell r="C277" t="str">
            <v>ZnCO3</v>
          </cell>
          <cell r="D277">
            <v>125.4</v>
          </cell>
          <cell r="E277">
            <v>6.3599999999999998E-10</v>
          </cell>
          <cell r="F277">
            <v>7.9754399999999996E-8</v>
          </cell>
          <cell r="G277">
            <v>1.0029719999999999E-7</v>
          </cell>
          <cell r="H277">
            <v>-731.9</v>
          </cell>
          <cell r="J277">
            <v>-4.0065208190701258E-6</v>
          </cell>
          <cell r="K277">
            <v>5836.5231259968095</v>
          </cell>
          <cell r="L277">
            <v>118563.71023188665</v>
          </cell>
          <cell r="M277">
            <v>691999836.67239106</v>
          </cell>
          <cell r="Q277" t="str">
            <v/>
          </cell>
          <cell r="R277" t="str">
            <v/>
          </cell>
          <cell r="S277">
            <v>118563.71023188665</v>
          </cell>
          <cell r="T277" t="str">
            <v/>
          </cell>
        </row>
        <row r="278">
          <cell r="B278" t="str">
            <v>Sodalite</v>
          </cell>
          <cell r="C278" t="str">
            <v>Na8Al6Si6O24Cl2</v>
          </cell>
          <cell r="D278">
            <v>969.21</v>
          </cell>
          <cell r="E278">
            <v>2.0499999999999999E-10</v>
          </cell>
          <cell r="F278">
            <v>1.9868805000000001E-7</v>
          </cell>
          <cell r="G278">
            <v>3.2328499999999997E-8</v>
          </cell>
          <cell r="H278">
            <v>-12703.6</v>
          </cell>
          <cell r="I278">
            <v>62.96</v>
          </cell>
          <cell r="J278">
            <v>6.5326271337881199E-7</v>
          </cell>
          <cell r="K278">
            <v>13107.169756812249</v>
          </cell>
          <cell r="L278">
            <v>118563.71023188665</v>
          </cell>
          <cell r="M278">
            <v>1554034677.0068357</v>
          </cell>
          <cell r="P278">
            <v>0.1</v>
          </cell>
          <cell r="Q278">
            <v>1.6270983584568875E-2</v>
          </cell>
          <cell r="R278">
            <v>33.578150222568134</v>
          </cell>
          <cell r="S278">
            <v>118563.71023188665</v>
          </cell>
          <cell r="T278">
            <v>3981150.0731113283</v>
          </cell>
        </row>
        <row r="279">
          <cell r="B279" t="str">
            <v>Spessartine</v>
          </cell>
          <cell r="C279" t="str">
            <v>Mn2+3Al2(SiO4)3</v>
          </cell>
          <cell r="D279">
            <v>495.03</v>
          </cell>
          <cell r="E279">
            <v>4.7700000000000005E-7</v>
          </cell>
          <cell r="F279">
            <v>2.3612931000000002E-4</v>
          </cell>
          <cell r="G279">
            <v>7.5222900000000001E-5</v>
          </cell>
          <cell r="H279">
            <v>-5326.3</v>
          </cell>
          <cell r="J279">
            <v>-1.7704855402666318E-3</v>
          </cell>
          <cell r="K279">
            <v>10759.549926267095</v>
          </cell>
          <cell r="L279">
            <v>118563.71023188665</v>
          </cell>
          <cell r="M279">
            <v>1275692159.6834493</v>
          </cell>
          <cell r="Q279" t="str">
            <v/>
          </cell>
          <cell r="R279" t="str">
            <v/>
          </cell>
          <cell r="S279">
            <v>118563.71023188665</v>
          </cell>
          <cell r="T279" t="str">
            <v/>
          </cell>
        </row>
        <row r="280">
          <cell r="B280" t="str">
            <v>Sphalerite</v>
          </cell>
          <cell r="C280" t="str">
            <v>ZnS</v>
          </cell>
          <cell r="D280">
            <v>97.46</v>
          </cell>
          <cell r="E280">
            <v>1.02E-6</v>
          </cell>
          <cell r="F280">
            <v>9.9409199999999997E-5</v>
          </cell>
          <cell r="G280">
            <v>1.6085399999999999E-4</v>
          </cell>
          <cell r="H280">
            <v>-201.4</v>
          </cell>
          <cell r="I280">
            <v>744.47500000000002</v>
          </cell>
          <cell r="J280">
            <v>0.11626888749620019</v>
          </cell>
          <cell r="K280">
            <v>2066.488815924482</v>
          </cell>
          <cell r="L280">
            <v>118563.71023188665</v>
          </cell>
          <cell r="M280">
            <v>245010581.16870484</v>
          </cell>
          <cell r="N280" t="str">
            <v>Zn</v>
          </cell>
          <cell r="O280">
            <v>0.67094192489226356</v>
          </cell>
          <cell r="P280">
            <v>5.2999999999999999E-2</v>
          </cell>
          <cell r="Q280">
            <v>8.5759285860865994E-2</v>
          </cell>
          <cell r="R280">
            <v>159.69644604037796</v>
          </cell>
          <cell r="S280">
            <v>118563.71023188665</v>
          </cell>
          <cell r="T280">
            <v>18934203.153393496</v>
          </cell>
        </row>
        <row r="281">
          <cell r="B281" t="str">
            <v>Sphalerite (8% mineral in ground)</v>
          </cell>
          <cell r="C281" t="str">
            <v>ZnS</v>
          </cell>
          <cell r="D281">
            <v>164</v>
          </cell>
          <cell r="E281">
            <v>1.02E-6</v>
          </cell>
          <cell r="F281">
            <v>1.6727999999999998E-4</v>
          </cell>
          <cell r="G281">
            <v>1.6085399999999999E-4</v>
          </cell>
          <cell r="H281">
            <v>-201.4</v>
          </cell>
          <cell r="I281">
            <v>744.47500000000002</v>
          </cell>
          <cell r="J281">
            <v>0.11626888749620019</v>
          </cell>
          <cell r="K281">
            <v>1228.0487804878048</v>
          </cell>
          <cell r="L281">
            <v>118563.71023188665</v>
          </cell>
          <cell r="M281">
            <v>145602019.76037788</v>
          </cell>
          <cell r="N281" t="str">
            <v>In</v>
          </cell>
          <cell r="O281">
            <v>5.6603773584905663E-4</v>
          </cell>
          <cell r="P281">
            <v>5.2999999999999999E-2</v>
          </cell>
          <cell r="Q281">
            <v>5.0964024390243903E-2</v>
          </cell>
          <cell r="R281">
            <v>87.036449463682629</v>
          </cell>
          <cell r="S281">
            <v>118563.71023188665</v>
          </cell>
          <cell r="T281">
            <v>10319364.373824313</v>
          </cell>
        </row>
        <row r="282">
          <cell r="B282" t="str">
            <v>Spinel</v>
          </cell>
          <cell r="C282" t="str">
            <v>MgAl2O4</v>
          </cell>
          <cell r="D282">
            <v>142.27000000000001</v>
          </cell>
          <cell r="E282">
            <v>1.0700000000000001E-7</v>
          </cell>
          <cell r="F282">
            <v>1.5222890000000002E-5</v>
          </cell>
          <cell r="G282">
            <v>1.6873900000000001E-5</v>
          </cell>
          <cell r="H282">
            <v>-2172.5</v>
          </cell>
          <cell r="I282">
            <v>66.433333333333337</v>
          </cell>
          <cell r="J282">
            <v>6.6131766524837204E-4</v>
          </cell>
          <cell r="K282">
            <v>15270.260771771982</v>
          </cell>
          <cell r="L282">
            <v>118563.71023188665</v>
          </cell>
          <cell r="M282">
            <v>1810498773.3097191</v>
          </cell>
          <cell r="Q282" t="str">
            <v/>
          </cell>
          <cell r="R282" t="str">
            <v/>
          </cell>
          <cell r="S282">
            <v>118563.71023188665</v>
          </cell>
          <cell r="T282" t="str">
            <v/>
          </cell>
        </row>
        <row r="283">
          <cell r="B283" t="str">
            <v>Spodumene</v>
          </cell>
          <cell r="C283" t="str">
            <v>LiAlSi2O6</v>
          </cell>
          <cell r="D283">
            <v>186.09</v>
          </cell>
          <cell r="E283">
            <v>2.0600000000000002E-6</v>
          </cell>
          <cell r="F283">
            <v>3.8334540000000002E-4</v>
          </cell>
          <cell r="G283">
            <v>3.2486199999999998E-4</v>
          </cell>
          <cell r="H283">
            <v>-2882.9</v>
          </cell>
          <cell r="I283">
            <v>37.619999999999997</v>
          </cell>
          <cell r="J283">
            <v>5.7532579785739323E-3</v>
          </cell>
          <cell r="K283">
            <v>15491.966252888387</v>
          </cell>
          <cell r="L283">
            <v>118563.71023188665</v>
          </cell>
          <cell r="M283">
            <v>1836784997.7296257</v>
          </cell>
          <cell r="N283" t="str">
            <v>Li</v>
          </cell>
          <cell r="O283">
            <v>3.7299156322209683E-2</v>
          </cell>
          <cell r="P283">
            <v>1.5E-3</v>
          </cell>
          <cell r="Q283">
            <v>1.2711591165565049E-3</v>
          </cell>
          <cell r="R283">
            <v>18.172997899449015</v>
          </cell>
          <cell r="S283">
            <v>118563.71023188665</v>
          </cell>
          <cell r="T283">
            <v>2154658.0569949578</v>
          </cell>
        </row>
        <row r="284">
          <cell r="B284" t="str">
            <v>Staurolite</v>
          </cell>
          <cell r="C284" t="str">
            <v>Fe2+Al9Si4O23(OH)</v>
          </cell>
          <cell r="D284">
            <v>796.01</v>
          </cell>
          <cell r="E284">
            <v>7.6799999999999999E-7</v>
          </cell>
          <cell r="F284">
            <v>6.1133567999999995E-4</v>
          </cell>
          <cell r="G284">
            <v>1.2111359999999999E-4</v>
          </cell>
          <cell r="H284">
            <v>-11215.6</v>
          </cell>
          <cell r="J284">
            <v>-2.7076069351277981E-3</v>
          </cell>
          <cell r="K284">
            <v>14089.772741548473</v>
          </cell>
          <cell r="L284">
            <v>118563.71023188665</v>
          </cell>
          <cell r="M284">
            <v>1670535732.5620885</v>
          </cell>
          <cell r="Q284" t="str">
            <v/>
          </cell>
          <cell r="R284" t="str">
            <v/>
          </cell>
          <cell r="S284">
            <v>118563.71023188665</v>
          </cell>
          <cell r="T284" t="str">
            <v/>
          </cell>
        </row>
        <row r="285">
          <cell r="B285" t="str">
            <v>Stephanite</v>
          </cell>
          <cell r="C285" t="str">
            <v>Ag5SbS4</v>
          </cell>
          <cell r="D285">
            <v>789.36320000000001</v>
          </cell>
          <cell r="E285">
            <v>7.7200000000000002E-12</v>
          </cell>
          <cell r="F285">
            <v>6.0938839039999998E-9</v>
          </cell>
          <cell r="G285">
            <v>1.2174439999999999E-9</v>
          </cell>
          <cell r="H285">
            <v>-184.5</v>
          </cell>
          <cell r="I285">
            <v>3030.95</v>
          </cell>
          <cell r="J285">
            <v>3.6280665019587841E-6</v>
          </cell>
          <cell r="K285">
            <v>233.73271011367137</v>
          </cell>
          <cell r="L285">
            <v>118563.71023188665</v>
          </cell>
          <cell r="M285">
            <v>27712217.313630894</v>
          </cell>
          <cell r="Q285" t="str">
            <v/>
          </cell>
          <cell r="R285" t="str">
            <v/>
          </cell>
          <cell r="S285">
            <v>118563.71023188665</v>
          </cell>
          <cell r="T285" t="str">
            <v/>
          </cell>
        </row>
        <row r="286">
          <cell r="B286" t="str">
            <v>Stibnite</v>
          </cell>
          <cell r="C286" t="str">
            <v>Sb2S3</v>
          </cell>
          <cell r="D286">
            <v>339.7</v>
          </cell>
          <cell r="E286">
            <v>8.0999999999999999E-10</v>
          </cell>
          <cell r="F286">
            <v>2.7515700000000001E-7</v>
          </cell>
          <cell r="G286">
            <v>1.27737E-7</v>
          </cell>
          <cell r="H286">
            <v>-173.7</v>
          </cell>
          <cell r="I286">
            <v>2523.44</v>
          </cell>
          <cell r="J286">
            <v>3.1731058494573135E-4</v>
          </cell>
          <cell r="K286">
            <v>511.33352958492787</v>
          </cell>
          <cell r="L286">
            <v>118563.71023188665</v>
          </cell>
          <cell r="M286">
            <v>60625600.43355523</v>
          </cell>
          <cell r="N286" t="str">
            <v>Sb</v>
          </cell>
          <cell r="O286">
            <v>0.71699999999999997</v>
          </cell>
          <cell r="P286">
            <v>0.35</v>
          </cell>
          <cell r="Q286">
            <v>0.16248160141301146</v>
          </cell>
          <cell r="R286">
            <v>102.56854219435841</v>
          </cell>
          <cell r="S286">
            <v>118563.71023188665</v>
          </cell>
          <cell r="T286">
            <v>12160906.91563895</v>
          </cell>
        </row>
        <row r="287">
          <cell r="B287" t="str">
            <v>Stilplomelane</v>
          </cell>
          <cell r="C287" t="str">
            <v>KFe2+4.3Mg1.4Fe3+2.3Si10Al2O24(OH)3·2(H2O)</v>
          </cell>
          <cell r="D287">
            <v>1247.57</v>
          </cell>
          <cell r="E287">
            <v>2.7700000000000001E-7</v>
          </cell>
          <cell r="F287">
            <v>3.4557688999999997E-4</v>
          </cell>
          <cell r="G287">
            <v>4.3682899999999995E-5</v>
          </cell>
          <cell r="H287">
            <v>-15197</v>
          </cell>
          <cell r="J287">
            <v>-1.0869947554538132E-3</v>
          </cell>
          <cell r="K287">
            <v>12181.280409115321</v>
          </cell>
          <cell r="L287">
            <v>118563.71023188665</v>
          </cell>
          <cell r="M287">
            <v>1444257800.6797066</v>
          </cell>
          <cell r="Q287" t="str">
            <v/>
          </cell>
          <cell r="R287" t="str">
            <v/>
          </cell>
          <cell r="S287">
            <v>118563.71023188665</v>
          </cell>
          <cell r="T287" t="str">
            <v/>
          </cell>
        </row>
        <row r="288">
          <cell r="B288" t="str">
            <v>Strontianite</v>
          </cell>
          <cell r="C288" t="str">
            <v>SrCO3</v>
          </cell>
          <cell r="D288">
            <v>147.63</v>
          </cell>
          <cell r="E288">
            <v>5.3400000000000002E-9</v>
          </cell>
          <cell r="F288">
            <v>7.8834419999999997E-7</v>
          </cell>
          <cell r="G288">
            <v>8.4211799999999992E-7</v>
          </cell>
          <cell r="H288">
            <v>-1140.0999999999999</v>
          </cell>
          <cell r="J288">
            <v>-2.9197999217006424E-5</v>
          </cell>
          <cell r="K288">
            <v>7722.6850911061438</v>
          </cell>
          <cell r="L288">
            <v>118563.71023188665</v>
          </cell>
          <cell r="M288">
            <v>915630197.35402</v>
          </cell>
          <cell r="Q288" t="str">
            <v/>
          </cell>
          <cell r="R288" t="str">
            <v/>
          </cell>
          <cell r="S288">
            <v>118563.71023188665</v>
          </cell>
          <cell r="T288" t="str">
            <v/>
          </cell>
        </row>
        <row r="289">
          <cell r="B289" t="str">
            <v>Sulphur</v>
          </cell>
          <cell r="C289" t="str">
            <v>S8</v>
          </cell>
          <cell r="D289">
            <v>256.52999999999997</v>
          </cell>
          <cell r="E289">
            <v>1.8400000000000001E-9</v>
          </cell>
          <cell r="F289">
            <v>4.7201519999999997E-7</v>
          </cell>
          <cell r="G289">
            <v>2.9016800000000001E-7</v>
          </cell>
          <cell r="H289">
            <v>0</v>
          </cell>
          <cell r="I289">
            <v>4856.3999999999996</v>
          </cell>
          <cell r="J289">
            <v>1.3983447836735051E-3</v>
          </cell>
          <cell r="K289">
            <v>0</v>
          </cell>
          <cell r="L289">
            <v>118563.71023188665</v>
          </cell>
          <cell r="M289">
            <v>0</v>
          </cell>
          <cell r="P289">
            <v>5.0000000000000001E-3</v>
          </cell>
          <cell r="Q289">
            <v>3.0737145752933381E-3</v>
          </cell>
          <cell r="R289">
            <v>89.554983635748997</v>
          </cell>
          <cell r="S289">
            <v>118563.71023188665</v>
          </cell>
          <cell r="T289">
            <v>10617971.129610294</v>
          </cell>
        </row>
        <row r="290">
          <cell r="B290" t="str">
            <v>Sylvanite</v>
          </cell>
          <cell r="C290" t="str">
            <v>Au0:75Ag0:25Te2</v>
          </cell>
          <cell r="D290">
            <v>429.89</v>
          </cell>
          <cell r="E290">
            <v>7.6199999999999998E-13</v>
          </cell>
          <cell r="F290">
            <v>3.2757617999999996E-10</v>
          </cell>
          <cell r="G290">
            <v>1.2016739999999998E-10</v>
          </cell>
          <cell r="H290" t="str">
            <v>N.A.</v>
          </cell>
          <cell r="J290">
            <v>-6.8040610081111731E-9</v>
          </cell>
          <cell r="K290" t="e">
            <v>#VALUE!</v>
          </cell>
          <cell r="L290">
            <v>118563.71023188665</v>
          </cell>
          <cell r="M290" t="e">
            <v>#VALUE!</v>
          </cell>
          <cell r="Q290" t="str">
            <v/>
          </cell>
          <cell r="R290" t="str">
            <v/>
          </cell>
          <cell r="S290">
            <v>118563.71023188665</v>
          </cell>
          <cell r="T290" t="str">
            <v/>
          </cell>
        </row>
        <row r="291">
          <cell r="B291" t="str">
            <v>Sylvite</v>
          </cell>
          <cell r="C291" t="str">
            <v>KCl</v>
          </cell>
          <cell r="D291">
            <v>74.55</v>
          </cell>
          <cell r="E291">
            <v>2.7400000000000001E-8</v>
          </cell>
          <cell r="F291">
            <v>2.04267E-6</v>
          </cell>
          <cell r="G291">
            <v>4.3209800000000001E-6</v>
          </cell>
          <cell r="H291">
            <v>-410.2</v>
          </cell>
          <cell r="I291">
            <v>19.43</v>
          </cell>
          <cell r="J291">
            <v>-4.8345041662397794E-5</v>
          </cell>
          <cell r="K291">
            <v>5502.3474178403758</v>
          </cell>
          <cell r="L291">
            <v>118563.71023188665</v>
          </cell>
          <cell r="M291">
            <v>652378724.84399605</v>
          </cell>
          <cell r="P291">
            <v>0.14000000000000001</v>
          </cell>
          <cell r="Q291">
            <v>0.29615023474178404</v>
          </cell>
          <cell r="R291">
            <v>370.24812246363592</v>
          </cell>
          <cell r="S291">
            <v>118563.71023188665</v>
          </cell>
          <cell r="T291">
            <v>43897991.105678611</v>
          </cell>
        </row>
        <row r="292">
          <cell r="B292" t="str">
            <v>Talc</v>
          </cell>
          <cell r="C292" t="str">
            <v>Mg3Si4O10(OH)2</v>
          </cell>
          <cell r="D292">
            <v>379.27</v>
          </cell>
          <cell r="E292">
            <v>7.6700000000000003E-7</v>
          </cell>
          <cell r="F292">
            <v>2.9090008999999999E-4</v>
          </cell>
          <cell r="G292">
            <v>1.2095589999999999E-4</v>
          </cell>
          <cell r="H292">
            <v>-5543</v>
          </cell>
          <cell r="I292">
            <v>41.034999999999997</v>
          </cell>
          <cell r="J292">
            <v>2.2589532960726601E-3</v>
          </cell>
          <cell r="K292">
            <v>14614.918132201336</v>
          </cell>
          <cell r="L292">
            <v>118563.71023188665</v>
          </cell>
          <cell r="M292">
            <v>1732798918.4890652</v>
          </cell>
          <cell r="P292">
            <v>0.4</v>
          </cell>
          <cell r="Q292">
            <v>0.16631950852954361</v>
          </cell>
          <cell r="R292">
            <v>47.228996789169699</v>
          </cell>
          <cell r="S292">
            <v>118563.71023188665</v>
          </cell>
          <cell r="T292">
            <v>5599645.0898538213</v>
          </cell>
        </row>
        <row r="293">
          <cell r="B293" t="str">
            <v>Tellurite</v>
          </cell>
          <cell r="C293" t="str">
            <v>TeO2</v>
          </cell>
          <cell r="D293">
            <v>159.6</v>
          </cell>
          <cell r="E293">
            <v>1.14E-12</v>
          </cell>
          <cell r="F293">
            <v>1.81944E-10</v>
          </cell>
          <cell r="G293">
            <v>1.7977799999999998E-10</v>
          </cell>
          <cell r="H293">
            <v>-270.3</v>
          </cell>
          <cell r="J293">
            <v>-9.9997847481437573E-9</v>
          </cell>
          <cell r="K293">
            <v>1693.609022556391</v>
          </cell>
          <cell r="L293">
            <v>118563.71023188665</v>
          </cell>
          <cell r="M293">
            <v>200800569.39648473</v>
          </cell>
          <cell r="Q293" t="str">
            <v/>
          </cell>
          <cell r="R293" t="str">
            <v/>
          </cell>
          <cell r="S293">
            <v>118563.71023188665</v>
          </cell>
          <cell r="T293" t="str">
            <v/>
          </cell>
        </row>
        <row r="294">
          <cell r="B294" t="str">
            <v>Tennantite</v>
          </cell>
          <cell r="C294" t="str">
            <v>Cu10Fe2As4S13</v>
          </cell>
          <cell r="D294">
            <v>1463.6913</v>
          </cell>
          <cell r="E294">
            <v>1.24E-12</v>
          </cell>
          <cell r="F294">
            <v>1.8149772119999999E-9</v>
          </cell>
          <cell r="G294">
            <v>1.9554799999999997E-10</v>
          </cell>
          <cell r="H294">
            <v>-1999.6</v>
          </cell>
          <cell r="J294">
            <v>-1.0836201397750323E-8</v>
          </cell>
          <cell r="K294">
            <v>1366.1350586698165</v>
          </cell>
          <cell r="L294">
            <v>118563.71023188665</v>
          </cell>
          <cell r="M294">
            <v>161974041.2337496</v>
          </cell>
          <cell r="Q294" t="str">
            <v/>
          </cell>
          <cell r="R294" t="str">
            <v/>
          </cell>
          <cell r="S294">
            <v>118563.71023188665</v>
          </cell>
          <cell r="T294" t="str">
            <v/>
          </cell>
        </row>
        <row r="295">
          <cell r="B295" t="str">
            <v>Tephroite</v>
          </cell>
          <cell r="C295" t="str">
            <v>Mn2+2(SiO4)</v>
          </cell>
          <cell r="D295">
            <v>201.96</v>
          </cell>
          <cell r="E295">
            <v>6.3E-7</v>
          </cell>
          <cell r="F295">
            <v>1.272348E-4</v>
          </cell>
          <cell r="G295">
            <v>9.9350999999999991E-5</v>
          </cell>
          <cell r="H295">
            <v>-1632.1</v>
          </cell>
          <cell r="J295">
            <v>-2.2698631168229003E-3</v>
          </cell>
          <cell r="K295">
            <v>8081.3032283620514</v>
          </cell>
          <cell r="L295">
            <v>118563.71023188665</v>
          </cell>
          <cell r="M295">
            <v>958149294.26352835</v>
          </cell>
          <cell r="Q295" t="str">
            <v/>
          </cell>
          <cell r="R295" t="str">
            <v/>
          </cell>
          <cell r="S295">
            <v>118563.71023188665</v>
          </cell>
          <cell r="T295" t="str">
            <v/>
          </cell>
        </row>
        <row r="296">
          <cell r="B296" t="str">
            <v>Tetradymite</v>
          </cell>
          <cell r="C296" t="str">
            <v>Bi2Te2S</v>
          </cell>
          <cell r="D296">
            <v>705.23</v>
          </cell>
          <cell r="E296">
            <v>2.2699999999999999E-13</v>
          </cell>
          <cell r="F296">
            <v>1.6008720999999999E-10</v>
          </cell>
          <cell r="G296">
            <v>3.5797899999999998E-11</v>
          </cell>
          <cell r="H296">
            <v>-100.6</v>
          </cell>
          <cell r="I296">
            <v>1714.45</v>
          </cell>
          <cell r="J296">
            <v>5.9239318478415783E-8</v>
          </cell>
          <cell r="K296">
            <v>142.64849765324789</v>
          </cell>
          <cell r="L296">
            <v>118563.71023188665</v>
          </cell>
          <cell r="M296">
            <v>16912935.140773647</v>
          </cell>
          <cell r="N296" t="str">
            <v>Te</v>
          </cell>
          <cell r="O296">
            <v>0.1809338797271812</v>
          </cell>
          <cell r="P296">
            <v>1.9999999999999999E-7</v>
          </cell>
          <cell r="Q296">
            <v>4.4722998170809516E-8</v>
          </cell>
          <cell r="R296">
            <v>25.062543393583457</v>
          </cell>
          <cell r="S296">
            <v>118563.71023188665</v>
          </cell>
          <cell r="T296">
            <v>2971508.1325909141</v>
          </cell>
        </row>
        <row r="297">
          <cell r="B297" t="str">
            <v>Tetrahedrite</v>
          </cell>
          <cell r="C297" t="str">
            <v>Cu10Fe2Sb4S13</v>
          </cell>
          <cell r="D297">
            <v>1643.31</v>
          </cell>
          <cell r="E297">
            <v>3.4699999999999999E-13</v>
          </cell>
          <cell r="F297">
            <v>5.7022856999999994E-10</v>
          </cell>
          <cell r="G297">
            <v>5.4721899999999991E-11</v>
          </cell>
          <cell r="H297">
            <v>-1939.7</v>
          </cell>
          <cell r="J297">
            <v>-3.2051390849815211E-9</v>
          </cell>
          <cell r="K297">
            <v>1180.3615872842008</v>
          </cell>
          <cell r="L297">
            <v>118563.71023188665</v>
          </cell>
          <cell r="M297">
            <v>139948049.20361376</v>
          </cell>
          <cell r="Q297" t="str">
            <v/>
          </cell>
          <cell r="R297" t="str">
            <v/>
          </cell>
          <cell r="S297">
            <v>118563.71023188665</v>
          </cell>
          <cell r="T297" t="str">
            <v/>
          </cell>
        </row>
        <row r="298">
          <cell r="B298" t="str">
            <v>Thomsonite</v>
          </cell>
          <cell r="C298" t="str">
            <v>NaCa2Al5Si5O206H2O</v>
          </cell>
          <cell r="D298">
            <v>806.56</v>
          </cell>
          <cell r="E298">
            <v>6.1900000000000002E-7</v>
          </cell>
          <cell r="F298">
            <v>4.9926064E-4</v>
          </cell>
          <cell r="G298">
            <v>9.7616300000000003E-5</v>
          </cell>
          <cell r="H298">
            <v>-11543.9</v>
          </cell>
          <cell r="J298">
            <v>-2.234492833543589E-3</v>
          </cell>
          <cell r="K298">
            <v>14312.512398333665</v>
          </cell>
          <cell r="L298">
            <v>118563.71023188665</v>
          </cell>
          <cell r="M298">
            <v>1696944572.6863177</v>
          </cell>
          <cell r="Q298" t="str">
            <v/>
          </cell>
          <cell r="R298" t="str">
            <v/>
          </cell>
          <cell r="S298">
            <v>118563.71023188665</v>
          </cell>
          <cell r="T298" t="str">
            <v/>
          </cell>
        </row>
        <row r="299">
          <cell r="B299" t="str">
            <v>Thorianite</v>
          </cell>
          <cell r="C299" t="str">
            <v>ThO2</v>
          </cell>
          <cell r="D299">
            <v>264.04000000000002</v>
          </cell>
          <cell r="E299">
            <v>1.56E-11</v>
          </cell>
          <cell r="F299">
            <v>4.1190240000000006E-9</v>
          </cell>
          <cell r="G299">
            <v>2.46012E-9</v>
          </cell>
          <cell r="H299">
            <v>-1169.5999999999999</v>
          </cell>
          <cell r="J299">
            <v>-1.2088480853950033E-7</v>
          </cell>
          <cell r="K299">
            <v>4429.6318739584904</v>
          </cell>
          <cell r="L299">
            <v>118563.71023188665</v>
          </cell>
          <cell r="M299">
            <v>525193589.93794352</v>
          </cell>
          <cell r="Q299" t="str">
            <v/>
          </cell>
          <cell r="R299" t="str">
            <v/>
          </cell>
          <cell r="S299">
            <v>118563.71023188665</v>
          </cell>
          <cell r="T299" t="str">
            <v/>
          </cell>
        </row>
        <row r="300">
          <cell r="B300" t="str">
            <v>Thorite</v>
          </cell>
          <cell r="C300" t="str">
            <v>ThSiO4</v>
          </cell>
          <cell r="D300">
            <v>324.12</v>
          </cell>
          <cell r="E300">
            <v>2.1299999999999999E-8</v>
          </cell>
          <cell r="F300">
            <v>6.9037559999999995E-6</v>
          </cell>
          <cell r="G300">
            <v>3.3590099999999994E-6</v>
          </cell>
          <cell r="H300">
            <v>-2048.8000000000002</v>
          </cell>
          <cell r="J300">
            <v>-1.0494454000360316E-4</v>
          </cell>
          <cell r="K300">
            <v>6321.1156361841304</v>
          </cell>
          <cell r="L300">
            <v>118563.71023188665</v>
          </cell>
          <cell r="M300">
            <v>749454922.63078308</v>
          </cell>
          <cell r="Q300" t="str">
            <v/>
          </cell>
          <cell r="R300" t="str">
            <v/>
          </cell>
          <cell r="S300">
            <v>118563.71023188665</v>
          </cell>
          <cell r="T300" t="str">
            <v/>
          </cell>
        </row>
        <row r="301">
          <cell r="B301" t="str">
            <v>Thortveitite</v>
          </cell>
          <cell r="C301" t="str">
            <v>Sc1;5Y0;5Si2O7</v>
          </cell>
          <cell r="D301">
            <v>280.05</v>
          </cell>
          <cell r="E301">
            <v>2.7100000000000001E-13</v>
          </cell>
          <cell r="F301">
            <v>7.5893550000000003E-11</v>
          </cell>
          <cell r="G301">
            <v>4.2736700000000001E-11</v>
          </cell>
          <cell r="H301">
            <v>-3540.6</v>
          </cell>
          <cell r="J301">
            <v>-2.5293371143918464E-9</v>
          </cell>
          <cell r="K301">
            <v>12642.742367434386</v>
          </cell>
          <cell r="L301">
            <v>118563.71023188665</v>
          </cell>
          <cell r="M301">
            <v>1498970442.5888872</v>
          </cell>
          <cell r="Q301" t="str">
            <v/>
          </cell>
          <cell r="R301" t="str">
            <v/>
          </cell>
          <cell r="S301">
            <v>118563.71023188665</v>
          </cell>
          <cell r="T301" t="str">
            <v/>
          </cell>
        </row>
        <row r="302">
          <cell r="B302" t="str">
            <v>Thuringite-Chamosite</v>
          </cell>
          <cell r="C302" t="str">
            <v>(Fe3Mg2Fe3+0:5Al3+0:5)(Si3Al)O10(OH)2</v>
          </cell>
          <cell r="D302">
            <v>562.85500000000002</v>
          </cell>
          <cell r="E302">
            <v>1.1400000000000001E-6</v>
          </cell>
          <cell r="F302">
            <v>6.416547000000001E-4</v>
          </cell>
          <cell r="G302">
            <v>1.7977800000000001E-4</v>
          </cell>
          <cell r="H302">
            <v>-6981.9</v>
          </cell>
          <cell r="J302">
            <v>-3.8430801332450366E-3</v>
          </cell>
          <cell r="K302">
            <v>12404.438087962264</v>
          </cell>
          <cell r="L302">
            <v>118563.71023188665</v>
          </cell>
          <cell r="M302">
            <v>1470716203.0505359</v>
          </cell>
          <cell r="Q302" t="str">
            <v/>
          </cell>
          <cell r="R302" t="str">
            <v/>
          </cell>
          <cell r="S302">
            <v>118563.71023188665</v>
          </cell>
          <cell r="T302" t="str">
            <v/>
          </cell>
        </row>
        <row r="303">
          <cell r="B303" t="str">
            <v>Tin</v>
          </cell>
          <cell r="C303" t="str">
            <v>Sn</v>
          </cell>
          <cell r="D303">
            <v>118.71</v>
          </cell>
          <cell r="E303">
            <v>3.8700000000000001E-10</v>
          </cell>
          <cell r="F303">
            <v>4.594077E-8</v>
          </cell>
          <cell r="G303">
            <v>6.1029899999999992E-8</v>
          </cell>
          <cell r="H303">
            <v>-1.3558965546289279</v>
          </cell>
          <cell r="J303">
            <v>-2.5130831063179199E-6</v>
          </cell>
          <cell r="K303">
            <v>11.421923634309897</v>
          </cell>
          <cell r="L303">
            <v>118563.71023188665</v>
          </cell>
          <cell r="M303">
            <v>1354225.6440690563</v>
          </cell>
          <cell r="Q303" t="str">
            <v/>
          </cell>
          <cell r="R303" t="str">
            <v/>
          </cell>
          <cell r="S303">
            <v>118563.71023188665</v>
          </cell>
          <cell r="T303" t="str">
            <v/>
          </cell>
        </row>
        <row r="304">
          <cell r="B304" t="str">
            <v>Titanite</v>
          </cell>
          <cell r="C304" t="str">
            <v>CaTiSiO5</v>
          </cell>
          <cell r="D304">
            <v>197.76</v>
          </cell>
          <cell r="E304">
            <v>2.2799999999999999E-5</v>
          </cell>
          <cell r="F304">
            <v>4.5089279999999997E-3</v>
          </cell>
          <cell r="G304">
            <v>3.5955599999999994E-3</v>
          </cell>
          <cell r="H304">
            <v>-2455.1</v>
          </cell>
          <cell r="J304">
            <v>-5.0161411403480391E-2</v>
          </cell>
          <cell r="K304">
            <v>12414.542880258899</v>
          </cell>
          <cell r="L304">
            <v>118563.71023188665</v>
          </cell>
          <cell r="M304">
            <v>1471914264.7163477</v>
          </cell>
          <cell r="Q304" t="str">
            <v/>
          </cell>
          <cell r="R304" t="str">
            <v/>
          </cell>
          <cell r="S304">
            <v>118563.71023188665</v>
          </cell>
          <cell r="T304" t="str">
            <v/>
          </cell>
        </row>
        <row r="305">
          <cell r="B305" t="str">
            <v>Todorokite</v>
          </cell>
          <cell r="C305" t="str">
            <v>Na2Mn4+4Mn3+2O12 3H2O</v>
          </cell>
          <cell r="D305">
            <v>567.6</v>
          </cell>
          <cell r="E305">
            <v>1.3399999999999999E-8</v>
          </cell>
          <cell r="F305">
            <v>7.6058399999999995E-6</v>
          </cell>
          <cell r="G305">
            <v>2.1131799999999998E-6</v>
          </cell>
          <cell r="H305">
            <v>-3576.5</v>
          </cell>
          <cell r="J305">
            <v>-6.8449099687894395E-5</v>
          </cell>
          <cell r="K305">
            <v>6301.092318534179</v>
          </cell>
          <cell r="L305">
            <v>118563.71023188665</v>
          </cell>
          <cell r="M305">
            <v>747080883.79905319</v>
          </cell>
          <cell r="Q305" t="str">
            <v/>
          </cell>
          <cell r="R305" t="str">
            <v/>
          </cell>
          <cell r="S305">
            <v>118563.71023188665</v>
          </cell>
          <cell r="T305" t="str">
            <v/>
          </cell>
        </row>
        <row r="306">
          <cell r="B306" t="str">
            <v>Topaz</v>
          </cell>
          <cell r="C306" t="str">
            <v>Al2(SiO4)F1:1(OH)0:9</v>
          </cell>
          <cell r="D306">
            <v>182.25</v>
          </cell>
          <cell r="E306">
            <v>1.29E-8</v>
          </cell>
          <cell r="F306">
            <v>2.3510250000000001E-6</v>
          </cell>
          <cell r="G306">
            <v>2.0343299999999997E-6</v>
          </cell>
          <cell r="H306">
            <v>-2875.2</v>
          </cell>
          <cell r="J306">
            <v>-6.6086790923012187E-5</v>
          </cell>
          <cell r="K306">
            <v>15776.131687242798</v>
          </cell>
          <cell r="L306">
            <v>118563.71023188665</v>
          </cell>
          <cell r="M306">
            <v>1870476705.9463401</v>
          </cell>
          <cell r="Q306" t="str">
            <v/>
          </cell>
          <cell r="R306" t="str">
            <v/>
          </cell>
          <cell r="S306">
            <v>118563.71023188665</v>
          </cell>
          <cell r="T306" t="str">
            <v/>
          </cell>
        </row>
        <row r="307">
          <cell r="B307" t="str">
            <v>Tortbernite</v>
          </cell>
          <cell r="C307" t="str">
            <v>Cu(UO2)2(PO4)28(H2O)</v>
          </cell>
          <cell r="D307">
            <v>937.67</v>
          </cell>
          <cell r="E307">
            <v>1.81E-12</v>
          </cell>
          <cell r="F307">
            <v>1.6971827E-9</v>
          </cell>
          <cell r="G307">
            <v>2.8543699999999997E-10</v>
          </cell>
          <cell r="H307">
            <v>-4129.8</v>
          </cell>
          <cell r="J307">
            <v>-1.5549753392008086E-8</v>
          </cell>
          <cell r="K307">
            <v>4404.3213497285824</v>
          </cell>
          <cell r="L307">
            <v>118563.71023188665</v>
          </cell>
          <cell r="M307">
            <v>522192680.27733153</v>
          </cell>
          <cell r="Q307" t="str">
            <v/>
          </cell>
          <cell r="R307" t="str">
            <v/>
          </cell>
          <cell r="S307">
            <v>118563.71023188665</v>
          </cell>
          <cell r="T307" t="str">
            <v/>
          </cell>
        </row>
        <row r="308">
          <cell r="B308" t="str">
            <v>Tourmaline-Schorl</v>
          </cell>
          <cell r="C308" t="str">
            <v>NaFe2+3Al6(BO3)3Si6O18(OH)4</v>
          </cell>
          <cell r="D308">
            <v>1053.3800000000001</v>
          </cell>
          <cell r="E308">
            <v>4.0900000000000002E-8</v>
          </cell>
          <cell r="F308">
            <v>4.3083242000000009E-5</v>
          </cell>
          <cell r="G308">
            <v>6.4499300000000003E-6</v>
          </cell>
          <cell r="H308">
            <v>-13453.5</v>
          </cell>
          <cell r="J308">
            <v>-1.9108214913377653E-4</v>
          </cell>
          <cell r="K308">
            <v>12771.744289809943</v>
          </cell>
          <cell r="L308">
            <v>118563.71023188665</v>
          </cell>
          <cell r="M308">
            <v>1514265389.1327791</v>
          </cell>
          <cell r="Q308" t="str">
            <v/>
          </cell>
          <cell r="R308" t="str">
            <v/>
          </cell>
          <cell r="S308">
            <v>118563.71023188665</v>
          </cell>
          <cell r="T308" t="str">
            <v/>
          </cell>
        </row>
        <row r="309">
          <cell r="B309" t="str">
            <v>Tremolite</v>
          </cell>
          <cell r="C309" t="str">
            <v>Ca2Mg5Si8O22(OH)2</v>
          </cell>
          <cell r="D309">
            <v>812.37</v>
          </cell>
          <cell r="E309">
            <v>4.2800000000000002E-7</v>
          </cell>
          <cell r="F309">
            <v>3.4769436000000003E-4</v>
          </cell>
          <cell r="G309">
            <v>6.7495600000000005E-5</v>
          </cell>
          <cell r="H309">
            <v>-11639.3</v>
          </cell>
          <cell r="J309">
            <v>-1.6067469788925602E-3</v>
          </cell>
          <cell r="K309">
            <v>14327.584721247707</v>
          </cell>
          <cell r="L309">
            <v>118563.71023188665</v>
          </cell>
          <cell r="M309">
            <v>1698731603.2128196</v>
          </cell>
          <cell r="Q309" t="str">
            <v/>
          </cell>
          <cell r="R309" t="str">
            <v/>
          </cell>
          <cell r="S309">
            <v>118563.71023188665</v>
          </cell>
          <cell r="T309" t="str">
            <v/>
          </cell>
        </row>
        <row r="310">
          <cell r="B310" t="str">
            <v>Tridymite</v>
          </cell>
          <cell r="C310" t="str">
            <v>SiO2</v>
          </cell>
          <cell r="D310">
            <v>60.08</v>
          </cell>
          <cell r="E310">
            <v>1.05E-8</v>
          </cell>
          <cell r="F310">
            <v>6.3084E-7</v>
          </cell>
          <cell r="G310">
            <v>1.6558499999999998E-6</v>
          </cell>
          <cell r="H310">
            <v>-855.9</v>
          </cell>
          <cell r="J310">
            <v>-5.4636504592788333E-5</v>
          </cell>
          <cell r="K310">
            <v>14246.005326231692</v>
          </cell>
          <cell r="L310">
            <v>118563.71023188665</v>
          </cell>
          <cell r="M310">
            <v>1689059247.4612482</v>
          </cell>
          <cell r="Q310" t="str">
            <v/>
          </cell>
          <cell r="R310" t="str">
            <v/>
          </cell>
          <cell r="S310">
            <v>118563.71023188665</v>
          </cell>
          <cell r="T310" t="str">
            <v/>
          </cell>
        </row>
        <row r="311">
          <cell r="B311" t="str">
            <v>Troilite</v>
          </cell>
          <cell r="C311" t="str">
            <v>FeS</v>
          </cell>
          <cell r="D311">
            <v>87.910700000000006</v>
          </cell>
          <cell r="E311">
            <v>1.1900000000000001E-11</v>
          </cell>
          <cell r="F311">
            <v>1.0461373300000002E-9</v>
          </cell>
          <cell r="G311">
            <v>1.87663E-9</v>
          </cell>
          <cell r="H311">
            <v>-99.9</v>
          </cell>
          <cell r="J311">
            <v>-9.3472812268495295E-8</v>
          </cell>
          <cell r="K311">
            <v>1136.3804406062061</v>
          </cell>
          <cell r="L311">
            <v>118563.71023188665</v>
          </cell>
          <cell r="M311">
            <v>134733481.27321789</v>
          </cell>
          <cell r="Q311" t="str">
            <v/>
          </cell>
          <cell r="R311" t="str">
            <v/>
          </cell>
          <cell r="S311">
            <v>118563.71023188665</v>
          </cell>
          <cell r="T311" t="str">
            <v/>
          </cell>
        </row>
        <row r="312">
          <cell r="B312" t="str">
            <v>Ulexite</v>
          </cell>
          <cell r="C312" t="str">
            <v>NaCa(B5O6(OH)6)5H2O</v>
          </cell>
          <cell r="D312">
            <v>405.23</v>
          </cell>
          <cell r="E312">
            <v>7.1900000000000002E-8</v>
          </cell>
          <cell r="F312">
            <v>2.9136037000000001E-5</v>
          </cell>
          <cell r="G312">
            <v>1.1338629999999999E-5</v>
          </cell>
          <cell r="H312">
            <v>-6151.5</v>
          </cell>
          <cell r="I312">
            <v>-17.88</v>
          </cell>
          <cell r="J312">
            <v>-5.2279071840200127E-4</v>
          </cell>
          <cell r="K312">
            <v>15180.267995952914</v>
          </cell>
          <cell r="L312">
            <v>118563.71023188665</v>
          </cell>
          <cell r="M312">
            <v>1799828895.9145441</v>
          </cell>
          <cell r="N312" t="str">
            <v>B2O3</v>
          </cell>
          <cell r="O312">
            <v>0.37028699750758826</v>
          </cell>
          <cell r="P312">
            <v>0.32</v>
          </cell>
          <cell r="Q312">
            <v>0.12453174740270956</v>
          </cell>
          <cell r="R312">
            <v>56.913806931410029</v>
          </cell>
          <cell r="S312">
            <v>118563.71023188665</v>
          </cell>
          <cell r="T312">
            <v>6747912.1132092411</v>
          </cell>
        </row>
        <row r="313">
          <cell r="B313" t="str">
            <v>Ulvöspinel</v>
          </cell>
          <cell r="C313" t="str">
            <v>TiFe2+2O4</v>
          </cell>
          <cell r="D313">
            <v>223.57</v>
          </cell>
          <cell r="E313">
            <v>5.2100000000000001E-6</v>
          </cell>
          <cell r="F313">
            <v>1.1647997E-3</v>
          </cell>
          <cell r="G313">
            <v>8.2161699999999996E-4</v>
          </cell>
          <cell r="H313">
            <v>-1392.9</v>
          </cell>
          <cell r="J313">
            <v>-1.4468771009400196E-2</v>
          </cell>
          <cell r="K313">
            <v>6230.2634521626342</v>
          </cell>
          <cell r="L313">
            <v>118563.71023188665</v>
          </cell>
          <cell r="M313">
            <v>738683150.61052442</v>
          </cell>
          <cell r="Q313" t="str">
            <v/>
          </cell>
          <cell r="R313" t="str">
            <v/>
          </cell>
          <cell r="S313">
            <v>118563.71023188665</v>
          </cell>
          <cell r="T313" t="str">
            <v/>
          </cell>
        </row>
        <row r="314">
          <cell r="B314" t="str">
            <v>Uraninite</v>
          </cell>
          <cell r="C314" t="str">
            <v>UO2</v>
          </cell>
          <cell r="D314">
            <v>270.02999999999997</v>
          </cell>
          <cell r="E314">
            <v>5.5999999999999997E-9</v>
          </cell>
          <cell r="F314">
            <v>1.5121679999999999E-6</v>
          </cell>
          <cell r="G314">
            <v>8.8311999999999988E-7</v>
          </cell>
          <cell r="H314">
            <v>-1032.5</v>
          </cell>
          <cell r="I314">
            <v>167.73</v>
          </cell>
          <cell r="J314">
            <v>1.1761016458430043E-4</v>
          </cell>
          <cell r="K314">
            <v>3823.6492241602787</v>
          </cell>
          <cell r="L314">
            <v>118563.71023188665</v>
          </cell>
          <cell r="M314">
            <v>453346038.64171749</v>
          </cell>
          <cell r="N314" t="str">
            <v>U</v>
          </cell>
          <cell r="O314">
            <v>0.88149057512128293</v>
          </cell>
          <cell r="P314">
            <v>0.1</v>
          </cell>
          <cell r="Q314">
            <v>5.8400918416472249E-2</v>
          </cell>
          <cell r="R314">
            <v>101.89000416590694</v>
          </cell>
          <cell r="S314">
            <v>118563.71023188665</v>
          </cell>
          <cell r="T314">
            <v>12080456.929452315</v>
          </cell>
        </row>
        <row r="315">
          <cell r="B315" t="str">
            <v>Uranium-Thorite</v>
          </cell>
          <cell r="C315" t="str">
            <v>ThSiO4</v>
          </cell>
          <cell r="D315">
            <v>324.12</v>
          </cell>
          <cell r="E315">
            <v>3.1800000000000003E-11</v>
          </cell>
          <cell r="F315">
            <v>1.0307016000000001E-8</v>
          </cell>
          <cell r="G315">
            <v>5.0148599999999998E-9</v>
          </cell>
          <cell r="H315">
            <v>-2048.8000000000002</v>
          </cell>
          <cell r="J315">
            <v>-2.3756578139706625E-7</v>
          </cell>
          <cell r="K315">
            <v>6321.1156361841304</v>
          </cell>
          <cell r="L315">
            <v>118563.71023188665</v>
          </cell>
          <cell r="M315">
            <v>749454922.63078308</v>
          </cell>
          <cell r="Q315" t="str">
            <v/>
          </cell>
          <cell r="R315" t="str">
            <v/>
          </cell>
          <cell r="S315">
            <v>118563.71023188665</v>
          </cell>
          <cell r="T315" t="str">
            <v/>
          </cell>
        </row>
        <row r="316">
          <cell r="B316" t="str">
            <v>Vaesite</v>
          </cell>
          <cell r="C316" t="str">
            <v>NiS2</v>
          </cell>
          <cell r="D316">
            <v>122.82</v>
          </cell>
          <cell r="E316">
            <v>4.2300000000000002E-8</v>
          </cell>
          <cell r="F316">
            <v>5.1952860000000001E-6</v>
          </cell>
          <cell r="G316">
            <v>6.6707099999999994E-6</v>
          </cell>
          <cell r="H316">
            <v>-126.4</v>
          </cell>
          <cell r="J316">
            <v>-1.9706632325130666E-4</v>
          </cell>
          <cell r="K316">
            <v>1029.1483471747274</v>
          </cell>
          <cell r="L316">
            <v>118563.71023188665</v>
          </cell>
          <cell r="M316">
            <v>122019646.42004946</v>
          </cell>
          <cell r="Q316" t="str">
            <v/>
          </cell>
          <cell r="R316" t="str">
            <v/>
          </cell>
          <cell r="S316">
            <v>118563.71023188665</v>
          </cell>
          <cell r="T316" t="str">
            <v/>
          </cell>
        </row>
        <row r="317">
          <cell r="B317" t="str">
            <v>Vermiculite</v>
          </cell>
          <cell r="C317" t="str">
            <v>Mg3Si4O10(OH)22(H2O)</v>
          </cell>
          <cell r="D317">
            <v>737.43</v>
          </cell>
          <cell r="E317">
            <v>6.7800000000000001E-7</v>
          </cell>
          <cell r="F317">
            <v>4.9997753999999998E-4</v>
          </cell>
          <cell r="G317">
            <v>1.0692059999999999E-4</v>
          </cell>
          <cell r="H317">
            <v>-5957.2</v>
          </cell>
          <cell r="I317">
            <v>79.25</v>
          </cell>
          <cell r="J317">
            <v>6.0501134645867503E-3</v>
          </cell>
          <cell r="K317">
            <v>8078.3260784074428</v>
          </cell>
          <cell r="L317">
            <v>118563.71023188665</v>
          </cell>
          <cell r="M317">
            <v>957796312.31899333</v>
          </cell>
          <cell r="P317">
            <v>0.21</v>
          </cell>
          <cell r="Q317">
            <v>4.490866929742484E-2</v>
          </cell>
          <cell r="R317">
            <v>20.304042550797192</v>
          </cell>
          <cell r="S317">
            <v>118563.71023188665</v>
          </cell>
          <cell r="T317">
            <v>2407322.6175286151</v>
          </cell>
        </row>
        <row r="318">
          <cell r="B318" t="str">
            <v>Vernadite</v>
          </cell>
          <cell r="C318" t="str">
            <v>Mn4+0:6Fe3+0:2Ca0:2Na0:1O1:5(OH)0:51:4(H2O)</v>
          </cell>
          <cell r="D318">
            <v>108.16</v>
          </cell>
          <cell r="E318">
            <v>2.18E-8</v>
          </cell>
          <cell r="F318">
            <v>2.357888E-6</v>
          </cell>
          <cell r="G318">
            <v>3.4378599999999999E-6</v>
          </cell>
          <cell r="H318">
            <v>-571.4</v>
          </cell>
          <cell r="J318">
            <v>-1.0721029564339655E-4</v>
          </cell>
          <cell r="K318">
            <v>5282.9142011834319</v>
          </cell>
          <cell r="L318">
            <v>118563.71023188665</v>
          </cell>
          <cell r="M318">
            <v>626361908.5290314</v>
          </cell>
          <cell r="Q318" t="str">
            <v/>
          </cell>
          <cell r="R318" t="str">
            <v/>
          </cell>
          <cell r="S318">
            <v>118563.71023188665</v>
          </cell>
          <cell r="T318" t="str">
            <v/>
          </cell>
        </row>
        <row r="319">
          <cell r="B319" t="str">
            <v>Vesuvianite</v>
          </cell>
          <cell r="C319" t="str">
            <v>Ca10Mg2Al4(SiO4)5(Si2O7)2(OH)4</v>
          </cell>
          <cell r="D319">
            <v>1422.09</v>
          </cell>
          <cell r="E319">
            <v>1.1999999999999999E-7</v>
          </cell>
          <cell r="F319">
            <v>1.7065079999999998E-4</v>
          </cell>
          <cell r="G319">
            <v>1.8923999999999997E-5</v>
          </cell>
          <cell r="H319">
            <v>-19948.7</v>
          </cell>
          <cell r="J319">
            <v>-5.1014098653065748E-4</v>
          </cell>
          <cell r="K319">
            <v>14027.733828379358</v>
          </cell>
          <cell r="L319">
            <v>118563.71023188665</v>
          </cell>
          <cell r="M319">
            <v>1663180168.8380041</v>
          </cell>
          <cell r="Q319" t="str">
            <v/>
          </cell>
          <cell r="R319" t="str">
            <v/>
          </cell>
          <cell r="S319">
            <v>118563.71023188665</v>
          </cell>
          <cell r="T319" t="str">
            <v/>
          </cell>
        </row>
        <row r="320">
          <cell r="B320" t="str">
            <v>Violarite</v>
          </cell>
          <cell r="C320" t="str">
            <v>Fe2+Ni2S4</v>
          </cell>
          <cell r="D320">
            <v>301.49</v>
          </cell>
          <cell r="E320">
            <v>1.7199999999999999E-8</v>
          </cell>
          <cell r="F320">
            <v>5.1856279999999999E-6</v>
          </cell>
          <cell r="G320">
            <v>2.7124399999999995E-6</v>
          </cell>
          <cell r="H320">
            <v>-368.9</v>
          </cell>
          <cell r="J320">
            <v>-8.6181448216705986E-5</v>
          </cell>
          <cell r="K320">
            <v>1223.5895054562341</v>
          </cell>
          <cell r="L320">
            <v>118563.71023188665</v>
          </cell>
          <cell r="M320">
            <v>145073311.56769043</v>
          </cell>
          <cell r="Q320" t="str">
            <v/>
          </cell>
          <cell r="R320" t="str">
            <v/>
          </cell>
          <cell r="S320">
            <v>118563.71023188665</v>
          </cell>
          <cell r="T320" t="str">
            <v/>
          </cell>
        </row>
        <row r="321">
          <cell r="B321" t="str">
            <v>Vivianite</v>
          </cell>
          <cell r="C321" t="str">
            <v>Fe3(PO4)2(H2O)8</v>
          </cell>
          <cell r="D321">
            <v>501.61</v>
          </cell>
          <cell r="E321">
            <v>2.5900000000000001E-12</v>
          </cell>
          <cell r="F321">
            <v>1.2991699000000001E-9</v>
          </cell>
          <cell r="G321">
            <v>4.0844299999999996E-10</v>
          </cell>
          <cell r="H321">
            <v>-4428.2</v>
          </cell>
          <cell r="J321">
            <v>-2.1887957578616442E-8</v>
          </cell>
          <cell r="K321">
            <v>8827.9739239648334</v>
          </cell>
          <cell r="L321">
            <v>118563.71023188665</v>
          </cell>
          <cell r="M321">
            <v>1046677342.2556179</v>
          </cell>
          <cell r="Q321" t="str">
            <v/>
          </cell>
          <cell r="R321" t="str">
            <v/>
          </cell>
          <cell r="S321">
            <v>118563.71023188665</v>
          </cell>
          <cell r="T321" t="str">
            <v/>
          </cell>
        </row>
        <row r="322">
          <cell r="B322" t="str">
            <v>Weinschenkite</v>
          </cell>
          <cell r="C322" t="str">
            <v>YPO4</v>
          </cell>
          <cell r="D322">
            <v>183.87729999999999</v>
          </cell>
          <cell r="E322">
            <v>1.6799999999999999E-12</v>
          </cell>
          <cell r="F322">
            <v>3.0891386399999998E-10</v>
          </cell>
          <cell r="G322">
            <v>2.6493599999999998E-10</v>
          </cell>
          <cell r="H322">
            <v>-1871.1</v>
          </cell>
          <cell r="J322">
            <v>-1.4481868248624685E-8</v>
          </cell>
          <cell r="K322">
            <v>10175.807454209955</v>
          </cell>
          <cell r="L322">
            <v>118563.71023188665</v>
          </cell>
          <cell r="M322">
            <v>1206481486.3764212</v>
          </cell>
          <cell r="Q322" t="str">
            <v/>
          </cell>
          <cell r="R322" t="str">
            <v/>
          </cell>
          <cell r="S322">
            <v>118563.71023188665</v>
          </cell>
          <cell r="T322" t="str">
            <v/>
          </cell>
        </row>
        <row r="323">
          <cell r="B323" t="str">
            <v>Witherite</v>
          </cell>
          <cell r="C323" t="str">
            <v>BaCO3</v>
          </cell>
          <cell r="D323">
            <v>197.34</v>
          </cell>
          <cell r="E323">
            <v>3.0400000000000002E-7</v>
          </cell>
          <cell r="F323">
            <v>5.9991360000000007E-5</v>
          </cell>
          <cell r="G323">
            <v>4.79408E-5</v>
          </cell>
          <cell r="H323">
            <v>-1137.5999999999999</v>
          </cell>
          <cell r="J323">
            <v>-1.1818943002038056E-3</v>
          </cell>
          <cell r="K323">
            <v>5764.6701124961992</v>
          </cell>
          <cell r="L323">
            <v>118563.71023188665</v>
          </cell>
          <cell r="M323">
            <v>683480676.80041683</v>
          </cell>
          <cell r="Q323" t="str">
            <v/>
          </cell>
          <cell r="R323" t="str">
            <v/>
          </cell>
          <cell r="S323">
            <v>118563.71023188665</v>
          </cell>
          <cell r="T323" t="str">
            <v/>
          </cell>
        </row>
        <row r="324">
          <cell r="B324" t="str">
            <v>Wohlerite</v>
          </cell>
          <cell r="C324" t="str">
            <v>NaCa2Zr0:6Nb0:4Si2O8:4(OH)0:3F0:3</v>
          </cell>
          <cell r="D324">
            <v>395.27</v>
          </cell>
          <cell r="E324">
            <v>1.2699999999999999E-15</v>
          </cell>
          <cell r="F324">
            <v>5.0199289999999992E-13</v>
          </cell>
          <cell r="G324">
            <v>2.0027899999999998E-13</v>
          </cell>
          <cell r="H324">
            <v>-4170</v>
          </cell>
          <cell r="J324">
            <v>-1.4515892018290116E-11</v>
          </cell>
          <cell r="K324">
            <v>10549.750803248413</v>
          </cell>
          <cell r="L324">
            <v>118563.71023188665</v>
          </cell>
          <cell r="M324">
            <v>1250817597.2549584</v>
          </cell>
          <cell r="Q324" t="str">
            <v/>
          </cell>
          <cell r="R324" t="str">
            <v/>
          </cell>
          <cell r="S324">
            <v>118563.71023188665</v>
          </cell>
          <cell r="T324" t="str">
            <v/>
          </cell>
        </row>
        <row r="325">
          <cell r="B325" t="str">
            <v>Wolframite</v>
          </cell>
          <cell r="C325" t="str">
            <v>Fe2+0:5Mn0:5WO4</v>
          </cell>
          <cell r="D325">
            <v>303.24</v>
          </cell>
          <cell r="E325">
            <v>1.0600000000000001E-9</v>
          </cell>
          <cell r="F325">
            <v>3.2143440000000001E-7</v>
          </cell>
          <cell r="G325">
            <v>1.67162E-7</v>
          </cell>
          <cell r="H325">
            <v>-1146.4000000000001</v>
          </cell>
          <cell r="J325">
            <v>-6.4658667666070992E-6</v>
          </cell>
          <cell r="K325">
            <v>3780.5038913072153</v>
          </cell>
          <cell r="L325">
            <v>118563.71023188665</v>
          </cell>
          <cell r="M325">
            <v>448230567.8994686</v>
          </cell>
          <cell r="P325">
            <v>1E-4</v>
          </cell>
          <cell r="Q325">
            <v>5.2005012531328318E-5</v>
          </cell>
          <cell r="R325">
            <v>46.922400747165099</v>
          </cell>
          <cell r="S325">
            <v>118563.71023188665</v>
          </cell>
          <cell r="T325">
            <v>5563293.9255713448</v>
          </cell>
        </row>
        <row r="326">
          <cell r="B326" t="str">
            <v>Wollastonite</v>
          </cell>
          <cell r="C326" t="str">
            <v>CaSiO3</v>
          </cell>
          <cell r="D326">
            <v>116.16</v>
          </cell>
          <cell r="E326">
            <v>4.0800000000000001E-8</v>
          </cell>
          <cell r="F326">
            <v>4.7393280000000004E-6</v>
          </cell>
          <cell r="G326">
            <v>6.4341599999999999E-6</v>
          </cell>
          <cell r="H326">
            <v>-1550.9</v>
          </cell>
          <cell r="I326">
            <v>91.74</v>
          </cell>
          <cell r="J326">
            <v>3.9961583963515673E-4</v>
          </cell>
          <cell r="K326">
            <v>13351.411845730028</v>
          </cell>
          <cell r="L326">
            <v>118563.71023188665</v>
          </cell>
          <cell r="M326">
            <v>1582992925.2637141</v>
          </cell>
          <cell r="Q326" t="str">
            <v/>
          </cell>
          <cell r="R326" t="str">
            <v/>
          </cell>
          <cell r="S326">
            <v>118563.71023188665</v>
          </cell>
          <cell r="T326" t="str">
            <v/>
          </cell>
        </row>
        <row r="327">
          <cell r="B327" t="str">
            <v>Wulfenite</v>
          </cell>
          <cell r="C327" t="str">
            <v>PbMoO4</v>
          </cell>
          <cell r="D327">
            <v>367.14</v>
          </cell>
          <cell r="E327">
            <v>1.66E-12</v>
          </cell>
          <cell r="F327">
            <v>6.0945239999999994E-10</v>
          </cell>
          <cell r="G327">
            <v>2.6178199999999997E-10</v>
          </cell>
          <cell r="H327">
            <v>-952.8</v>
          </cell>
          <cell r="J327">
            <v>-1.431723652797516E-8</v>
          </cell>
          <cell r="K327">
            <v>2595.1952933485863</v>
          </cell>
          <cell r="L327">
            <v>118563.71023188665</v>
          </cell>
          <cell r="M327">
            <v>307695982.75573784</v>
          </cell>
          <cell r="Q327" t="str">
            <v/>
          </cell>
          <cell r="R327" t="str">
            <v/>
          </cell>
          <cell r="S327">
            <v>118563.71023188665</v>
          </cell>
          <cell r="T327" t="str">
            <v/>
          </cell>
        </row>
        <row r="328">
          <cell r="B328" t="str">
            <v>Xenotime</v>
          </cell>
          <cell r="C328" t="str">
            <v>YbPO4</v>
          </cell>
          <cell r="D328">
            <v>183.88</v>
          </cell>
          <cell r="E328">
            <v>1.38E-9</v>
          </cell>
          <cell r="F328">
            <v>2.5375439999999998E-7</v>
          </cell>
          <cell r="G328">
            <v>2.1762599999999999E-7</v>
          </cell>
          <cell r="H328">
            <v>-1790.3</v>
          </cell>
          <cell r="J328">
            <v>-8.2755103169226793E-6</v>
          </cell>
          <cell r="K328">
            <v>9736.241026756581</v>
          </cell>
          <cell r="L328">
            <v>118563.71023188665</v>
          </cell>
          <cell r="M328">
            <v>1154364859.8441739</v>
          </cell>
          <cell r="Q328" t="str">
            <v/>
          </cell>
          <cell r="R328" t="str">
            <v/>
          </cell>
          <cell r="S328">
            <v>118563.71023188665</v>
          </cell>
          <cell r="T328" t="str">
            <v/>
          </cell>
        </row>
        <row r="329">
          <cell r="B329" t="str">
            <v>Yttrialite</v>
          </cell>
          <cell r="C329" t="str">
            <v>Y1:5Th0:5Si2O7</v>
          </cell>
          <cell r="D329">
            <v>417.54</v>
          </cell>
          <cell r="E329">
            <v>4.6399999999999997E-9</v>
          </cell>
          <cell r="F329">
            <v>1.9373856000000001E-6</v>
          </cell>
          <cell r="G329">
            <v>7.3172799999999995E-7</v>
          </cell>
          <cell r="H329" t="str">
            <v>N.A.</v>
          </cell>
          <cell r="J329">
            <v>-2.5625408506852209E-5</v>
          </cell>
          <cell r="K329" t="e">
            <v>#VALUE!</v>
          </cell>
          <cell r="L329">
            <v>118563.71023188665</v>
          </cell>
          <cell r="M329" t="e">
            <v>#VALUE!</v>
          </cell>
          <cell r="Q329" t="str">
            <v/>
          </cell>
          <cell r="R329" t="str">
            <v/>
          </cell>
          <cell r="S329">
            <v>118563.71023188665</v>
          </cell>
          <cell r="T329" t="str">
            <v/>
          </cell>
        </row>
        <row r="330">
          <cell r="B330" t="str">
            <v>Zinc</v>
          </cell>
          <cell r="C330" t="str">
            <v>Zn</v>
          </cell>
          <cell r="D330">
            <v>65.409000000000006</v>
          </cell>
          <cell r="E330">
            <v>1.55E-9</v>
          </cell>
          <cell r="F330">
            <v>1.0138395000000001E-7</v>
          </cell>
          <cell r="G330">
            <v>2.44435E-7</v>
          </cell>
          <cell r="H330">
            <v>-2.4608001956917245</v>
          </cell>
          <cell r="J330">
            <v>-9.2245677907595759E-6</v>
          </cell>
          <cell r="K330">
            <v>37.621737003955488</v>
          </cell>
          <cell r="L330">
            <v>118563.71023188665</v>
          </cell>
          <cell r="M330">
            <v>4460572.7245572256</v>
          </cell>
          <cell r="P330">
            <v>5.2999999999999999E-2</v>
          </cell>
          <cell r="Q330">
            <v>0.12778210949563512</v>
          </cell>
          <cell r="R330">
            <v>498.98840619917985</v>
          </cell>
          <cell r="S330">
            <v>118563.71023188665</v>
          </cell>
          <cell r="T330">
            <v>59161916.801670514</v>
          </cell>
        </row>
        <row r="331">
          <cell r="B331" t="str">
            <v>Zircon</v>
          </cell>
          <cell r="C331" t="str">
            <v>ZrSiO4</v>
          </cell>
          <cell r="D331">
            <v>190.31</v>
          </cell>
          <cell r="E331">
            <v>2.1100000000000001E-6</v>
          </cell>
          <cell r="F331">
            <v>4.0155410000000002E-4</v>
          </cell>
          <cell r="G331">
            <v>3.3274699999999999E-4</v>
          </cell>
          <cell r="H331">
            <v>-1919.5</v>
          </cell>
          <cell r="I331">
            <v>26.619999999999997</v>
          </cell>
          <cell r="J331">
            <v>2.2524639574971052E-3</v>
          </cell>
          <cell r="K331">
            <v>10086.175187851401</v>
          </cell>
          <cell r="L331">
            <v>118563.71023188665</v>
          </cell>
          <cell r="M331">
            <v>1195854352.3204584</v>
          </cell>
          <cell r="N331" t="str">
            <v>Zr</v>
          </cell>
          <cell r="O331">
            <v>0.47934422783878938</v>
          </cell>
          <cell r="P331">
            <v>3.8999999999999998E-3</v>
          </cell>
          <cell r="Q331">
            <v>3.2317271819662652E-3</v>
          </cell>
          <cell r="R331">
            <v>29.611273557642711</v>
          </cell>
          <cell r="S331">
            <v>118563.71023188665</v>
          </cell>
          <cell r="T331">
            <v>3510822.457685478</v>
          </cell>
        </row>
        <row r="332">
          <cell r="B332" t="str">
            <v>Zoisite</v>
          </cell>
          <cell r="C332" t="str">
            <v>Ca2Al3Si3O12(OH)</v>
          </cell>
          <cell r="D332">
            <v>454.36</v>
          </cell>
          <cell r="E332">
            <v>5.68E-7</v>
          </cell>
          <cell r="F332">
            <v>2.5807648000000002E-4</v>
          </cell>
          <cell r="G332">
            <v>8.9573599999999992E-5</v>
          </cell>
          <cell r="H332">
            <v>-5416.5</v>
          </cell>
          <cell r="J332">
            <v>-2.069482414713132E-3</v>
          </cell>
          <cell r="K332">
            <v>11921.163834844616</v>
          </cell>
          <cell r="L332">
            <v>118563.71023188665</v>
          </cell>
          <cell r="M332">
            <v>1413417414.5413637</v>
          </cell>
          <cell r="Q332" t="str">
            <v/>
          </cell>
          <cell r="R332" t="str">
            <v/>
          </cell>
          <cell r="S332">
            <v>118563.71023188665</v>
          </cell>
          <cell r="T332" t="str">
            <v/>
          </cell>
        </row>
      </sheetData>
      <sheetData sheetId="5"/>
      <sheetData sheetId="6"/>
      <sheetData sheetId="7"/>
      <sheetData sheetId="8"/>
      <sheetData sheetId="9"/>
      <sheetData sheetId="10"/>
      <sheetData sheetId="11"/>
      <sheetData sheetId="12"/>
      <sheetData sheetId="13"/>
      <sheetData sheetId="14"/>
      <sheetData sheetId="15"/>
      <sheetData sheetId="16"/>
      <sheetData sheetId="17">
        <row r="36">
          <cell r="G36" t="e">
            <v>#REF!</v>
          </cell>
        </row>
      </sheetData>
      <sheetData sheetId="18"/>
      <sheetData sheetId="19">
        <row r="22">
          <cell r="F22" t="e">
            <v>#REF!</v>
          </cell>
        </row>
        <row r="23">
          <cell r="AI23">
            <v>1117664586936.8638</v>
          </cell>
        </row>
      </sheetData>
      <sheetData sheetId="20"/>
      <sheetData sheetId="21"/>
      <sheetData sheetId="22"/>
      <sheetData sheetId="23"/>
      <sheetData sheetId="24"/>
      <sheetData sheetId="25"/>
      <sheetData sheetId="26"/>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nergy"/>
      <sheetName val="Ocean ions"/>
      <sheetName val="Element exergy"/>
      <sheetName val="Sheet1"/>
    </sheetNames>
    <sheetDataSet>
      <sheetData sheetId="0"/>
      <sheetData sheetId="1"/>
      <sheetData sheetId="2">
        <row r="3">
          <cell r="A3" t="str">
            <v>Ag</v>
          </cell>
          <cell r="B3" t="str">
            <v>AgCl-2</v>
          </cell>
          <cell r="C3">
            <v>2.7000000000000002E-9</v>
          </cell>
          <cell r="D3">
            <v>-215.5</v>
          </cell>
          <cell r="E3">
            <v>69.849999999999994</v>
          </cell>
        </row>
        <row r="4">
          <cell r="A4" t="str">
            <v>As</v>
          </cell>
          <cell r="B4" t="str">
            <v>HAsO4-2</v>
          </cell>
          <cell r="C4">
            <v>2.0999999999999999E-8</v>
          </cell>
          <cell r="D4">
            <v>-714.7</v>
          </cell>
          <cell r="E4">
            <v>493.83</v>
          </cell>
        </row>
        <row r="5">
          <cell r="A5" t="str">
            <v>B</v>
          </cell>
          <cell r="B5" t="str">
            <v>B(OH)3</v>
          </cell>
          <cell r="C5">
            <v>3.4000000000000002E-4</v>
          </cell>
          <cell r="D5">
            <v>-968.8</v>
          </cell>
          <cell r="E5">
            <v>628.6</v>
          </cell>
        </row>
        <row r="6">
          <cell r="A6" t="str">
            <v>Bi</v>
          </cell>
          <cell r="B6" t="str">
            <v>BiO+</v>
          </cell>
          <cell r="C6">
            <v>1E-10</v>
          </cell>
          <cell r="D6">
            <v>-146.4</v>
          </cell>
          <cell r="E6">
            <v>274.92</v>
          </cell>
        </row>
        <row r="7">
          <cell r="A7" t="str">
            <v>Br</v>
          </cell>
          <cell r="B7" t="str">
            <v>Br¡</v>
          </cell>
          <cell r="C7">
            <v>8.7000000000000001E-4</v>
          </cell>
          <cell r="D7">
            <v>-104</v>
          </cell>
          <cell r="E7">
            <v>100.89</v>
          </cell>
        </row>
        <row r="8">
          <cell r="A8" t="str">
            <v>Cd</v>
          </cell>
          <cell r="B8" t="str">
            <v>CdCl2</v>
          </cell>
          <cell r="C8">
            <v>6.8999999999999994E-11</v>
          </cell>
          <cell r="D8">
            <v>-359.4</v>
          </cell>
          <cell r="E8">
            <v>293.37</v>
          </cell>
        </row>
        <row r="9">
          <cell r="A9" t="str">
            <v>Cl</v>
          </cell>
          <cell r="B9" t="str">
            <v>Cl¡</v>
          </cell>
          <cell r="C9">
            <v>0.56599999999999995</v>
          </cell>
          <cell r="D9">
            <v>-131.26</v>
          </cell>
          <cell r="E9">
            <v>124.03</v>
          </cell>
        </row>
        <row r="10">
          <cell r="A10" t="str">
            <v>Cs</v>
          </cell>
          <cell r="B10" t="str">
            <v>Cs+</v>
          </cell>
          <cell r="C10">
            <v>2.2999999999999999E-9</v>
          </cell>
          <cell r="D10">
            <v>-282.2</v>
          </cell>
          <cell r="E10">
            <v>404.58</v>
          </cell>
        </row>
        <row r="11">
          <cell r="A11" t="str">
            <v>Cu</v>
          </cell>
          <cell r="B11" t="str">
            <v>Cu+2</v>
          </cell>
          <cell r="C11">
            <v>7.2999999999999996E-10</v>
          </cell>
          <cell r="D11">
            <v>65.5</v>
          </cell>
          <cell r="E11">
            <v>134.25</v>
          </cell>
        </row>
        <row r="12">
          <cell r="A12" t="str">
            <v>Hg</v>
          </cell>
          <cell r="B12" t="str">
            <v>HgCl4-2</v>
          </cell>
          <cell r="C12">
            <v>3.4000000000000001E-10</v>
          </cell>
          <cell r="D12">
            <v>-446.9</v>
          </cell>
          <cell r="E12">
            <v>114.99</v>
          </cell>
        </row>
        <row r="13">
          <cell r="A13" t="str">
            <v>I</v>
          </cell>
          <cell r="B13" t="str">
            <v>IO3¡</v>
          </cell>
          <cell r="C13">
            <v>5.2E-7</v>
          </cell>
          <cell r="D13">
            <v>-128</v>
          </cell>
          <cell r="E13">
            <v>174.74</v>
          </cell>
        </row>
        <row r="14">
          <cell r="A14" t="str">
            <v>K</v>
          </cell>
          <cell r="B14" t="str">
            <v>K+</v>
          </cell>
          <cell r="C14">
            <v>1.06E-2</v>
          </cell>
          <cell r="D14">
            <v>-282.39999999999998</v>
          </cell>
          <cell r="E14">
            <v>366.66</v>
          </cell>
        </row>
        <row r="15">
          <cell r="A15" t="str">
            <v>Li</v>
          </cell>
          <cell r="B15" t="str">
            <v>Li+</v>
          </cell>
          <cell r="C15">
            <v>2.5000000000000001E-5</v>
          </cell>
          <cell r="D15">
            <v>-294</v>
          </cell>
          <cell r="E15">
            <v>393.03</v>
          </cell>
        </row>
        <row r="16">
          <cell r="A16" t="str">
            <v>Mo</v>
          </cell>
          <cell r="B16" t="str">
            <v>MoO4-2</v>
          </cell>
          <cell r="C16">
            <v>1.1000000000000001E-7</v>
          </cell>
          <cell r="D16">
            <v>-836.4</v>
          </cell>
          <cell r="E16">
            <v>730.27</v>
          </cell>
        </row>
        <row r="17">
          <cell r="A17" t="str">
            <v>Na</v>
          </cell>
          <cell r="B17" t="str">
            <v>Na+</v>
          </cell>
          <cell r="C17">
            <v>0.48599999999999999</v>
          </cell>
          <cell r="D17">
            <v>-262.05</v>
          </cell>
          <cell r="E17">
            <v>336.71</v>
          </cell>
        </row>
        <row r="18">
          <cell r="A18" t="str">
            <v>Ni</v>
          </cell>
          <cell r="B18" t="str">
            <v>Ni+2</v>
          </cell>
          <cell r="C18">
            <v>1.1999999999999999E-7</v>
          </cell>
          <cell r="D18">
            <v>-45.6</v>
          </cell>
          <cell r="E18">
            <v>232.7</v>
          </cell>
        </row>
        <row r="19">
          <cell r="A19" t="str">
            <v>P</v>
          </cell>
          <cell r="B19" t="str">
            <v>HPO4-2</v>
          </cell>
          <cell r="C19">
            <v>4.8999999999999997E-7</v>
          </cell>
          <cell r="D19">
            <v>-1089.3</v>
          </cell>
          <cell r="E19">
            <v>861.42</v>
          </cell>
        </row>
        <row r="20">
          <cell r="A20" t="str">
            <v>Pb</v>
          </cell>
          <cell r="B20" t="str">
            <v>PbCl2</v>
          </cell>
          <cell r="C20">
            <v>4.1999999999999997E-11</v>
          </cell>
          <cell r="D20">
            <v>-297.2</v>
          </cell>
          <cell r="E20">
            <v>232.4</v>
          </cell>
        </row>
        <row r="21">
          <cell r="A21" t="str">
            <v>Ru</v>
          </cell>
          <cell r="B21" t="str">
            <v>Rb+</v>
          </cell>
          <cell r="C21">
            <v>1.3999999999999999E-6</v>
          </cell>
          <cell r="D21">
            <v>-282.39999999999998</v>
          </cell>
          <cell r="E21">
            <v>388.89</v>
          </cell>
        </row>
        <row r="22">
          <cell r="A22" t="str">
            <v>Se</v>
          </cell>
          <cell r="B22" t="str">
            <v>SeO4-2</v>
          </cell>
          <cell r="C22">
            <v>1.2E-9</v>
          </cell>
          <cell r="D22">
            <v>-441.4</v>
          </cell>
          <cell r="E22">
            <v>346.47</v>
          </cell>
        </row>
        <row r="23">
          <cell r="A23" t="str">
            <v>S</v>
          </cell>
          <cell r="B23" t="str">
            <v>SO4-2</v>
          </cell>
          <cell r="C23">
            <v>2.93E-2</v>
          </cell>
          <cell r="D23">
            <v>-744.6</v>
          </cell>
          <cell r="E23">
            <v>607.04999999999995</v>
          </cell>
        </row>
        <row r="24">
          <cell r="A24" t="str">
            <v>W</v>
          </cell>
          <cell r="B24" t="str">
            <v>WO4-2</v>
          </cell>
          <cell r="C24">
            <v>5.6000000000000003E-10</v>
          </cell>
          <cell r="D24">
            <v>-920.5</v>
          </cell>
          <cell r="E24">
            <v>827.46</v>
          </cell>
        </row>
        <row r="25">
          <cell r="A25" t="str">
            <v>Zn</v>
          </cell>
          <cell r="B25" t="str">
            <v>Zn+2</v>
          </cell>
          <cell r="C25">
            <v>1.7E-8</v>
          </cell>
          <cell r="D25">
            <v>-147.30000000000001</v>
          </cell>
          <cell r="E25">
            <v>339.25</v>
          </cell>
        </row>
      </sheetData>
      <sheetData sheetId="3"/>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nergy"/>
      <sheetName val="Ocean ions"/>
      <sheetName val="Element exergy"/>
      <sheetName val="Sheet1"/>
    </sheetNames>
    <sheetDataSet>
      <sheetData sheetId="0"/>
      <sheetData sheetId="1"/>
      <sheetData sheetId="2">
        <row r="3">
          <cell r="A3" t="str">
            <v>Ag</v>
          </cell>
          <cell r="B3" t="str">
            <v>AgCl-2</v>
          </cell>
          <cell r="C3">
            <v>2.7000000000000002E-9</v>
          </cell>
          <cell r="D3">
            <v>-215.5</v>
          </cell>
          <cell r="E3">
            <v>69.849999999999994</v>
          </cell>
        </row>
        <row r="4">
          <cell r="A4" t="str">
            <v>As</v>
          </cell>
          <cell r="B4" t="str">
            <v>HAsO4-2</v>
          </cell>
          <cell r="C4">
            <v>2.0999999999999999E-8</v>
          </cell>
          <cell r="D4">
            <v>-714.7</v>
          </cell>
          <cell r="E4">
            <v>493.83</v>
          </cell>
        </row>
        <row r="5">
          <cell r="A5" t="str">
            <v>B</v>
          </cell>
          <cell r="B5" t="str">
            <v>B(OH)3</v>
          </cell>
          <cell r="C5">
            <v>3.4000000000000002E-4</v>
          </cell>
          <cell r="D5">
            <v>-968.8</v>
          </cell>
          <cell r="E5">
            <v>628.6</v>
          </cell>
        </row>
        <row r="6">
          <cell r="A6" t="str">
            <v>Bi</v>
          </cell>
          <cell r="B6" t="str">
            <v>BiO+</v>
          </cell>
          <cell r="C6">
            <v>1E-10</v>
          </cell>
          <cell r="D6">
            <v>-146.4</v>
          </cell>
          <cell r="E6">
            <v>274.92</v>
          </cell>
        </row>
        <row r="7">
          <cell r="A7" t="str">
            <v>Br</v>
          </cell>
          <cell r="B7" t="str">
            <v>Br¡</v>
          </cell>
          <cell r="C7">
            <v>8.7000000000000001E-4</v>
          </cell>
          <cell r="D7">
            <v>-104</v>
          </cell>
          <cell r="E7">
            <v>100.89</v>
          </cell>
        </row>
        <row r="8">
          <cell r="A8" t="str">
            <v>Cd</v>
          </cell>
          <cell r="B8" t="str">
            <v>CdCl2</v>
          </cell>
          <cell r="C8">
            <v>6.8999999999999994E-11</v>
          </cell>
          <cell r="D8">
            <v>-359.4</v>
          </cell>
          <cell r="E8">
            <v>293.37</v>
          </cell>
        </row>
        <row r="9">
          <cell r="A9" t="str">
            <v>Cl</v>
          </cell>
          <cell r="B9" t="str">
            <v>Cl¡</v>
          </cell>
          <cell r="C9">
            <v>0.56599999999999995</v>
          </cell>
          <cell r="D9">
            <v>-131.26</v>
          </cell>
          <cell r="E9">
            <v>124.03</v>
          </cell>
        </row>
        <row r="10">
          <cell r="A10" t="str">
            <v>Cs</v>
          </cell>
          <cell r="B10" t="str">
            <v>Cs+</v>
          </cell>
          <cell r="C10">
            <v>2.2999999999999999E-9</v>
          </cell>
          <cell r="D10">
            <v>-282.2</v>
          </cell>
          <cell r="E10">
            <v>404.58</v>
          </cell>
        </row>
        <row r="11">
          <cell r="A11" t="str">
            <v>Cu</v>
          </cell>
          <cell r="B11" t="str">
            <v>Cu+2</v>
          </cell>
          <cell r="C11">
            <v>7.2999999999999996E-10</v>
          </cell>
          <cell r="D11">
            <v>65.5</v>
          </cell>
          <cell r="E11">
            <v>134.25</v>
          </cell>
        </row>
        <row r="12">
          <cell r="A12" t="str">
            <v>Hg</v>
          </cell>
          <cell r="B12" t="str">
            <v>HgCl4-2</v>
          </cell>
          <cell r="C12">
            <v>3.4000000000000001E-10</v>
          </cell>
          <cell r="D12">
            <v>-446.9</v>
          </cell>
          <cell r="E12">
            <v>114.99</v>
          </cell>
        </row>
        <row r="13">
          <cell r="A13" t="str">
            <v>I</v>
          </cell>
          <cell r="B13" t="str">
            <v>IO3¡</v>
          </cell>
          <cell r="C13">
            <v>5.2E-7</v>
          </cell>
          <cell r="D13">
            <v>-128</v>
          </cell>
          <cell r="E13">
            <v>174.74</v>
          </cell>
        </row>
        <row r="14">
          <cell r="A14" t="str">
            <v>K</v>
          </cell>
          <cell r="B14" t="str">
            <v>K+</v>
          </cell>
          <cell r="C14">
            <v>1.06E-2</v>
          </cell>
          <cell r="D14">
            <v>-282.39999999999998</v>
          </cell>
          <cell r="E14">
            <v>366.66</v>
          </cell>
        </row>
        <row r="15">
          <cell r="A15" t="str">
            <v>Li</v>
          </cell>
          <cell r="B15" t="str">
            <v>Li+</v>
          </cell>
          <cell r="C15">
            <v>2.5000000000000001E-5</v>
          </cell>
          <cell r="D15">
            <v>-294</v>
          </cell>
          <cell r="E15">
            <v>393.03</v>
          </cell>
        </row>
        <row r="16">
          <cell r="A16" t="str">
            <v>Mo</v>
          </cell>
          <cell r="B16" t="str">
            <v>MoO4-2</v>
          </cell>
          <cell r="C16">
            <v>1.1000000000000001E-7</v>
          </cell>
          <cell r="D16">
            <v>-836.4</v>
          </cell>
          <cell r="E16">
            <v>730.27</v>
          </cell>
        </row>
        <row r="17">
          <cell r="A17" t="str">
            <v>Na</v>
          </cell>
          <cell r="B17" t="str">
            <v>Na+</v>
          </cell>
          <cell r="C17">
            <v>0.48599999999999999</v>
          </cell>
          <cell r="D17">
            <v>-262.05</v>
          </cell>
          <cell r="E17">
            <v>336.71</v>
          </cell>
        </row>
        <row r="18">
          <cell r="A18" t="str">
            <v>Ni</v>
          </cell>
          <cell r="B18" t="str">
            <v>Ni+2</v>
          </cell>
          <cell r="C18">
            <v>1.1999999999999999E-7</v>
          </cell>
          <cell r="D18">
            <v>-45.6</v>
          </cell>
          <cell r="E18">
            <v>232.7</v>
          </cell>
        </row>
        <row r="19">
          <cell r="A19" t="str">
            <v>P</v>
          </cell>
          <cell r="B19" t="str">
            <v>HPO4-2</v>
          </cell>
          <cell r="C19">
            <v>4.8999999999999997E-7</v>
          </cell>
          <cell r="D19">
            <v>-1089.3</v>
          </cell>
          <cell r="E19">
            <v>861.42</v>
          </cell>
        </row>
        <row r="20">
          <cell r="A20" t="str">
            <v>Pb</v>
          </cell>
          <cell r="B20" t="str">
            <v>PbCl2</v>
          </cell>
          <cell r="C20">
            <v>4.1999999999999997E-11</v>
          </cell>
          <cell r="D20">
            <v>-297.2</v>
          </cell>
          <cell r="E20">
            <v>232.4</v>
          </cell>
        </row>
        <row r="21">
          <cell r="A21" t="str">
            <v>Ru</v>
          </cell>
          <cell r="B21" t="str">
            <v>Rb+</v>
          </cell>
          <cell r="C21">
            <v>1.3999999999999999E-6</v>
          </cell>
          <cell r="D21">
            <v>-282.39999999999998</v>
          </cell>
          <cell r="E21">
            <v>388.89</v>
          </cell>
        </row>
        <row r="22">
          <cell r="A22" t="str">
            <v>Se</v>
          </cell>
          <cell r="B22" t="str">
            <v>SeO4-2</v>
          </cell>
          <cell r="C22">
            <v>1.2E-9</v>
          </cell>
          <cell r="D22">
            <v>-441.4</v>
          </cell>
          <cell r="E22">
            <v>346.47</v>
          </cell>
        </row>
        <row r="23">
          <cell r="A23" t="str">
            <v>S</v>
          </cell>
          <cell r="B23" t="str">
            <v>SO4-2</v>
          </cell>
          <cell r="C23">
            <v>2.93E-2</v>
          </cell>
          <cell r="D23">
            <v>-744.6</v>
          </cell>
          <cell r="E23">
            <v>607.04999999999995</v>
          </cell>
        </row>
        <row r="24">
          <cell r="A24" t="str">
            <v>W</v>
          </cell>
          <cell r="B24" t="str">
            <v>WO4-2</v>
          </cell>
          <cell r="C24">
            <v>5.6000000000000003E-10</v>
          </cell>
          <cell r="D24">
            <v>-920.5</v>
          </cell>
          <cell r="E24">
            <v>827.46</v>
          </cell>
        </row>
        <row r="25">
          <cell r="A25" t="str">
            <v>Zn</v>
          </cell>
          <cell r="B25" t="str">
            <v>Zn+2</v>
          </cell>
          <cell r="C25">
            <v>1.7E-8</v>
          </cell>
          <cell r="D25">
            <v>-147.30000000000001</v>
          </cell>
          <cell r="E25">
            <v>339.25</v>
          </cell>
        </row>
      </sheetData>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dimension ref="A1:G100"/>
  <sheetViews>
    <sheetView tabSelected="1" topLeftCell="A98" workbookViewId="0">
      <selection activeCell="A41" sqref="A41"/>
    </sheetView>
  </sheetViews>
  <sheetFormatPr defaultColWidth="8.81640625" defaultRowHeight="14.5"/>
  <cols>
    <col min="1" max="1" width="10.6328125" customWidth="1"/>
  </cols>
  <sheetData>
    <row r="1" spans="1:5">
      <c r="A1" s="296" t="s">
        <v>1460</v>
      </c>
      <c r="B1" s="297"/>
      <c r="C1" s="298"/>
      <c r="D1" s="299"/>
      <c r="E1" s="300"/>
    </row>
    <row r="2" spans="1:5">
      <c r="A2" s="301"/>
      <c r="B2" s="302" t="s">
        <v>1461</v>
      </c>
      <c r="C2" s="303"/>
      <c r="D2" s="299" t="s">
        <v>1462</v>
      </c>
      <c r="E2" s="300"/>
    </row>
    <row r="3" spans="1:5">
      <c r="A3" s="301"/>
      <c r="B3" s="302" t="s">
        <v>1463</v>
      </c>
      <c r="C3" s="303"/>
      <c r="D3" s="299" t="s">
        <v>1464</v>
      </c>
      <c r="E3" s="300"/>
    </row>
    <row r="4" spans="1:5">
      <c r="A4" s="301"/>
      <c r="B4" s="47" t="s">
        <v>1491</v>
      </c>
      <c r="C4" s="303"/>
      <c r="D4" s="299"/>
      <c r="E4" s="300"/>
    </row>
    <row r="7" spans="1:5" ht="23.5">
      <c r="A7" s="305" t="s">
        <v>1456</v>
      </c>
    </row>
    <row r="9" spans="1:5">
      <c r="A9" t="s">
        <v>1490</v>
      </c>
    </row>
    <row r="10" spans="1:5">
      <c r="A10" t="s">
        <v>1508</v>
      </c>
    </row>
    <row r="12" spans="1:5">
      <c r="A12" t="s">
        <v>1459</v>
      </c>
    </row>
    <row r="13" spans="1:5">
      <c r="A13" t="s">
        <v>1457</v>
      </c>
    </row>
    <row r="14" spans="1:5">
      <c r="A14" t="s">
        <v>1458</v>
      </c>
    </row>
    <row r="15" spans="1:5">
      <c r="A15" t="s">
        <v>1504</v>
      </c>
    </row>
    <row r="17" spans="1:1">
      <c r="A17" t="s">
        <v>1484</v>
      </c>
    </row>
    <row r="18" spans="1:1">
      <c r="A18" t="s">
        <v>1485</v>
      </c>
    </row>
    <row r="19" spans="1:1">
      <c r="A19" t="s">
        <v>1486</v>
      </c>
    </row>
    <row r="20" spans="1:1">
      <c r="A20" t="s">
        <v>1487</v>
      </c>
    </row>
    <row r="21" spans="1:1">
      <c r="A21" t="s">
        <v>1488</v>
      </c>
    </row>
    <row r="22" spans="1:1">
      <c r="A22" t="s">
        <v>1489</v>
      </c>
    </row>
    <row r="24" spans="1:1">
      <c r="A24" t="s">
        <v>1493</v>
      </c>
    </row>
    <row r="25" spans="1:1">
      <c r="A25" t="s">
        <v>1494</v>
      </c>
    </row>
    <row r="26" spans="1:1">
      <c r="A26" t="s">
        <v>1507</v>
      </c>
    </row>
    <row r="27" spans="1:1">
      <c r="A27" t="s">
        <v>1495</v>
      </c>
    </row>
    <row r="29" spans="1:1">
      <c r="A29" s="320" t="s">
        <v>1509</v>
      </c>
    </row>
    <row r="30" spans="1:1">
      <c r="A30" t="s">
        <v>1497</v>
      </c>
    </row>
    <row r="31" spans="1:1">
      <c r="A31" t="s">
        <v>1506</v>
      </c>
    </row>
    <row r="32" spans="1:1">
      <c r="A32" t="s">
        <v>1505</v>
      </c>
    </row>
    <row r="34" spans="1:2">
      <c r="A34" s="320" t="s">
        <v>1567</v>
      </c>
    </row>
    <row r="35" spans="1:2">
      <c r="A35" t="s">
        <v>1568</v>
      </c>
    </row>
    <row r="36" spans="1:2">
      <c r="A36" s="786" t="s">
        <v>1934</v>
      </c>
    </row>
    <row r="37" spans="1:2">
      <c r="A37" t="s">
        <v>1569</v>
      </c>
    </row>
    <row r="38" spans="1:2">
      <c r="A38" t="s">
        <v>1570</v>
      </c>
    </row>
    <row r="39" spans="1:2">
      <c r="A39" t="s">
        <v>1571</v>
      </c>
    </row>
    <row r="42" spans="1:2">
      <c r="A42" s="320">
        <v>42725</v>
      </c>
      <c r="B42" t="s">
        <v>1935</v>
      </c>
    </row>
    <row r="44" spans="1:2">
      <c r="A44" t="s">
        <v>1574</v>
      </c>
    </row>
    <row r="45" spans="1:2">
      <c r="A45" t="s">
        <v>1575</v>
      </c>
    </row>
    <row r="46" spans="1:2">
      <c r="A46" t="s">
        <v>1579</v>
      </c>
    </row>
    <row r="47" spans="1:2">
      <c r="A47" t="s">
        <v>1576</v>
      </c>
    </row>
    <row r="48" spans="1:2">
      <c r="A48" t="s">
        <v>1577</v>
      </c>
    </row>
    <row r="49" spans="1:1">
      <c r="A49" t="s">
        <v>1578</v>
      </c>
    </row>
    <row r="50" spans="1:1">
      <c r="A50" t="s">
        <v>1590</v>
      </c>
    </row>
    <row r="51" spans="1:1">
      <c r="A51" t="s">
        <v>1597</v>
      </c>
    </row>
    <row r="52" spans="1:1">
      <c r="A52" t="s">
        <v>1608</v>
      </c>
    </row>
    <row r="53" spans="1:1">
      <c r="A53" t="s">
        <v>1591</v>
      </c>
    </row>
    <row r="54" spans="1:1">
      <c r="A54" t="s">
        <v>1593</v>
      </c>
    </row>
    <row r="55" spans="1:1">
      <c r="A55" t="s">
        <v>1594</v>
      </c>
    </row>
    <row r="56" spans="1:1">
      <c r="A56" t="s">
        <v>1595</v>
      </c>
    </row>
    <row r="57" spans="1:1">
      <c r="A57" t="s">
        <v>1596</v>
      </c>
    </row>
    <row r="58" spans="1:1">
      <c r="A58" t="s">
        <v>1600</v>
      </c>
    </row>
    <row r="59" spans="1:1">
      <c r="A59" t="s">
        <v>1601</v>
      </c>
    </row>
    <row r="60" spans="1:1">
      <c r="A60" t="s">
        <v>1610</v>
      </c>
    </row>
    <row r="61" spans="1:1">
      <c r="A61" t="s">
        <v>1611</v>
      </c>
    </row>
    <row r="62" spans="1:1">
      <c r="A62" t="s">
        <v>1613</v>
      </c>
    </row>
    <row r="63" spans="1:1">
      <c r="A63" t="s">
        <v>1698</v>
      </c>
    </row>
    <row r="65" spans="1:1">
      <c r="A65" t="s">
        <v>1714</v>
      </c>
    </row>
    <row r="66" spans="1:1">
      <c r="A66" t="s">
        <v>1715</v>
      </c>
    </row>
    <row r="67" spans="1:1">
      <c r="A67" t="s">
        <v>1716</v>
      </c>
    </row>
    <row r="68" spans="1:1">
      <c r="A68" t="s">
        <v>1717</v>
      </c>
    </row>
    <row r="70" spans="1:1">
      <c r="A70" s="687" t="s">
        <v>1872</v>
      </c>
    </row>
    <row r="71" spans="1:1">
      <c r="A71" t="s">
        <v>1873</v>
      </c>
    </row>
    <row r="72" spans="1:1">
      <c r="A72" t="s">
        <v>1874</v>
      </c>
    </row>
    <row r="74" spans="1:1">
      <c r="A74" t="s">
        <v>1920</v>
      </c>
    </row>
    <row r="75" spans="1:1">
      <c r="A75" t="s">
        <v>1921</v>
      </c>
    </row>
    <row r="77" spans="1:1">
      <c r="A77" t="s">
        <v>1922</v>
      </c>
    </row>
    <row r="78" spans="1:1">
      <c r="A78" t="s">
        <v>1923</v>
      </c>
    </row>
    <row r="80" spans="1:1">
      <c r="A80" t="s">
        <v>1924</v>
      </c>
    </row>
    <row r="81" spans="1:7">
      <c r="A81" t="s">
        <v>1925</v>
      </c>
    </row>
    <row r="82" spans="1:7">
      <c r="A82" t="s">
        <v>1926</v>
      </c>
    </row>
    <row r="83" spans="1:7">
      <c r="A83" t="s">
        <v>1927</v>
      </c>
      <c r="G83" s="47"/>
    </row>
    <row r="85" spans="1:7">
      <c r="A85" s="320" t="s">
        <v>1928</v>
      </c>
    </row>
    <row r="86" spans="1:7">
      <c r="A86" t="s">
        <v>1929</v>
      </c>
    </row>
    <row r="87" spans="1:7">
      <c r="A87" t="s">
        <v>1930</v>
      </c>
    </row>
    <row r="89" spans="1:7">
      <c r="A89" t="s">
        <v>1931</v>
      </c>
    </row>
    <row r="90" spans="1:7">
      <c r="A90" t="s">
        <v>1927</v>
      </c>
    </row>
    <row r="92" spans="1:7">
      <c r="A92" t="s">
        <v>1957</v>
      </c>
    </row>
    <row r="93" spans="1:7">
      <c r="A93" t="s">
        <v>1958</v>
      </c>
    </row>
    <row r="94" spans="1:7">
      <c r="A94" t="s">
        <v>1927</v>
      </c>
    </row>
    <row r="95" spans="1:7" ht="15">
      <c r="G95" s="897"/>
    </row>
    <row r="96" spans="1:7" s="786" customFormat="1">
      <c r="A96" s="786" t="s">
        <v>1969</v>
      </c>
    </row>
    <row r="97" spans="1:1" s="786" customFormat="1">
      <c r="A97" s="786" t="s">
        <v>1970</v>
      </c>
    </row>
    <row r="99" spans="1:1">
      <c r="A99" t="s">
        <v>1968</v>
      </c>
    </row>
    <row r="100" spans="1:1">
      <c r="A100" t="s">
        <v>1959</v>
      </c>
    </row>
  </sheetData>
  <hyperlinks>
    <hyperlink ref="B4" location="'Table of Contents'!A1" display="Table of Contents" xr:uid="{00000000-0004-0000-0000-000000000000}"/>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6"/>
  <dimension ref="A1:G39"/>
  <sheetViews>
    <sheetView topLeftCell="B4" workbookViewId="0">
      <selection activeCell="J17" sqref="J17"/>
    </sheetView>
  </sheetViews>
  <sheetFormatPr defaultColWidth="8.81640625" defaultRowHeight="14.5"/>
  <cols>
    <col min="1" max="1" width="10.6328125" customWidth="1"/>
    <col min="4" max="4" width="12.1796875" customWidth="1"/>
  </cols>
  <sheetData>
    <row r="1" spans="1:5">
      <c r="A1" s="296" t="s">
        <v>1460</v>
      </c>
      <c r="B1" s="297"/>
      <c r="C1" s="298"/>
      <c r="D1" s="299"/>
      <c r="E1" s="300"/>
    </row>
    <row r="2" spans="1:5">
      <c r="A2" s="301"/>
      <c r="B2" s="302" t="s">
        <v>1461</v>
      </c>
      <c r="C2" s="303"/>
      <c r="D2" s="299" t="s">
        <v>1462</v>
      </c>
      <c r="E2" s="300"/>
    </row>
    <row r="3" spans="1:5">
      <c r="A3" s="301"/>
      <c r="B3" s="302" t="s">
        <v>1463</v>
      </c>
      <c r="C3" s="303"/>
      <c r="D3" s="299" t="s">
        <v>1464</v>
      </c>
      <c r="E3" s="300"/>
    </row>
    <row r="4" spans="1:5">
      <c r="A4" s="301"/>
      <c r="B4" s="302" t="s">
        <v>1465</v>
      </c>
      <c r="C4" s="303"/>
      <c r="D4" s="299"/>
      <c r="E4" s="300"/>
    </row>
    <row r="5" spans="1:5">
      <c r="C5" s="779" t="s">
        <v>1945</v>
      </c>
      <c r="D5" t="s">
        <v>1946</v>
      </c>
    </row>
    <row r="6" spans="1:5">
      <c r="C6" s="822">
        <v>1</v>
      </c>
      <c r="D6" s="47" t="s">
        <v>1966</v>
      </c>
    </row>
    <row r="7" spans="1:5">
      <c r="C7" s="822">
        <v>2</v>
      </c>
      <c r="D7" s="47" t="s">
        <v>1491</v>
      </c>
    </row>
    <row r="8" spans="1:5">
      <c r="C8" s="1">
        <v>3</v>
      </c>
      <c r="D8" s="47" t="s">
        <v>1466</v>
      </c>
    </row>
    <row r="9" spans="1:5">
      <c r="C9" s="1">
        <v>4</v>
      </c>
      <c r="D9" s="47" t="s">
        <v>1932</v>
      </c>
    </row>
    <row r="10" spans="1:5">
      <c r="C10" s="1">
        <v>5</v>
      </c>
      <c r="D10" s="47" t="s">
        <v>1475</v>
      </c>
    </row>
    <row r="11" spans="1:5">
      <c r="C11" s="1">
        <v>6</v>
      </c>
      <c r="D11" s="47" t="s">
        <v>1467</v>
      </c>
    </row>
    <row r="12" spans="1:5">
      <c r="C12" s="1">
        <v>7</v>
      </c>
      <c r="D12" s="47" t="s">
        <v>31</v>
      </c>
    </row>
    <row r="13" spans="1:5">
      <c r="C13" s="1">
        <v>8</v>
      </c>
      <c r="D13" s="47" t="s">
        <v>1468</v>
      </c>
    </row>
    <row r="14" spans="1:5">
      <c r="C14" s="1">
        <v>9</v>
      </c>
      <c r="D14" s="47" t="s">
        <v>1933</v>
      </c>
    </row>
    <row r="15" spans="1:5">
      <c r="C15" s="1">
        <v>10</v>
      </c>
      <c r="D15" s="47" t="s">
        <v>1469</v>
      </c>
    </row>
    <row r="16" spans="1:5">
      <c r="C16" s="1">
        <f t="shared" ref="C16:C22" si="0">C15+1</f>
        <v>11</v>
      </c>
      <c r="D16" s="47" t="s">
        <v>1470</v>
      </c>
    </row>
    <row r="17" spans="2:4">
      <c r="C17" s="1">
        <f t="shared" si="0"/>
        <v>12</v>
      </c>
      <c r="D17" s="47" t="s">
        <v>1471</v>
      </c>
    </row>
    <row r="18" spans="2:4">
      <c r="C18" s="1">
        <f t="shared" si="0"/>
        <v>13</v>
      </c>
      <c r="D18" s="47" t="s">
        <v>1472</v>
      </c>
    </row>
    <row r="19" spans="2:4">
      <c r="C19" s="1">
        <f t="shared" si="0"/>
        <v>14</v>
      </c>
      <c r="D19" s="47" t="s">
        <v>1381</v>
      </c>
    </row>
    <row r="20" spans="2:4">
      <c r="C20" s="1">
        <f t="shared" si="0"/>
        <v>15</v>
      </c>
      <c r="D20" s="47" t="s">
        <v>1473</v>
      </c>
    </row>
    <row r="21" spans="2:4">
      <c r="C21" s="1">
        <f t="shared" si="0"/>
        <v>16</v>
      </c>
      <c r="D21" s="47" t="s">
        <v>1474</v>
      </c>
    </row>
    <row r="22" spans="2:4">
      <c r="C22" s="1">
        <f t="shared" si="0"/>
        <v>17</v>
      </c>
      <c r="D22" s="47" t="s">
        <v>1437</v>
      </c>
    </row>
    <row r="24" spans="2:4">
      <c r="B24" t="s">
        <v>1947</v>
      </c>
    </row>
    <row r="25" spans="2:4">
      <c r="B25" t="s">
        <v>1949</v>
      </c>
      <c r="C25" t="s">
        <v>1960</v>
      </c>
    </row>
    <row r="26" spans="2:4">
      <c r="B26" t="s">
        <v>1949</v>
      </c>
      <c r="C26" t="s">
        <v>1948</v>
      </c>
    </row>
    <row r="27" spans="2:4" ht="26">
      <c r="B27" s="768"/>
    </row>
    <row r="28" spans="2:4" ht="26">
      <c r="B28" s="768"/>
    </row>
    <row r="30" spans="2:4" ht="26">
      <c r="B30" s="768"/>
    </row>
    <row r="31" spans="2:4" ht="26">
      <c r="B31" s="768"/>
    </row>
    <row r="33" spans="2:7" ht="23.5">
      <c r="B33" s="760"/>
    </row>
    <row r="35" spans="2:7" ht="23.5">
      <c r="B35" s="760"/>
    </row>
    <row r="36" spans="2:7" ht="23.5">
      <c r="B36" s="760"/>
    </row>
    <row r="37" spans="2:7" ht="23.5">
      <c r="B37" s="760"/>
      <c r="C37" s="767"/>
      <c r="D37" s="767"/>
    </row>
    <row r="38" spans="2:7" ht="23.5">
      <c r="B38" s="760"/>
      <c r="C38" s="767"/>
      <c r="D38" s="767"/>
    </row>
    <row r="39" spans="2:7">
      <c r="B39" s="767"/>
      <c r="C39" s="775"/>
      <c r="D39" s="776"/>
      <c r="E39" s="777"/>
      <c r="F39" s="776"/>
      <c r="G39" s="776"/>
    </row>
  </sheetData>
  <hyperlinks>
    <hyperlink ref="D8" location="'EmCF Library'!A1" display="EmCF library" xr:uid="{00000000-0004-0000-0100-000000000000}"/>
    <hyperlink ref="D9" location="'Renewable Earth emergy flows'!A1" display="Renewable Earth emergy flows" xr:uid="{00000000-0004-0000-0100-000001000000}"/>
    <hyperlink ref="D11" location="'Land, biomass &amp; soil'!A1" display="Land, biomass &amp; soil" xr:uid="{00000000-0004-0000-0100-000002000000}"/>
    <hyperlink ref="D12" location="Water!A1" display="Water" xr:uid="{00000000-0004-0000-0100-000003000000}"/>
    <hyperlink ref="D13" location="'Singular minerals'!A1" display="Singular minerals" xr:uid="{00000000-0004-0000-0100-000004000000}"/>
    <hyperlink ref="D14" location="'Multiple mineral deposits'!A1" display="Multiple mineral deposits" xr:uid="{00000000-0004-0000-0100-000005000000}"/>
    <hyperlink ref="D15" location="'Aggregate minerals'!A1" display="Aggregate minerals" xr:uid="{00000000-0004-0000-0100-000006000000}"/>
    <hyperlink ref="D16" location="Limestone!A1" display="Limestone" xr:uid="{00000000-0004-0000-0100-000007000000}"/>
    <hyperlink ref="D17" location="'Ocean ions'!A1" display="Ocean ions" xr:uid="{00000000-0004-0000-0100-000008000000}"/>
    <hyperlink ref="D18" location="'Atmospheric gases'!A1" display="Atmospheric gases" xr:uid="{00000000-0004-0000-0100-000009000000}"/>
    <hyperlink ref="D19" location="Wood!A1" display="Wood" xr:uid="{00000000-0004-0000-0100-00000A000000}"/>
    <hyperlink ref="D20" location="Coal!A1" display="Coal" xr:uid="{00000000-0004-0000-0100-00000B000000}"/>
    <hyperlink ref="D21" location="'Oil &amp; NG'!A1" display="Oil &amp; NG" xr:uid="{00000000-0004-0000-0100-00000C000000}"/>
    <hyperlink ref="D10" location="'Crust element composition'!A1" display="Crust element composition" xr:uid="{00000000-0004-0000-0100-00000D000000}"/>
    <hyperlink ref="D22" location="References!A1" display="References" xr:uid="{00000000-0004-0000-0100-00000E000000}"/>
    <hyperlink ref="D6" location="'Readme and Changinglog'!A1" display="Readme and Changinglog" xr:uid="{00000000-0004-0000-0100-00000F000000}"/>
    <hyperlink ref="D7" location="'Table of Contents'!A1" display="Table of Contents" xr:uid="{00000000-0004-0000-0100-000010000000}"/>
  </hyperlinks>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tabColor theme="5" tint="0.39997558519241921"/>
  </sheetPr>
  <dimension ref="A1:AG219"/>
  <sheetViews>
    <sheetView zoomScale="80" zoomScaleNormal="80" zoomScalePageLayoutView="80" workbookViewId="0">
      <pane xSplit="2" ySplit="1" topLeftCell="C205" activePane="bottomRight" state="frozen"/>
      <selection pane="topRight" activeCell="B1" sqref="B1"/>
      <selection pane="bottomLeft" activeCell="A2" sqref="A2"/>
      <selection pane="bottomRight" activeCell="A216" activeCellId="2" sqref="A199:XFD205 A207:XFD214 A216:XFD219"/>
    </sheetView>
  </sheetViews>
  <sheetFormatPr defaultColWidth="8.81640625" defaultRowHeight="14.5"/>
  <cols>
    <col min="1" max="1" width="7.6328125" hidden="1" customWidth="1"/>
    <col min="2" max="2" width="78" customWidth="1"/>
    <col min="3" max="3" width="15.36328125" customWidth="1"/>
    <col min="4" max="4" width="12.6328125" hidden="1" customWidth="1"/>
    <col min="5" max="5" width="12" hidden="1" customWidth="1"/>
    <col min="6" max="6" width="24" hidden="1" customWidth="1"/>
    <col min="7" max="7" width="32.1796875" hidden="1" customWidth="1"/>
    <col min="8" max="8" width="38.453125" hidden="1" customWidth="1"/>
    <col min="9" max="9" width="10.81640625" style="1" customWidth="1"/>
    <col min="10" max="10" width="21.6328125" hidden="1" customWidth="1"/>
    <col min="11" max="11" width="13.6328125" hidden="1" customWidth="1"/>
    <col min="12" max="12" width="13.36328125" style="3" bestFit="1" customWidth="1"/>
    <col min="13" max="13" width="17.1796875" customWidth="1"/>
    <col min="14" max="14" width="13.453125" style="121" customWidth="1"/>
    <col min="15" max="15" width="16.1796875" customWidth="1"/>
    <col min="16" max="16" width="20.1796875" customWidth="1"/>
    <col min="17" max="17" width="9" customWidth="1"/>
    <col min="18" max="18" width="14.81640625" customWidth="1"/>
    <col min="19" max="19" width="16.1796875" customWidth="1"/>
    <col min="20" max="20" width="11.1796875" customWidth="1"/>
    <col min="21" max="21" width="10.453125" customWidth="1"/>
    <col min="22" max="22" width="24.453125" customWidth="1"/>
    <col min="23" max="23" width="20.81640625" customWidth="1"/>
    <col min="24" max="24" width="11.81640625" customWidth="1"/>
    <col min="25" max="25" width="48.81640625" customWidth="1"/>
    <col min="26" max="26" width="18.81640625" style="6" bestFit="1" customWidth="1"/>
    <col min="27" max="27" width="22.1796875" style="7" bestFit="1" customWidth="1"/>
    <col min="28" max="28" width="23.6328125" style="1" bestFit="1" customWidth="1"/>
    <col min="29" max="29" width="16" style="5" bestFit="1" customWidth="1"/>
    <col min="30" max="30" width="10.81640625" style="7" bestFit="1" customWidth="1"/>
    <col min="31" max="31" width="20.1796875" style="5" bestFit="1" customWidth="1"/>
    <col min="32" max="32" width="23.1796875" style="5" bestFit="1" customWidth="1"/>
    <col min="33" max="33" width="21.1796875" style="23" bestFit="1" customWidth="1"/>
  </cols>
  <sheetData>
    <row r="1" spans="1:33" s="13" customFormat="1">
      <c r="B1" s="13" t="s">
        <v>16</v>
      </c>
      <c r="C1" s="13" t="s">
        <v>7</v>
      </c>
      <c r="D1" s="13" t="s">
        <v>17</v>
      </c>
      <c r="E1" s="13" t="s">
        <v>18</v>
      </c>
      <c r="F1" s="13" t="s">
        <v>19</v>
      </c>
      <c r="G1" s="13" t="s">
        <v>20</v>
      </c>
      <c r="H1" s="13" t="s">
        <v>21</v>
      </c>
      <c r="I1" s="13" t="s">
        <v>22</v>
      </c>
      <c r="J1" s="13" t="s">
        <v>23</v>
      </c>
      <c r="L1" s="14" t="s">
        <v>25</v>
      </c>
      <c r="M1" s="13" t="s">
        <v>26</v>
      </c>
      <c r="N1" s="306" t="s">
        <v>24</v>
      </c>
      <c r="O1" s="13" t="s">
        <v>27</v>
      </c>
      <c r="P1" s="13" t="s">
        <v>962</v>
      </c>
      <c r="Q1" s="13" t="s">
        <v>29</v>
      </c>
      <c r="R1" s="13" t="s">
        <v>28</v>
      </c>
      <c r="S1" s="13" t="s">
        <v>965</v>
      </c>
      <c r="T1" s="13" t="s">
        <v>967</v>
      </c>
      <c r="U1" s="13" t="s">
        <v>30</v>
      </c>
      <c r="V1" s="13" t="s">
        <v>963</v>
      </c>
      <c r="W1" s="13" t="s">
        <v>964</v>
      </c>
      <c r="X1" s="13" t="s">
        <v>31</v>
      </c>
      <c r="Y1" s="13" t="s">
        <v>1238</v>
      </c>
      <c r="Z1" s="50" t="s">
        <v>1239</v>
      </c>
      <c r="AA1" s="88"/>
      <c r="AC1" s="14"/>
      <c r="AD1" s="88"/>
      <c r="AE1" s="14"/>
      <c r="AF1" s="14"/>
      <c r="AG1" s="50"/>
    </row>
    <row r="2" spans="1:33" s="13" customFormat="1" ht="24" customHeight="1">
      <c r="B2" s="261" t="s">
        <v>1377</v>
      </c>
      <c r="L2" s="14"/>
      <c r="N2" s="306"/>
      <c r="Z2" s="50"/>
      <c r="AA2" s="88"/>
      <c r="AC2" s="14"/>
      <c r="AD2" s="88"/>
      <c r="AE2" s="14"/>
      <c r="AF2" s="14"/>
      <c r="AG2" s="50"/>
    </row>
    <row r="3" spans="1:33">
      <c r="B3" s="9" t="s">
        <v>71</v>
      </c>
      <c r="C3" s="9" t="s">
        <v>964</v>
      </c>
      <c r="D3" s="9" t="s">
        <v>964</v>
      </c>
      <c r="E3" s="9" t="s">
        <v>66</v>
      </c>
      <c r="F3" s="9" t="s">
        <v>67</v>
      </c>
      <c r="G3" s="9" t="s">
        <v>68</v>
      </c>
      <c r="H3" s="9" t="s">
        <v>176</v>
      </c>
      <c r="I3" s="22" t="s">
        <v>69</v>
      </c>
      <c r="J3" s="9"/>
      <c r="K3" s="9"/>
      <c r="L3" s="21">
        <v>1000000</v>
      </c>
      <c r="M3" s="9">
        <v>1</v>
      </c>
      <c r="N3" s="307"/>
      <c r="O3" s="21">
        <f t="shared" ref="O3:O11" si="0">IF(M3&lt;=renewable_cutoff,L3,"")</f>
        <v>1000000</v>
      </c>
      <c r="P3" s="21" t="str">
        <f t="shared" ref="P3:P10" si="1">IF(M3&gt;renewable_cutoff,L3,"")</f>
        <v/>
      </c>
      <c r="Q3" s="9"/>
      <c r="R3" s="9"/>
      <c r="S3" s="9"/>
      <c r="T3" s="9"/>
      <c r="U3" s="9"/>
      <c r="V3" s="9"/>
      <c r="W3" s="21">
        <f t="shared" ref="W3:W11" si="2">L3</f>
        <v>1000000</v>
      </c>
      <c r="X3" s="9"/>
      <c r="Y3" s="89" t="s">
        <v>969</v>
      </c>
      <c r="Z3" s="52"/>
    </row>
    <row r="4" spans="1:33">
      <c r="B4" s="9" t="s">
        <v>951</v>
      </c>
      <c r="C4" s="9" t="s">
        <v>964</v>
      </c>
      <c r="D4" s="9" t="s">
        <v>964</v>
      </c>
      <c r="E4" s="9" t="s">
        <v>66</v>
      </c>
      <c r="F4" s="9" t="s">
        <v>67</v>
      </c>
      <c r="G4" s="9" t="s">
        <v>68</v>
      </c>
      <c r="H4" s="688" t="s">
        <v>1877</v>
      </c>
      <c r="I4" s="22" t="s">
        <v>69</v>
      </c>
      <c r="J4" s="9"/>
      <c r="K4" s="9"/>
      <c r="L4" s="21">
        <f>deepheat_tr*1000000</f>
        <v>4900000000</v>
      </c>
      <c r="M4" s="9">
        <v>1</v>
      </c>
      <c r="N4" s="307"/>
      <c r="O4" s="21">
        <f t="shared" si="0"/>
        <v>4900000000</v>
      </c>
      <c r="P4" s="21" t="str">
        <f t="shared" si="1"/>
        <v/>
      </c>
      <c r="Q4" s="9"/>
      <c r="R4" s="9"/>
      <c r="S4" s="9"/>
      <c r="T4" s="9"/>
      <c r="U4" s="9"/>
      <c r="V4" s="9"/>
      <c r="W4" s="21">
        <f t="shared" si="2"/>
        <v>4900000000</v>
      </c>
      <c r="X4" s="9"/>
      <c r="Y4" s="9"/>
      <c r="Z4" s="52"/>
    </row>
    <row r="5" spans="1:33">
      <c r="B5" s="9" t="s">
        <v>11</v>
      </c>
      <c r="C5" s="9" t="s">
        <v>964</v>
      </c>
      <c r="D5" s="9" t="s">
        <v>964</v>
      </c>
      <c r="E5" s="9" t="s">
        <v>66</v>
      </c>
      <c r="F5" s="9" t="s">
        <v>67</v>
      </c>
      <c r="G5" s="9" t="s">
        <v>68</v>
      </c>
      <c r="H5" s="9"/>
      <c r="I5" s="22" t="s">
        <v>69</v>
      </c>
      <c r="J5" s="9"/>
      <c r="K5" s="9"/>
      <c r="L5" s="21">
        <f>tide_tr*1000000</f>
        <v>30900000000</v>
      </c>
      <c r="M5" s="9">
        <v>1</v>
      </c>
      <c r="N5" s="307"/>
      <c r="O5" s="21">
        <f t="shared" si="0"/>
        <v>30900000000</v>
      </c>
      <c r="P5" s="21" t="str">
        <f t="shared" si="1"/>
        <v/>
      </c>
      <c r="Q5" s="9"/>
      <c r="R5" s="9"/>
      <c r="S5" s="9"/>
      <c r="T5" s="9"/>
      <c r="U5" s="9"/>
      <c r="V5" s="9"/>
      <c r="W5" s="21">
        <f t="shared" si="2"/>
        <v>30900000000</v>
      </c>
      <c r="X5" s="9"/>
      <c r="Y5" s="9"/>
      <c r="Z5" s="52"/>
    </row>
    <row r="6" spans="1:33">
      <c r="B6" s="9" t="s">
        <v>70</v>
      </c>
      <c r="C6" s="9" t="s">
        <v>964</v>
      </c>
      <c r="D6" s="9" t="s">
        <v>964</v>
      </c>
      <c r="E6" s="9" t="s">
        <v>66</v>
      </c>
      <c r="F6" s="9" t="s">
        <v>67</v>
      </c>
      <c r="G6" s="9" t="s">
        <v>68</v>
      </c>
      <c r="H6" s="9"/>
      <c r="I6" s="22" t="s">
        <v>69</v>
      </c>
      <c r="J6" s="9"/>
      <c r="K6" s="9"/>
      <c r="L6" s="21">
        <f>wind_tr*1000000</f>
        <v>519999999.99996227</v>
      </c>
      <c r="M6" s="9">
        <v>1</v>
      </c>
      <c r="N6" s="307"/>
      <c r="O6" s="21">
        <f t="shared" si="0"/>
        <v>519999999.99996227</v>
      </c>
      <c r="P6" s="21" t="str">
        <f t="shared" si="1"/>
        <v/>
      </c>
      <c r="Q6" s="9"/>
      <c r="R6" s="9"/>
      <c r="S6" s="9"/>
      <c r="T6" s="9"/>
      <c r="U6" s="9"/>
      <c r="V6" s="9"/>
      <c r="W6" s="21">
        <f t="shared" si="2"/>
        <v>519999999.99996227</v>
      </c>
      <c r="X6" s="9"/>
      <c r="Y6" s="9"/>
      <c r="Z6" s="52"/>
    </row>
    <row r="7" spans="1:33">
      <c r="B7" s="9" t="s">
        <v>1520</v>
      </c>
      <c r="C7" s="9" t="s">
        <v>964</v>
      </c>
      <c r="D7" s="9" t="s">
        <v>964</v>
      </c>
      <c r="E7" s="9" t="s">
        <v>66</v>
      </c>
      <c r="F7" s="9" t="s">
        <v>67</v>
      </c>
      <c r="G7" s="9" t="s">
        <v>68</v>
      </c>
      <c r="H7" s="9"/>
      <c r="I7" s="22" t="s">
        <v>69</v>
      </c>
      <c r="J7" s="9"/>
      <c r="K7" s="9"/>
      <c r="L7" s="21">
        <f>waves_ocean_tr*1000000</f>
        <v>519999999.99996227</v>
      </c>
      <c r="M7" s="9">
        <v>1</v>
      </c>
      <c r="N7" s="307"/>
      <c r="O7" s="21">
        <f t="shared" si="0"/>
        <v>519999999.99996227</v>
      </c>
      <c r="P7" s="21" t="str">
        <f t="shared" si="1"/>
        <v/>
      </c>
      <c r="Q7" s="9"/>
      <c r="R7" s="9"/>
      <c r="S7" s="9"/>
      <c r="T7" s="9"/>
      <c r="U7" s="9"/>
      <c r="V7" s="9"/>
      <c r="W7" s="21">
        <f t="shared" si="2"/>
        <v>519999999.99996227</v>
      </c>
      <c r="X7" s="9"/>
      <c r="Y7" s="9"/>
      <c r="Z7" s="52"/>
    </row>
    <row r="8" spans="1:33">
      <c r="A8" s="9"/>
      <c r="B8" s="9" t="s">
        <v>1915</v>
      </c>
      <c r="C8" s="9" t="s">
        <v>964</v>
      </c>
      <c r="D8" s="9"/>
      <c r="E8" s="9"/>
      <c r="F8" s="9"/>
      <c r="G8" s="9"/>
      <c r="H8" s="9"/>
      <c r="I8" s="22" t="s">
        <v>69</v>
      </c>
      <c r="J8" s="9"/>
      <c r="K8" s="9"/>
      <c r="L8" s="21">
        <f>waves_shore_tr*1000000</f>
        <v>72400000000</v>
      </c>
      <c r="M8" s="9">
        <v>1</v>
      </c>
      <c r="N8" s="307"/>
      <c r="O8" s="21">
        <f>IF(M8&lt;=renewable_cutoff,L8,"")</f>
        <v>72400000000</v>
      </c>
      <c r="P8" s="21"/>
      <c r="Q8" s="9"/>
      <c r="R8" s="9"/>
      <c r="S8" s="9"/>
      <c r="T8" s="9"/>
      <c r="U8" s="9"/>
      <c r="V8" s="9"/>
      <c r="W8" s="21">
        <f t="shared" si="2"/>
        <v>72400000000</v>
      </c>
      <c r="X8" s="9"/>
      <c r="Y8" s="9"/>
      <c r="Z8" s="52"/>
    </row>
    <row r="9" spans="1:33">
      <c r="B9" s="9" t="s">
        <v>952</v>
      </c>
      <c r="C9" s="9" t="s">
        <v>964</v>
      </c>
      <c r="D9" s="9" t="s">
        <v>964</v>
      </c>
      <c r="E9" s="9" t="s">
        <v>66</v>
      </c>
      <c r="F9" s="9" t="s">
        <v>67</v>
      </c>
      <c r="G9" s="9" t="s">
        <v>68</v>
      </c>
      <c r="H9" s="9"/>
      <c r="I9" s="22" t="s">
        <v>69</v>
      </c>
      <c r="J9" s="9"/>
      <c r="K9" s="9"/>
      <c r="L9" s="21">
        <f>rain_land_tr*1000000</f>
        <v>22500000000</v>
      </c>
      <c r="M9" s="9">
        <v>1</v>
      </c>
      <c r="N9" s="307"/>
      <c r="O9" s="21">
        <f t="shared" si="0"/>
        <v>22500000000</v>
      </c>
      <c r="P9" s="21" t="str">
        <f t="shared" si="1"/>
        <v/>
      </c>
      <c r="Q9" s="9"/>
      <c r="R9" s="9"/>
      <c r="S9" s="9"/>
      <c r="T9" s="9"/>
      <c r="U9" s="9"/>
      <c r="V9" s="9"/>
      <c r="W9" s="21">
        <f t="shared" si="2"/>
        <v>22500000000</v>
      </c>
      <c r="X9" s="9"/>
      <c r="Y9" s="9"/>
      <c r="Z9" s="52"/>
    </row>
    <row r="10" spans="1:33">
      <c r="B10" s="9" t="s">
        <v>955</v>
      </c>
      <c r="C10" s="9" t="s">
        <v>964</v>
      </c>
      <c r="D10" s="9" t="s">
        <v>964</v>
      </c>
      <c r="E10" s="9" t="s">
        <v>66</v>
      </c>
      <c r="F10" s="9" t="s">
        <v>67</v>
      </c>
      <c r="G10" s="9" t="s">
        <v>68</v>
      </c>
      <c r="H10" s="9"/>
      <c r="I10" s="22" t="s">
        <v>69</v>
      </c>
      <c r="J10" s="9"/>
      <c r="K10" s="9"/>
      <c r="L10" s="21">
        <f>runoff_geop_tr*1000000</f>
        <v>41180000000</v>
      </c>
      <c r="M10" s="9">
        <v>1</v>
      </c>
      <c r="N10" s="307"/>
      <c r="O10" s="21">
        <f t="shared" si="0"/>
        <v>41180000000</v>
      </c>
      <c r="P10" s="21" t="str">
        <f t="shared" si="1"/>
        <v/>
      </c>
      <c r="Q10" s="9"/>
      <c r="R10" s="9"/>
      <c r="S10" s="9"/>
      <c r="T10" s="9"/>
      <c r="U10" s="9"/>
      <c r="V10" s="9"/>
      <c r="W10" s="21">
        <f t="shared" si="2"/>
        <v>41180000000</v>
      </c>
      <c r="X10" s="9"/>
      <c r="Y10" s="9"/>
      <c r="Z10" s="52"/>
    </row>
    <row r="11" spans="1:33">
      <c r="B11" s="9" t="s">
        <v>950</v>
      </c>
      <c r="C11" s="9" t="s">
        <v>964</v>
      </c>
      <c r="D11" s="9" t="s">
        <v>964</v>
      </c>
      <c r="E11" s="9" t="s">
        <v>66</v>
      </c>
      <c r="F11" s="9" t="s">
        <v>67</v>
      </c>
      <c r="G11" s="9" t="s">
        <v>68</v>
      </c>
      <c r="H11" s="9"/>
      <c r="I11" s="22" t="s">
        <v>69</v>
      </c>
      <c r="J11" s="9"/>
      <c r="K11" s="9"/>
      <c r="L11" s="21">
        <f>currents_tr*1000000</f>
        <v>58000000000</v>
      </c>
      <c r="M11" s="9">
        <v>1</v>
      </c>
      <c r="N11" s="307"/>
      <c r="O11" s="21">
        <f t="shared" si="0"/>
        <v>58000000000</v>
      </c>
      <c r="P11" s="21"/>
      <c r="Q11" s="9"/>
      <c r="R11" s="9"/>
      <c r="S11" s="9"/>
      <c r="T11" s="9"/>
      <c r="U11" s="9"/>
      <c r="V11" s="9"/>
      <c r="W11" s="21">
        <f t="shared" si="2"/>
        <v>58000000000</v>
      </c>
      <c r="X11" s="9"/>
      <c r="Y11" s="9"/>
      <c r="Z11" s="52"/>
    </row>
    <row r="12" spans="1:33" ht="24" customHeight="1">
      <c r="B12" s="262" t="s">
        <v>31</v>
      </c>
    </row>
    <row r="13" spans="1:33">
      <c r="B13" s="96" t="str">
        <f>CONCATENATE("Water, fresh, unspecified; ",Z13," ppmTDS")</f>
        <v>Water, fresh, unspecified; 100 ppmTDS</v>
      </c>
      <c r="C13" s="96" t="s">
        <v>164</v>
      </c>
      <c r="D13" s="96" t="s">
        <v>164</v>
      </c>
      <c r="E13" s="96" t="s">
        <v>165</v>
      </c>
      <c r="F13" s="96" t="s">
        <v>166</v>
      </c>
      <c r="G13" s="96" t="s">
        <v>167</v>
      </c>
      <c r="H13" s="96" t="s">
        <v>911</v>
      </c>
      <c r="I13" s="97" t="s">
        <v>53</v>
      </c>
      <c r="J13" s="96"/>
      <c r="K13" s="96"/>
      <c r="L13" s="98">
        <f>L17</f>
        <v>1284237071533.231</v>
      </c>
      <c r="M13" s="99">
        <v>4.919292851652575E-2</v>
      </c>
      <c r="N13" s="308" t="s">
        <v>36</v>
      </c>
      <c r="O13" s="98">
        <f t="shared" ref="O13:O22" si="3">IF(M13&lt;=renewable_cutoff,L13,"")</f>
        <v>1284237071533.231</v>
      </c>
      <c r="P13" s="98" t="str">
        <f t="shared" ref="P13:P22" si="4">IF(M13&gt;renewable_cutoff,L13,"")</f>
        <v/>
      </c>
      <c r="Q13" s="96"/>
      <c r="R13" s="96"/>
      <c r="S13" s="96"/>
      <c r="T13" s="96"/>
      <c r="U13" s="96"/>
      <c r="V13" s="96"/>
      <c r="W13" s="96"/>
      <c r="X13" s="98">
        <f t="shared" ref="X13:X22" si="5">L13</f>
        <v>1284237071533.231</v>
      </c>
      <c r="Y13" s="96" t="s">
        <v>426</v>
      </c>
      <c r="Z13" s="58">
        <f>Water!H19</f>
        <v>100</v>
      </c>
    </row>
    <row r="14" spans="1:33">
      <c r="B14" s="96" t="str">
        <f>CONCATENATE("Water, rivers and streams; ",Z14," ppmTDS")</f>
        <v>Water, rivers and streams; 100 ppmTDS</v>
      </c>
      <c r="C14" s="96" t="s">
        <v>164</v>
      </c>
      <c r="D14" s="96" t="s">
        <v>164</v>
      </c>
      <c r="E14" s="96" t="s">
        <v>165</v>
      </c>
      <c r="F14" s="96" t="s">
        <v>166</v>
      </c>
      <c r="G14" s="96" t="s">
        <v>167</v>
      </c>
      <c r="H14" s="96" t="s">
        <v>911</v>
      </c>
      <c r="I14" s="97" t="s">
        <v>53</v>
      </c>
      <c r="J14" s="96"/>
      <c r="K14" s="96"/>
      <c r="L14" s="98">
        <f>1000000*Water!M19</f>
        <v>325604051275.62231</v>
      </c>
      <c r="M14" s="99">
        <f>Water!G19</f>
        <v>5.7494866529774126E-2</v>
      </c>
      <c r="N14" s="308" t="s">
        <v>36</v>
      </c>
      <c r="O14" s="98">
        <f t="shared" si="3"/>
        <v>325604051275.62231</v>
      </c>
      <c r="P14" s="98" t="str">
        <f t="shared" si="4"/>
        <v/>
      </c>
      <c r="Q14" s="96"/>
      <c r="R14" s="96"/>
      <c r="S14" s="96"/>
      <c r="T14" s="96"/>
      <c r="U14" s="96"/>
      <c r="V14" s="96"/>
      <c r="W14" s="96"/>
      <c r="X14" s="98">
        <f t="shared" si="5"/>
        <v>325604051275.62231</v>
      </c>
      <c r="Y14" s="96"/>
      <c r="Z14" s="58">
        <f>Water!H19</f>
        <v>100</v>
      </c>
    </row>
    <row r="15" spans="1:33">
      <c r="B15" s="96" t="str">
        <f>CONCATENATE("Water, fresh, lake; ",Z15," ppmTDS")</f>
        <v>Water, fresh, lake; 200 ppmTDS</v>
      </c>
      <c r="C15" s="96" t="s">
        <v>164</v>
      </c>
      <c r="D15" s="96" t="s">
        <v>164</v>
      </c>
      <c r="E15" s="96" t="s">
        <v>33</v>
      </c>
      <c r="F15" s="96" t="s">
        <v>166</v>
      </c>
      <c r="G15" s="96" t="s">
        <v>167</v>
      </c>
      <c r="H15" s="96" t="s">
        <v>911</v>
      </c>
      <c r="I15" s="97" t="s">
        <v>53</v>
      </c>
      <c r="J15" s="96"/>
      <c r="K15" s="96"/>
      <c r="L15" s="98">
        <f>1000000*Water!M16</f>
        <v>2242870091790.8394</v>
      </c>
      <c r="M15" s="96">
        <f>Water!G16</f>
        <v>17</v>
      </c>
      <c r="N15" s="308" t="s">
        <v>36</v>
      </c>
      <c r="O15" s="98">
        <f t="shared" si="3"/>
        <v>2242870091790.8394</v>
      </c>
      <c r="P15" s="98" t="str">
        <f t="shared" si="4"/>
        <v/>
      </c>
      <c r="Q15" s="96"/>
      <c r="R15" s="96"/>
      <c r="S15" s="96"/>
      <c r="T15" s="96"/>
      <c r="U15" s="96"/>
      <c r="V15" s="96"/>
      <c r="W15" s="96"/>
      <c r="X15" s="98">
        <f t="shared" si="5"/>
        <v>2242870091790.8394</v>
      </c>
      <c r="Y15" s="96" t="s">
        <v>424</v>
      </c>
      <c r="Z15" s="58">
        <f>Water!H16</f>
        <v>200</v>
      </c>
    </row>
    <row r="16" spans="1:33" ht="14.25" customHeight="1">
      <c r="B16" s="96" t="str">
        <f>CONCATENATE("Water, fresh, wetland; ",Z16," ppmTDS")</f>
        <v>Water, fresh, wetland; 50 ppmTDS</v>
      </c>
      <c r="C16" s="96" t="s">
        <v>164</v>
      </c>
      <c r="D16" s="96" t="s">
        <v>164</v>
      </c>
      <c r="E16" s="96" t="s">
        <v>33</v>
      </c>
      <c r="F16" s="96" t="s">
        <v>166</v>
      </c>
      <c r="G16" s="96" t="s">
        <v>167</v>
      </c>
      <c r="H16" s="96" t="s">
        <v>911</v>
      </c>
      <c r="I16" s="97" t="s">
        <v>53</v>
      </c>
      <c r="J16" s="96"/>
      <c r="K16" s="96"/>
      <c r="L16" s="98">
        <f>1000000*Water!M18</f>
        <v>5219978986009.3711</v>
      </c>
      <c r="M16" s="96">
        <f>Water!H18</f>
        <v>50</v>
      </c>
      <c r="N16" s="308" t="s">
        <v>36</v>
      </c>
      <c r="O16" s="98">
        <f t="shared" si="3"/>
        <v>5219978986009.3711</v>
      </c>
      <c r="P16" s="98" t="str">
        <f t="shared" si="4"/>
        <v/>
      </c>
      <c r="Q16" s="96"/>
      <c r="R16" s="96"/>
      <c r="S16" s="96"/>
      <c r="T16" s="96"/>
      <c r="U16" s="96"/>
      <c r="V16" s="96"/>
      <c r="W16" s="96"/>
      <c r="X16" s="98">
        <f t="shared" si="5"/>
        <v>5219978986009.3711</v>
      </c>
      <c r="Y16" s="96"/>
      <c r="Z16" s="58">
        <f>Water!H18</f>
        <v>50</v>
      </c>
    </row>
    <row r="17" spans="1:27">
      <c r="B17" s="96" t="str">
        <f>CONCATENATE("Water, fresh, surface; ",Z17," ppmTDS")</f>
        <v>Water, fresh, surface; 100 ppmTDS</v>
      </c>
      <c r="C17" s="96" t="s">
        <v>164</v>
      </c>
      <c r="D17" s="96" t="s">
        <v>164</v>
      </c>
      <c r="E17" s="96" t="s">
        <v>33</v>
      </c>
      <c r="F17" s="96" t="s">
        <v>166</v>
      </c>
      <c r="G17" s="96" t="s">
        <v>167</v>
      </c>
      <c r="H17" s="96" t="s">
        <v>911</v>
      </c>
      <c r="I17" s="97" t="s">
        <v>53</v>
      </c>
      <c r="J17" s="96"/>
      <c r="K17" s="96"/>
      <c r="L17" s="98">
        <f>1000000*AVERAGE(Water!M16,Water!M19)</f>
        <v>1284237071533.231</v>
      </c>
      <c r="M17" s="628">
        <f>SUM(Water!D16*Water!G16,Water!D18*Water!G18,Water!D19*Water!G19)/SUM(Water!D16,Water!D18,Water!D19)</f>
        <v>15.337620809759541</v>
      </c>
      <c r="N17" s="308" t="s">
        <v>36</v>
      </c>
      <c r="O17" s="98">
        <f t="shared" si="3"/>
        <v>1284237071533.231</v>
      </c>
      <c r="P17" s="98" t="str">
        <f t="shared" si="4"/>
        <v/>
      </c>
      <c r="Q17" s="96"/>
      <c r="R17" s="96"/>
      <c r="S17" s="96"/>
      <c r="T17" s="96"/>
      <c r="U17" s="96"/>
      <c r="V17" s="96"/>
      <c r="W17" s="96"/>
      <c r="X17" s="98">
        <f t="shared" si="5"/>
        <v>1284237071533.231</v>
      </c>
      <c r="Y17" s="96" t="s">
        <v>427</v>
      </c>
      <c r="Z17" s="58">
        <f>Water!H19</f>
        <v>100</v>
      </c>
    </row>
    <row r="18" spans="1:27">
      <c r="B18" s="96" t="str">
        <f>CONCATENATE("Water, fresh, ground; ",Z18," ppmTDS")</f>
        <v>Water, fresh, ground; 335 ppmTDS</v>
      </c>
      <c r="C18" s="96" t="s">
        <v>164</v>
      </c>
      <c r="D18" s="96" t="s">
        <v>164</v>
      </c>
      <c r="E18" s="96" t="s">
        <v>33</v>
      </c>
      <c r="F18" s="96" t="s">
        <v>166</v>
      </c>
      <c r="G18" s="96" t="s">
        <v>167</v>
      </c>
      <c r="H18" s="96" t="s">
        <v>911</v>
      </c>
      <c r="I18" s="97" t="s">
        <v>53</v>
      </c>
      <c r="J18" s="96"/>
      <c r="K18" s="96"/>
      <c r="L18" s="98">
        <f>1000000*Water!M7</f>
        <v>1457068516912.4023</v>
      </c>
      <c r="M18" s="96">
        <f>Water!G6</f>
        <v>1400</v>
      </c>
      <c r="N18" s="308" t="s">
        <v>36</v>
      </c>
      <c r="O18" s="98" t="str">
        <f t="shared" si="3"/>
        <v/>
      </c>
      <c r="P18" s="98">
        <f t="shared" si="4"/>
        <v>1457068516912.4023</v>
      </c>
      <c r="Q18" s="96"/>
      <c r="R18" s="96"/>
      <c r="S18" s="96"/>
      <c r="T18" s="96"/>
      <c r="U18" s="96"/>
      <c r="V18" s="96"/>
      <c r="W18" s="96"/>
      <c r="X18" s="98">
        <f t="shared" si="5"/>
        <v>1457068516912.4023</v>
      </c>
      <c r="Y18" s="96" t="s">
        <v>425</v>
      </c>
      <c r="Z18" s="58">
        <f>Water!H7</f>
        <v>335</v>
      </c>
    </row>
    <row r="19" spans="1:27">
      <c r="B19" s="96" t="str">
        <f>CONCATENATE("Water, fresh, polar ice; ",Z19," ppmTDS")</f>
        <v>Water, fresh, polar ice; 10 ppmTDS</v>
      </c>
      <c r="C19" s="96" t="s">
        <v>164</v>
      </c>
      <c r="D19" s="96" t="s">
        <v>164</v>
      </c>
      <c r="E19" s="96" t="s">
        <v>33</v>
      </c>
      <c r="F19" s="96" t="s">
        <v>166</v>
      </c>
      <c r="G19" s="96" t="s">
        <v>167</v>
      </c>
      <c r="H19" s="96" t="s">
        <v>911</v>
      </c>
      <c r="I19" s="97" t="s">
        <v>53</v>
      </c>
      <c r="J19" s="96"/>
      <c r="K19" s="96"/>
      <c r="L19" s="98">
        <f>1000000*Water!M9</f>
        <v>4830306309172.8789</v>
      </c>
      <c r="M19" s="629">
        <f>Water!G9</f>
        <v>9686.3742519946809</v>
      </c>
      <c r="N19" s="308" t="s">
        <v>36</v>
      </c>
      <c r="O19" s="98" t="str">
        <f t="shared" si="3"/>
        <v/>
      </c>
      <c r="P19" s="98">
        <f t="shared" si="4"/>
        <v>4830306309172.8789</v>
      </c>
      <c r="Q19" s="96"/>
      <c r="R19" s="96"/>
      <c r="S19" s="96"/>
      <c r="T19" s="96"/>
      <c r="U19" s="96"/>
      <c r="V19" s="96"/>
      <c r="W19" s="96"/>
      <c r="X19" s="98">
        <f t="shared" si="5"/>
        <v>4830306309172.8789</v>
      </c>
      <c r="Y19" s="96"/>
      <c r="Z19" s="58">
        <f>Water!H9</f>
        <v>10</v>
      </c>
    </row>
    <row r="20" spans="1:27">
      <c r="B20" s="96" t="str">
        <f>CONCATENATE("Water, terrestrial rain; ",Z20," ppmTDS")</f>
        <v>Water, terrestrial rain; 10 ppmTDS</v>
      </c>
      <c r="C20" s="96" t="s">
        <v>164</v>
      </c>
      <c r="D20" s="96" t="s">
        <v>164</v>
      </c>
      <c r="E20" s="96" t="s">
        <v>33</v>
      </c>
      <c r="F20" s="96" t="s">
        <v>166</v>
      </c>
      <c r="G20" s="96" t="s">
        <v>167</v>
      </c>
      <c r="H20" s="96" t="s">
        <v>912</v>
      </c>
      <c r="I20" s="97" t="s">
        <v>53</v>
      </c>
      <c r="J20" s="96"/>
      <c r="K20" s="96"/>
      <c r="L20" s="98">
        <f>1000000*Water!M21</f>
        <v>106194690265.48672</v>
      </c>
      <c r="M20" s="96">
        <f>Water!G21</f>
        <v>1</v>
      </c>
      <c r="N20" s="308" t="s">
        <v>36</v>
      </c>
      <c r="O20" s="98">
        <f t="shared" si="3"/>
        <v>106194690265.48672</v>
      </c>
      <c r="P20" s="98" t="str">
        <f t="shared" si="4"/>
        <v/>
      </c>
      <c r="Q20" s="96"/>
      <c r="R20" s="96"/>
      <c r="S20" s="96"/>
      <c r="T20" s="96"/>
      <c r="U20" s="96"/>
      <c r="V20" s="96"/>
      <c r="W20" s="96"/>
      <c r="X20" s="98">
        <f t="shared" si="5"/>
        <v>106194690265.48672</v>
      </c>
      <c r="Y20" s="96"/>
      <c r="Z20" s="58">
        <f>Water!H21</f>
        <v>10</v>
      </c>
    </row>
    <row r="21" spans="1:27">
      <c r="B21" s="96" t="str">
        <f>CONCATENATE("Water, atmospheric vapor; ",Z21," ppmTDS")</f>
        <v>Water, atmospheric vapor; 10 ppmTDS</v>
      </c>
      <c r="C21" s="96" t="s">
        <v>164</v>
      </c>
      <c r="D21" s="96" t="s">
        <v>164</v>
      </c>
      <c r="E21" s="96" t="s">
        <v>33</v>
      </c>
      <c r="F21" s="96" t="s">
        <v>166</v>
      </c>
      <c r="G21" s="96" t="s">
        <v>167</v>
      </c>
      <c r="H21" s="96" t="s">
        <v>911</v>
      </c>
      <c r="I21" s="97" t="s">
        <v>53</v>
      </c>
      <c r="J21" s="96"/>
      <c r="K21" s="96"/>
      <c r="L21" s="98">
        <f>Water!M25*1000000</f>
        <v>19541537216.70496</v>
      </c>
      <c r="M21" s="100">
        <f>Water!G25</f>
        <v>2.190280629705681E-2</v>
      </c>
      <c r="N21" s="308" t="s">
        <v>36</v>
      </c>
      <c r="O21" s="98">
        <f t="shared" si="3"/>
        <v>19541537216.70496</v>
      </c>
      <c r="P21" s="98" t="str">
        <f t="shared" si="4"/>
        <v/>
      </c>
      <c r="Q21" s="96"/>
      <c r="R21" s="96"/>
      <c r="S21" s="96"/>
      <c r="T21" s="96"/>
      <c r="U21" s="96"/>
      <c r="V21" s="96"/>
      <c r="W21" s="96"/>
      <c r="X21" s="98">
        <f t="shared" si="5"/>
        <v>19541537216.70496</v>
      </c>
      <c r="Y21" s="96"/>
      <c r="Z21" s="58">
        <f>Water!H25</f>
        <v>10</v>
      </c>
    </row>
    <row r="22" spans="1:27">
      <c r="B22" s="96" t="s">
        <v>983</v>
      </c>
      <c r="C22" s="96" t="s">
        <v>164</v>
      </c>
      <c r="D22" s="96" t="s">
        <v>164</v>
      </c>
      <c r="E22" s="96" t="s">
        <v>66</v>
      </c>
      <c r="F22" s="96" t="s">
        <v>984</v>
      </c>
      <c r="G22" s="96" t="s">
        <v>985</v>
      </c>
      <c r="H22" s="96" t="s">
        <v>986</v>
      </c>
      <c r="I22" s="97" t="s">
        <v>69</v>
      </c>
      <c r="J22" s="96"/>
      <c r="K22" s="96"/>
      <c r="L22" s="98">
        <f>1000000*runoff_geop_tr</f>
        <v>41180000000</v>
      </c>
      <c r="M22" s="629">
        <f>Water!G23</f>
        <v>1</v>
      </c>
      <c r="N22" s="308" t="s">
        <v>987</v>
      </c>
      <c r="O22" s="98">
        <f t="shared" si="3"/>
        <v>41180000000</v>
      </c>
      <c r="P22" s="98" t="str">
        <f t="shared" si="4"/>
        <v/>
      </c>
      <c r="Q22" s="96"/>
      <c r="R22" s="96"/>
      <c r="S22" s="96"/>
      <c r="T22" s="96"/>
      <c r="U22" s="96"/>
      <c r="V22" s="96"/>
      <c r="W22" s="96"/>
      <c r="X22" s="98">
        <f t="shared" si="5"/>
        <v>41180000000</v>
      </c>
      <c r="Y22" s="96" t="s">
        <v>988</v>
      </c>
      <c r="Z22" s="58"/>
    </row>
    <row r="23" spans="1:27" ht="26.25" customHeight="1">
      <c r="B23" s="262" t="s">
        <v>1246</v>
      </c>
      <c r="M23" s="15"/>
      <c r="O23" s="3"/>
      <c r="P23" s="3"/>
      <c r="X23" s="3"/>
      <c r="Z23" s="631" t="s">
        <v>1755</v>
      </c>
      <c r="AA23" s="88" t="s">
        <v>1756</v>
      </c>
    </row>
    <row r="24" spans="1:27">
      <c r="A24">
        <v>2001</v>
      </c>
      <c r="B24" s="101" t="str">
        <f>CONCATENATE("Aluminum, element mass ratio in Bauxite minerals; {", J24, "}; ", AA24," g/g in ground")</f>
        <v>Aluminum, element mass ratio in Bauxite minerals; {Al(OH)3, AlO(OH), and AlO(OH)}; 0.11 g/g in ground</v>
      </c>
      <c r="C24" s="101" t="s">
        <v>84</v>
      </c>
      <c r="D24" s="101" t="s">
        <v>73</v>
      </c>
      <c r="E24" s="101" t="s">
        <v>33</v>
      </c>
      <c r="F24" s="101" t="s">
        <v>85</v>
      </c>
      <c r="G24" s="101" t="s">
        <v>75</v>
      </c>
      <c r="H24" s="101"/>
      <c r="I24" s="102" t="s">
        <v>279</v>
      </c>
      <c r="J24" s="101" t="s">
        <v>423</v>
      </c>
      <c r="K24" s="101" t="s">
        <v>1773</v>
      </c>
      <c r="L24" s="103">
        <f>IF(K24="mineral",(IFERROR(VLOOKUP($A24,'Singular Minerals'!$B$12:$U$500,19,FALSE),IFERROR(VLOOKUP($A24,'Multiple Minerals'!$B$26:$U$309,19,FALSE),VLOOKUP($A24,'Aggregate Minerals'!$B$19:$N$300,13,FALSE)))),(IFERROR(VLOOKUP($A24,'Singular Minerals'!$B$12:$U$500,20,FALSE),IFERROR(VLOOKUP($A24,'Multiple Minerals'!$B$26:$U$309,20,FALSE),VLOOKUP($A24,'Aggregate Minerals'!$B$19:$N$300,13,FALSE)))))</f>
        <v>11154517413.469582</v>
      </c>
      <c r="M24" s="103">
        <v>2500000000</v>
      </c>
      <c r="N24" s="310"/>
      <c r="O24" s="103" t="str">
        <f t="shared" ref="O24:O55" si="6">IF(M24&lt;=renewable_cutoff,L24,"")</f>
        <v/>
      </c>
      <c r="P24" s="103">
        <f t="shared" ref="P24:P55" si="7">IF(M24&gt;renewable_cutoff,L24,"")</f>
        <v>11154517413.469582</v>
      </c>
      <c r="Q24" s="101"/>
      <c r="R24" s="101"/>
      <c r="S24" s="101"/>
      <c r="T24" s="101"/>
      <c r="U24" s="101"/>
      <c r="V24" s="103">
        <f t="shared" ref="V24:V55" si="8">L24</f>
        <v>11154517413.469582</v>
      </c>
      <c r="W24" s="101"/>
      <c r="X24" s="101"/>
      <c r="Y24" s="101" t="s">
        <v>173</v>
      </c>
      <c r="Z24" s="55"/>
      <c r="AA24" s="55">
        <v>0.11</v>
      </c>
    </row>
    <row r="25" spans="1:27">
      <c r="A25">
        <v>1015</v>
      </c>
      <c r="B25" s="101" t="str">
        <f>CONCATENATE("Anhydrite; {", J25, "}; ", Z25," g/g in ground")</f>
        <v>Anhydrite; {CaSO4}; 0.7445 g/g in ground</v>
      </c>
      <c r="C25" s="101" t="s">
        <v>84</v>
      </c>
      <c r="D25" s="101" t="s">
        <v>73</v>
      </c>
      <c r="E25" s="101" t="s">
        <v>33</v>
      </c>
      <c r="F25" s="101" t="s">
        <v>85</v>
      </c>
      <c r="G25" s="101" t="s">
        <v>75</v>
      </c>
      <c r="H25" s="101"/>
      <c r="I25" s="102" t="s">
        <v>279</v>
      </c>
      <c r="J25" s="101" t="s">
        <v>87</v>
      </c>
      <c r="K25" s="101" t="s">
        <v>1773</v>
      </c>
      <c r="L25" s="103">
        <f>IF(K25="mineral",(IFERROR(VLOOKUP($A25,'Singular Minerals'!$B$12:$U$500,19,FALSE),IFERROR(VLOOKUP($A25,'Multiple Minerals'!$B$26:$U$309,19,FALSE),VLOOKUP($A25,'Aggregate Minerals'!$B$19:$N$300,13,FALSE)))),(IFERROR(VLOOKUP($A25,'Singular Minerals'!$B$12:$U$500,20,FALSE),IFERROR(VLOOKUP($A25,'Multiple Minerals'!$B$26:$U$309,20,FALSE),VLOOKUP($A25,'Aggregate Minerals'!$B$19:$N$300,13,FALSE)))))</f>
        <v>8106152969.0631437</v>
      </c>
      <c r="M25" s="103">
        <v>2500000000</v>
      </c>
      <c r="N25" s="310"/>
      <c r="O25" s="103" t="str">
        <f t="shared" si="6"/>
        <v/>
      </c>
      <c r="P25" s="103">
        <f t="shared" si="7"/>
        <v>8106152969.0631437</v>
      </c>
      <c r="Q25" s="101"/>
      <c r="R25" s="101"/>
      <c r="S25" s="101"/>
      <c r="T25" s="101"/>
      <c r="U25" s="101"/>
      <c r="V25" s="103">
        <f t="shared" si="8"/>
        <v>8106152969.0631437</v>
      </c>
      <c r="W25" s="101"/>
      <c r="X25" s="101"/>
      <c r="Y25" s="101" t="s">
        <v>1240</v>
      </c>
      <c r="Z25" s="55">
        <f>AVERAGE(0.669,0.82)</f>
        <v>0.74449999999999994</v>
      </c>
      <c r="AA25" s="630"/>
    </row>
    <row r="26" spans="1:27">
      <c r="A26">
        <v>1270</v>
      </c>
      <c r="B26" s="101" t="str">
        <f>CONCATENATE("Antimony; {", J26, "}; ", Z26," g/g in ground")</f>
        <v>Antimony; {Sb2S3}; 0.35 g/g in ground</v>
      </c>
      <c r="C26" s="101" t="s">
        <v>84</v>
      </c>
      <c r="D26" s="101" t="s">
        <v>73</v>
      </c>
      <c r="E26" s="101" t="s">
        <v>33</v>
      </c>
      <c r="F26" s="101" t="s">
        <v>85</v>
      </c>
      <c r="G26" s="101" t="s">
        <v>75</v>
      </c>
      <c r="H26" s="101"/>
      <c r="I26" s="102" t="s">
        <v>279</v>
      </c>
      <c r="J26" s="101" t="s">
        <v>138</v>
      </c>
      <c r="K26" s="101" t="s">
        <v>1772</v>
      </c>
      <c r="L26" s="103">
        <f>IF(K26="mineral",(IFERROR(VLOOKUP($A26,'Singular Minerals'!$B$12:$U$500,19,FALSE),IFERROR(VLOOKUP($A26,'Multiple Minerals'!$B$26:$U$309,19,FALSE),VLOOKUP($A26,'Aggregate Minerals'!$B$19:$N$300,13,FALSE)))),(IFERROR(VLOOKUP($A26,'Singular Minerals'!$B$12:$U$500,20,FALSE),IFERROR(VLOOKUP($A26,'Multiple Minerals'!$B$26:$U$309,20,FALSE),VLOOKUP($A26,'Aggregate Minerals'!$B$19:$N$300,13,FALSE)))))</f>
        <v>8089969016.1349897</v>
      </c>
      <c r="M26" s="103">
        <v>2500000000</v>
      </c>
      <c r="N26" s="310"/>
      <c r="O26" s="103" t="str">
        <f t="shared" si="6"/>
        <v/>
      </c>
      <c r="P26" s="103">
        <f t="shared" si="7"/>
        <v>8089969016.1349897</v>
      </c>
      <c r="Q26" s="101"/>
      <c r="R26" s="101"/>
      <c r="S26" s="101"/>
      <c r="T26" s="101"/>
      <c r="U26" s="101"/>
      <c r="V26" s="103">
        <f t="shared" si="8"/>
        <v>8089969016.1349897</v>
      </c>
      <c r="W26" s="101"/>
      <c r="X26" s="101"/>
      <c r="Y26" s="101" t="s">
        <v>1220</v>
      </c>
      <c r="Z26" s="55">
        <v>0.35</v>
      </c>
      <c r="AA26" s="630"/>
    </row>
    <row r="27" spans="1:27">
      <c r="A27">
        <v>1032</v>
      </c>
      <c r="B27" s="101" t="str">
        <f>CONCATENATE("Barite; {", J27, "}; ", Z27," g/g in ground")</f>
        <v>Barite; {BaSO4}; 0.15 g/g in ground</v>
      </c>
      <c r="C27" s="101" t="s">
        <v>84</v>
      </c>
      <c r="D27" s="101" t="s">
        <v>73</v>
      </c>
      <c r="E27" s="101" t="s">
        <v>33</v>
      </c>
      <c r="F27" s="101" t="s">
        <v>85</v>
      </c>
      <c r="G27" s="101" t="s">
        <v>75</v>
      </c>
      <c r="H27" s="101"/>
      <c r="I27" s="102" t="s">
        <v>279</v>
      </c>
      <c r="J27" s="101" t="s">
        <v>88</v>
      </c>
      <c r="K27" s="101" t="s">
        <v>1773</v>
      </c>
      <c r="L27" s="103">
        <f>IF(K27="mineral",(IFERROR(VLOOKUP($A27,'Singular Minerals'!$B$12:$U$500,19,FALSE),IFERROR(VLOOKUP($A27,'Multiple Minerals'!$B$26:$U$309,19,FALSE),VLOOKUP($A27,'Aggregate Minerals'!$B$19:$N$300,13,FALSE)))),(IFERROR(VLOOKUP($A27,'Singular Minerals'!$B$12:$U$500,20,FALSE),IFERROR(VLOOKUP($A27,'Multiple Minerals'!$B$26:$U$309,20,FALSE),VLOOKUP($A27,'Aggregate Minerals'!$B$19:$N$300,13,FALSE)))))</f>
        <v>3141371127.9107647</v>
      </c>
      <c r="M27" s="103">
        <v>2500000000</v>
      </c>
      <c r="N27" s="310"/>
      <c r="O27" s="103" t="str">
        <f t="shared" si="6"/>
        <v/>
      </c>
      <c r="P27" s="103">
        <f t="shared" si="7"/>
        <v>3141371127.9107647</v>
      </c>
      <c r="Q27" s="101"/>
      <c r="R27" s="101"/>
      <c r="S27" s="101"/>
      <c r="T27" s="101"/>
      <c r="U27" s="101"/>
      <c r="V27" s="103">
        <f t="shared" si="8"/>
        <v>3141371127.9107647</v>
      </c>
      <c r="W27" s="101"/>
      <c r="X27" s="101"/>
      <c r="Y27" s="101"/>
      <c r="Z27" s="55">
        <v>0.15</v>
      </c>
      <c r="AA27" s="630"/>
    </row>
    <row r="28" spans="1:27">
      <c r="A28">
        <v>2001</v>
      </c>
      <c r="B28" s="101" t="str">
        <f>CONCATENATE("Bauxite; {", J28, "}; ", AA28," g/g in ground")</f>
        <v>Bauxite; {Al(OH)3, AlO(OH), and AlO(OH)}; 0.11 g/g in ground</v>
      </c>
      <c r="C28" s="101" t="s">
        <v>84</v>
      </c>
      <c r="D28" s="101" t="s">
        <v>73</v>
      </c>
      <c r="E28" s="101" t="s">
        <v>33</v>
      </c>
      <c r="F28" s="101" t="s">
        <v>85</v>
      </c>
      <c r="G28" s="101" t="s">
        <v>75</v>
      </c>
      <c r="H28" s="101"/>
      <c r="I28" s="102" t="s">
        <v>279</v>
      </c>
      <c r="J28" s="101" t="s">
        <v>423</v>
      </c>
      <c r="K28" s="101" t="s">
        <v>1773</v>
      </c>
      <c r="L28" s="103">
        <f>IF(K28="mineral",(IFERROR(VLOOKUP($A28,'Singular Minerals'!$B$12:$U$500,19,FALSE),IFERROR(VLOOKUP($A28,'Multiple Minerals'!$B$26:$U$309,19,FALSE),VLOOKUP($A28,'Aggregate Minerals'!$B$19:$N$300,13,FALSE)))),(IFERROR(VLOOKUP($A28,'Singular Minerals'!$B$12:$U$500,20,FALSE),IFERROR(VLOOKUP($A28,'Multiple Minerals'!$B$26:$U$309,20,FALSE),VLOOKUP($A28,'Aggregate Minerals'!$B$19:$N$300,13,FALSE)))))</f>
        <v>11154517413.469582</v>
      </c>
      <c r="M28" s="103">
        <v>2500000000</v>
      </c>
      <c r="N28" s="310"/>
      <c r="O28" s="103" t="str">
        <f t="shared" si="6"/>
        <v/>
      </c>
      <c r="P28" s="103">
        <f t="shared" si="7"/>
        <v>11154517413.469582</v>
      </c>
      <c r="Q28" s="101"/>
      <c r="R28" s="101"/>
      <c r="S28" s="101"/>
      <c r="T28" s="101"/>
      <c r="U28" s="101"/>
      <c r="V28" s="103">
        <f t="shared" si="8"/>
        <v>11154517413.469582</v>
      </c>
      <c r="W28" s="101"/>
      <c r="X28" s="101"/>
      <c r="Y28" s="101" t="s">
        <v>1166</v>
      </c>
      <c r="Z28" s="55"/>
      <c r="AA28" s="55">
        <v>0.11</v>
      </c>
    </row>
    <row r="29" spans="1:27">
      <c r="A29">
        <v>1162</v>
      </c>
      <c r="B29" s="101" t="str">
        <f>CONCATENATE("Borax (Kernite); {", J29, "}; ", Z29," g/g in ground")</f>
        <v>Borax (Kernite); {Na2O2B2O34H2O}; 0.25 g/g in ground</v>
      </c>
      <c r="C29" s="101" t="s">
        <v>84</v>
      </c>
      <c r="D29" s="101" t="s">
        <v>73</v>
      </c>
      <c r="E29" s="101" t="s">
        <v>33</v>
      </c>
      <c r="F29" s="101" t="s">
        <v>85</v>
      </c>
      <c r="G29" s="101" t="s">
        <v>75</v>
      </c>
      <c r="H29" s="101"/>
      <c r="I29" s="102" t="s">
        <v>279</v>
      </c>
      <c r="J29" s="101" t="s">
        <v>356</v>
      </c>
      <c r="K29" s="101" t="s">
        <v>1773</v>
      </c>
      <c r="L29" s="103">
        <f>IF(K29="mineral",(IFERROR(VLOOKUP($A29,'Singular Minerals'!$B$12:$U$500,19,FALSE),IFERROR(VLOOKUP($A29,'Multiple Minerals'!$B$26:$U$309,19,FALSE),VLOOKUP($A29,'Aggregate Minerals'!$B$19:$N$300,13,FALSE)))),(IFERROR(VLOOKUP($A29,'Singular Minerals'!$B$12:$U$500,20,FALSE),IFERROR(VLOOKUP($A29,'Multiple Minerals'!$B$26:$U$309,20,FALSE),VLOOKUP($A29,'Aggregate Minerals'!$B$19:$N$300,13,FALSE)))))</f>
        <v>6607106595.7854948</v>
      </c>
      <c r="M29" s="103">
        <v>2500000000</v>
      </c>
      <c r="N29" s="310"/>
      <c r="O29" s="103" t="str">
        <f t="shared" si="6"/>
        <v/>
      </c>
      <c r="P29" s="103">
        <f t="shared" si="7"/>
        <v>6607106595.7854948</v>
      </c>
      <c r="Q29" s="101"/>
      <c r="R29" s="101"/>
      <c r="S29" s="101"/>
      <c r="T29" s="101"/>
      <c r="U29" s="101"/>
      <c r="V29" s="103">
        <f t="shared" si="8"/>
        <v>6607106595.7854948</v>
      </c>
      <c r="W29" s="101"/>
      <c r="X29" s="101"/>
      <c r="Y29" s="101" t="s">
        <v>1241</v>
      </c>
      <c r="Z29" s="55">
        <v>0.25</v>
      </c>
      <c r="AA29" s="630"/>
    </row>
    <row r="30" spans="1:27">
      <c r="A30">
        <v>1136</v>
      </c>
      <c r="B30" s="101" t="str">
        <f>CONCATENATE("Cadmium in Greenockite; {", J30, "}; ", Z30," g/g in ground")</f>
        <v>Cadmium in Greenockite; {CdS}; 0.0018 g/g in ground</v>
      </c>
      <c r="C30" s="101" t="s">
        <v>84</v>
      </c>
      <c r="D30" s="101" t="s">
        <v>73</v>
      </c>
      <c r="E30" s="101" t="s">
        <v>33</v>
      </c>
      <c r="F30" s="101" t="s">
        <v>85</v>
      </c>
      <c r="G30" s="101" t="s">
        <v>75</v>
      </c>
      <c r="H30" s="101"/>
      <c r="I30" s="102" t="s">
        <v>279</v>
      </c>
      <c r="J30" s="101" t="s">
        <v>340</v>
      </c>
      <c r="K30" s="101" t="s">
        <v>1772</v>
      </c>
      <c r="L30" s="103">
        <f>IF(K30="mineral",(IFERROR(VLOOKUP($A30,'Singular Minerals'!$B$12:$U$500,19,FALSE),IFERROR(VLOOKUP($A30,'Multiple Minerals'!$B$26:$U$309,19,FALSE),VLOOKUP($A30,'Aggregate Minerals'!$B$19:$N$300,13,FALSE)))),(IFERROR(VLOOKUP($A30,'Singular Minerals'!$B$12:$U$500,20,FALSE),IFERROR(VLOOKUP($A30,'Multiple Minerals'!$B$26:$U$309,20,FALSE),VLOOKUP($A30,'Aggregate Minerals'!$B$19:$N$300,13,FALSE)))))</f>
        <v>12064152593.92285</v>
      </c>
      <c r="M30" s="103">
        <v>2500000000</v>
      </c>
      <c r="N30" s="310"/>
      <c r="O30" s="103" t="str">
        <f t="shared" si="6"/>
        <v/>
      </c>
      <c r="P30" s="103">
        <f t="shared" si="7"/>
        <v>12064152593.92285</v>
      </c>
      <c r="Q30" s="101"/>
      <c r="R30" s="101"/>
      <c r="S30" s="101"/>
      <c r="T30" s="101"/>
      <c r="U30" s="101"/>
      <c r="V30" s="103">
        <f t="shared" si="8"/>
        <v>12064152593.92285</v>
      </c>
      <c r="W30" s="101"/>
      <c r="X30" s="101"/>
      <c r="Y30" s="101" t="s">
        <v>421</v>
      </c>
      <c r="Z30" s="84">
        <v>1.8E-3</v>
      </c>
      <c r="AA30" s="630"/>
    </row>
    <row r="31" spans="1:27">
      <c r="A31">
        <v>2009</v>
      </c>
      <c r="B31" s="101" t="str">
        <f>CONCATENATE("Cerium; {", J31, "}; ", Z31," g/g in ground")</f>
        <v>Cerium; {Ca(Ce0.4Ca0.2Y0.133)(Al2Fe3+)Si3O12(OH), Ce0.5La0.25Nd0.2Th0.05(PO4), La(CO3)F, and Ce0.75La0.25(PO4)H2O}; 0.1 g/g in ground</v>
      </c>
      <c r="C31" s="101" t="s">
        <v>84</v>
      </c>
      <c r="D31" s="101" t="s">
        <v>73</v>
      </c>
      <c r="E31" s="101" t="s">
        <v>33</v>
      </c>
      <c r="F31" s="101" t="s">
        <v>85</v>
      </c>
      <c r="G31" s="101" t="s">
        <v>75</v>
      </c>
      <c r="H31" s="101"/>
      <c r="I31" s="102" t="s">
        <v>279</v>
      </c>
      <c r="J31" s="101" t="str">
        <f>CONCATENATE('Multiple Minerals'!D126,", ",'Multiple Minerals'!D127, ", ",'Multiple Minerals'!D128,", and ",'Multiple Minerals'!D129)</f>
        <v>Ca(Ce0.4Ca0.2Y0.133)(Al2Fe3+)Si3O12(OH), Ce0.5La0.25Nd0.2Th0.05(PO4), La(CO3)F, and Ce0.75La0.25(PO4)H2O</v>
      </c>
      <c r="K31" s="101" t="s">
        <v>1773</v>
      </c>
      <c r="L31" s="103">
        <f>IF(K31="mineral",(IFERROR(VLOOKUP($A31,'Singular Minerals'!$B$12:$U$500,19,FALSE),IFERROR(VLOOKUP($A31,'Multiple Minerals'!$B$26:$U$309,19,FALSE),VLOOKUP($A31,'Aggregate Minerals'!$B$19:$N$300,13,FALSE)))),(IFERROR(VLOOKUP($A31,'Singular Minerals'!$B$12:$U$500,20,FALSE),IFERROR(VLOOKUP($A31,'Multiple Minerals'!$B$26:$U$309,20,FALSE),VLOOKUP($A31,'Aggregate Minerals'!$B$19:$N$300,13,FALSE)))))</f>
        <v>4536488375.3213282</v>
      </c>
      <c r="M31" s="103">
        <v>2500000000</v>
      </c>
      <c r="N31" s="310"/>
      <c r="O31" s="103" t="str">
        <f t="shared" si="6"/>
        <v/>
      </c>
      <c r="P31" s="103">
        <f t="shared" si="7"/>
        <v>4536488375.3213282</v>
      </c>
      <c r="Q31" s="101"/>
      <c r="R31" s="101"/>
      <c r="S31" s="101"/>
      <c r="T31" s="101"/>
      <c r="U31" s="101"/>
      <c r="V31" s="103">
        <f t="shared" si="8"/>
        <v>4536488375.3213282</v>
      </c>
      <c r="W31" s="101"/>
      <c r="X31" s="101"/>
      <c r="Y31" s="101" t="s">
        <v>429</v>
      </c>
      <c r="Z31" s="55">
        <v>0.1</v>
      </c>
      <c r="AA31" s="630"/>
    </row>
    <row r="32" spans="1:27">
      <c r="A32">
        <v>1071</v>
      </c>
      <c r="B32" s="101" t="str">
        <f>CONCATENATE("Chromium in Chromite; {", J32, "}; ", AA32," g/g in ground")</f>
        <v>Chromium in Chromite; {Fe2+Cr2O4}; 0.116 g/g in ground</v>
      </c>
      <c r="C32" s="101" t="s">
        <v>84</v>
      </c>
      <c r="D32" s="101" t="s">
        <v>73</v>
      </c>
      <c r="E32" s="101" t="s">
        <v>33</v>
      </c>
      <c r="F32" s="101" t="s">
        <v>85</v>
      </c>
      <c r="G32" s="101" t="s">
        <v>75</v>
      </c>
      <c r="H32" s="101"/>
      <c r="I32" s="102" t="s">
        <v>279</v>
      </c>
      <c r="J32" s="101" t="s">
        <v>352</v>
      </c>
      <c r="K32" s="101" t="s">
        <v>1772</v>
      </c>
      <c r="L32" s="103">
        <f>IF(K32="mineral",(IFERROR(VLOOKUP($A32,'Singular Minerals'!$B$12:$U$500,19,FALSE),IFERROR(VLOOKUP($A32,'Multiple Minerals'!$B$26:$U$309,19,FALSE),VLOOKUP($A32,'Aggregate Minerals'!$B$19:$N$300,13,FALSE)))),(IFERROR(VLOOKUP($A32,'Singular Minerals'!$B$12:$U$500,20,FALSE),IFERROR(VLOOKUP($A32,'Multiple Minerals'!$B$26:$U$309,20,FALSE),VLOOKUP($A32,'Aggregate Minerals'!$B$19:$N$300,13,FALSE)))))</f>
        <v>9394621509.2747822</v>
      </c>
      <c r="M32" s="103">
        <v>2500000000</v>
      </c>
      <c r="N32" s="310"/>
      <c r="O32" s="103" t="str">
        <f t="shared" si="6"/>
        <v/>
      </c>
      <c r="P32" s="103">
        <f t="shared" si="7"/>
        <v>9394621509.2747822</v>
      </c>
      <c r="Q32" s="101"/>
      <c r="R32" s="101"/>
      <c r="S32" s="101"/>
      <c r="T32" s="101"/>
      <c r="U32" s="101"/>
      <c r="V32" s="103">
        <f t="shared" si="8"/>
        <v>9394621509.2747822</v>
      </c>
      <c r="W32" s="101"/>
      <c r="X32" s="101"/>
      <c r="Y32" s="101" t="s">
        <v>430</v>
      </c>
      <c r="Z32" s="55"/>
      <c r="AA32" s="85">
        <v>0.11600000000000001</v>
      </c>
    </row>
    <row r="33" spans="1:27">
      <c r="A33">
        <v>1262</v>
      </c>
      <c r="B33" s="101" t="str">
        <f>CONCATENATE("Sodalite, Chrysotile; {", J33, "}; ", Z33," g/g in ground")</f>
        <v>Sodalite, Chrysotile; {Mg3Si2O5(OH)4}; 0.1 g/g in ground</v>
      </c>
      <c r="C33" s="101" t="s">
        <v>84</v>
      </c>
      <c r="D33" s="101" t="s">
        <v>73</v>
      </c>
      <c r="E33" s="101" t="s">
        <v>33</v>
      </c>
      <c r="F33" s="101" t="s">
        <v>85</v>
      </c>
      <c r="G33" s="101" t="s">
        <v>75</v>
      </c>
      <c r="H33" s="101"/>
      <c r="I33" s="102" t="s">
        <v>279</v>
      </c>
      <c r="J33" s="101" t="s">
        <v>93</v>
      </c>
      <c r="K33" s="101" t="s">
        <v>1773</v>
      </c>
      <c r="L33" s="103">
        <f>IF(K33="mineral",(IFERROR(VLOOKUP($A33,'Singular Minerals'!$B$12:$U$500,19,FALSE),IFERROR(VLOOKUP($A33,'Multiple Minerals'!$B$26:$U$309,19,FALSE),VLOOKUP($A33,'Aggregate Minerals'!$B$19:$N$300,13,FALSE)))),(IFERROR(VLOOKUP($A33,'Singular Minerals'!$B$12:$U$500,20,FALSE),IFERROR(VLOOKUP($A33,'Multiple Minerals'!$B$26:$U$309,20,FALSE),VLOOKUP($A33,'Aggregate Minerals'!$B$19:$N$300,13,FALSE)))))</f>
        <v>1855023786.6212623</v>
      </c>
      <c r="M33" s="103">
        <v>2500000000</v>
      </c>
      <c r="N33" s="310"/>
      <c r="O33" s="103" t="str">
        <f t="shared" si="6"/>
        <v/>
      </c>
      <c r="P33" s="103">
        <f t="shared" si="7"/>
        <v>1855023786.6212623</v>
      </c>
      <c r="Q33" s="101"/>
      <c r="R33" s="101"/>
      <c r="S33" s="101"/>
      <c r="T33" s="101"/>
      <c r="U33" s="101"/>
      <c r="V33" s="103">
        <f t="shared" si="8"/>
        <v>1855023786.6212623</v>
      </c>
      <c r="W33" s="101"/>
      <c r="X33" s="101"/>
      <c r="Y33" s="101" t="s">
        <v>1173</v>
      </c>
      <c r="Z33" s="55">
        <v>0.1</v>
      </c>
      <c r="AA33" s="630"/>
    </row>
    <row r="34" spans="1:27">
      <c r="A34">
        <v>1076</v>
      </c>
      <c r="B34" s="101" t="str">
        <f>CONCATENATE("Cinnabar; {", J34, "}; ", Z34," g/g in ground")</f>
        <v>Cinnabar; {HgS}; 0.01 g/g in ground</v>
      </c>
      <c r="C34" s="101" t="s">
        <v>84</v>
      </c>
      <c r="D34" s="101" t="s">
        <v>73</v>
      </c>
      <c r="E34" s="101" t="s">
        <v>33</v>
      </c>
      <c r="F34" s="101" t="s">
        <v>85</v>
      </c>
      <c r="G34" s="101" t="s">
        <v>75</v>
      </c>
      <c r="H34" s="101"/>
      <c r="I34" s="102" t="s">
        <v>279</v>
      </c>
      <c r="J34" s="101" t="s">
        <v>94</v>
      </c>
      <c r="K34" s="101" t="s">
        <v>1772</v>
      </c>
      <c r="L34" s="103">
        <f>IF(K34="mineral",(IFERROR(VLOOKUP($A34,'Singular Minerals'!$B$12:$U$500,19,FALSE),IFERROR(VLOOKUP($A34,'Multiple Minerals'!$B$26:$U$309,19,FALSE),VLOOKUP($A34,'Aggregate Minerals'!$B$19:$N$300,13,FALSE)))),(IFERROR(VLOOKUP($A34,'Singular Minerals'!$B$12:$U$500,20,FALSE),IFERROR(VLOOKUP($A34,'Multiple Minerals'!$B$26:$U$309,20,FALSE),VLOOKUP($A34,'Aggregate Minerals'!$B$19:$N$300,13,FALSE)))))</f>
        <v>8241006041.0331984</v>
      </c>
      <c r="M34" s="103">
        <v>2500000000</v>
      </c>
      <c r="N34" s="310"/>
      <c r="O34" s="103" t="str">
        <f t="shared" si="6"/>
        <v/>
      </c>
      <c r="P34" s="103">
        <f t="shared" si="7"/>
        <v>8241006041.0331984</v>
      </c>
      <c r="Q34" s="101"/>
      <c r="R34" s="101"/>
      <c r="S34" s="101"/>
      <c r="T34" s="101"/>
      <c r="U34" s="101"/>
      <c r="V34" s="103">
        <f t="shared" si="8"/>
        <v>8241006041.0331984</v>
      </c>
      <c r="W34" s="101"/>
      <c r="X34" s="101"/>
      <c r="Y34" s="101" t="s">
        <v>1174</v>
      </c>
      <c r="Z34" s="55">
        <v>0.01</v>
      </c>
      <c r="AA34" s="630"/>
    </row>
    <row r="35" spans="1:27">
      <c r="A35">
        <v>1174</v>
      </c>
      <c r="B35" s="101" t="str">
        <f>CONCATENATE("Cobalt; {", J35, "}; ", Z35," g/g in ground")</f>
        <v>Cobalt; {CoAs2, CoAsS, Co3S4}; 0.002 g/g in ground</v>
      </c>
      <c r="C35" s="101" t="s">
        <v>84</v>
      </c>
      <c r="D35" s="101" t="s">
        <v>73</v>
      </c>
      <c r="E35" s="101" t="s">
        <v>33</v>
      </c>
      <c r="F35" s="101" t="s">
        <v>85</v>
      </c>
      <c r="G35" s="101" t="s">
        <v>75</v>
      </c>
      <c r="H35" s="101"/>
      <c r="I35" s="102" t="s">
        <v>279</v>
      </c>
      <c r="J35" s="101" t="s">
        <v>906</v>
      </c>
      <c r="K35" s="101" t="s">
        <v>1772</v>
      </c>
      <c r="L35" s="103">
        <f>IF(K35="mineral",(IFERROR(VLOOKUP($A35,'Singular Minerals'!$B$12:$U$500,19,FALSE),IFERROR(VLOOKUP($A35,'Multiple Minerals'!$B$26:$U$309,19,FALSE),VLOOKUP($A35,'Aggregate Minerals'!$B$19:$N$300,13,FALSE)))),(IFERROR(VLOOKUP($A35,'Singular Minerals'!$B$12:$U$500,20,FALSE),IFERROR(VLOOKUP($A35,'Multiple Minerals'!$B$26:$U$309,20,FALSE),VLOOKUP($A35,'Aggregate Minerals'!$B$19:$N$300,13,FALSE)))))</f>
        <v>10390040589.378456</v>
      </c>
      <c r="M35" s="103">
        <v>2500000000</v>
      </c>
      <c r="N35" s="310"/>
      <c r="O35" s="103" t="str">
        <f t="shared" si="6"/>
        <v/>
      </c>
      <c r="P35" s="103">
        <f t="shared" si="7"/>
        <v>10390040589.378456</v>
      </c>
      <c r="Q35" s="101"/>
      <c r="R35" s="101"/>
      <c r="S35" s="101"/>
      <c r="T35" s="101"/>
      <c r="U35" s="101"/>
      <c r="V35" s="103">
        <f t="shared" si="8"/>
        <v>10390040589.378456</v>
      </c>
      <c r="W35" s="101"/>
      <c r="X35" s="101"/>
      <c r="Y35" s="101" t="s">
        <v>1175</v>
      </c>
      <c r="Z35" s="85">
        <v>2E-3</v>
      </c>
      <c r="AA35" s="630"/>
    </row>
    <row r="36" spans="1:27">
      <c r="A36">
        <v>1082</v>
      </c>
      <c r="B36" s="101" t="str">
        <f>CONCATENATE("Colemanite; {", J36, "}; ", Z36," g/g in ground")</f>
        <v>Colemanite; {Ca2B6O11(H2O)5}; 0.3076 g/g in ground</v>
      </c>
      <c r="C36" s="101" t="s">
        <v>84</v>
      </c>
      <c r="D36" s="101" t="s">
        <v>73</v>
      </c>
      <c r="E36" s="101" t="s">
        <v>33</v>
      </c>
      <c r="F36" s="101" t="s">
        <v>85</v>
      </c>
      <c r="G36" s="101" t="s">
        <v>75</v>
      </c>
      <c r="H36" s="101"/>
      <c r="I36" s="102" t="s">
        <v>279</v>
      </c>
      <c r="J36" s="101" t="s">
        <v>174</v>
      </c>
      <c r="K36" s="101" t="s">
        <v>1773</v>
      </c>
      <c r="L36" s="103">
        <f>IF(K36="mineral",(IFERROR(VLOOKUP($A36,'Singular Minerals'!$B$12:$U$500,19,FALSE),IFERROR(VLOOKUP($A36,'Multiple Minerals'!$B$26:$U$309,19,FALSE),VLOOKUP($A36,'Aggregate Minerals'!$B$19:$N$300,13,FALSE)))),(IFERROR(VLOOKUP($A36,'Singular Minerals'!$B$12:$U$500,20,FALSE),IFERROR(VLOOKUP($A36,'Multiple Minerals'!$B$26:$U$309,20,FALSE),VLOOKUP($A36,'Aggregate Minerals'!$B$19:$N$300,13,FALSE)))))</f>
        <v>3320337587.0499725</v>
      </c>
      <c r="M36" s="103">
        <v>2500000000</v>
      </c>
      <c r="N36" s="310"/>
      <c r="O36" s="103" t="str">
        <f t="shared" si="6"/>
        <v/>
      </c>
      <c r="P36" s="103">
        <f t="shared" si="7"/>
        <v>3320337587.0499725</v>
      </c>
      <c r="Q36" s="101"/>
      <c r="R36" s="101"/>
      <c r="S36" s="101"/>
      <c r="T36" s="101"/>
      <c r="U36" s="101"/>
      <c r="V36" s="103">
        <f t="shared" si="8"/>
        <v>3320337587.0499725</v>
      </c>
      <c r="W36" s="101"/>
      <c r="X36" s="101"/>
      <c r="Y36" s="101" t="s">
        <v>1176</v>
      </c>
      <c r="Z36" s="55">
        <f>0.3076</f>
        <v>0.30759999999999998</v>
      </c>
      <c r="AA36" s="630"/>
    </row>
    <row r="37" spans="1:27">
      <c r="A37">
        <v>1063</v>
      </c>
      <c r="B37" s="101" t="str">
        <f>CONCATENATE("Copper in Chalcopyrite; {", J37, "}; ", AA37," g/g in ground")</f>
        <v>Copper in Chalcopyrite; {CuFeS2}; 0.0099 g/g in ground</v>
      </c>
      <c r="C37" s="101" t="s">
        <v>84</v>
      </c>
      <c r="D37" s="101" t="s">
        <v>73</v>
      </c>
      <c r="E37" s="101" t="s">
        <v>33</v>
      </c>
      <c r="F37" s="101" t="s">
        <v>85</v>
      </c>
      <c r="G37" s="101" t="s">
        <v>75</v>
      </c>
      <c r="H37" s="101"/>
      <c r="I37" s="102" t="s">
        <v>279</v>
      </c>
      <c r="J37" s="101" t="s">
        <v>172</v>
      </c>
      <c r="K37" s="101" t="s">
        <v>1772</v>
      </c>
      <c r="L37" s="103">
        <f>IF(K37="mineral",(IFERROR(VLOOKUP($A37,'Singular Minerals'!$B$12:$U$500,19,FALSE),IFERROR(VLOOKUP($A37,'Multiple Minerals'!$B$26:$U$309,19,FALSE),VLOOKUP($A37,'Aggregate Minerals'!$B$19:$N$300,13,FALSE)))),(IFERROR(VLOOKUP($A37,'Singular Minerals'!$B$12:$U$500,20,FALSE),IFERROR(VLOOKUP($A37,'Multiple Minerals'!$B$26:$U$309,20,FALSE),VLOOKUP($A37,'Aggregate Minerals'!$B$19:$N$300,13,FALSE)))))</f>
        <v>13069354716.795267</v>
      </c>
      <c r="M37" s="103">
        <v>2500000000</v>
      </c>
      <c r="N37" s="310"/>
      <c r="O37" s="103" t="str">
        <f t="shared" si="6"/>
        <v/>
      </c>
      <c r="P37" s="103">
        <f t="shared" si="7"/>
        <v>13069354716.795267</v>
      </c>
      <c r="Q37" s="101"/>
      <c r="R37" s="101"/>
      <c r="S37" s="101"/>
      <c r="T37" s="101"/>
      <c r="U37" s="101"/>
      <c r="V37" s="103">
        <f t="shared" si="8"/>
        <v>13069354716.795267</v>
      </c>
      <c r="W37" s="101"/>
      <c r="X37" s="101"/>
      <c r="Y37" s="101"/>
      <c r="Z37" s="55"/>
      <c r="AA37" s="84">
        <v>9.9000000000000008E-3</v>
      </c>
    </row>
    <row r="38" spans="1:27">
      <c r="A38">
        <v>1064</v>
      </c>
      <c r="B38" s="101" t="str">
        <f>CONCATENATE("Copper in Chalcopyrite; {", J38, "}; ", AA38," g/g in ground")</f>
        <v>Copper in Chalcopyrite; {CuFeS2}; 0.0118 g/g in ground</v>
      </c>
      <c r="C38" s="101" t="s">
        <v>84</v>
      </c>
      <c r="D38" s="101" t="s">
        <v>73</v>
      </c>
      <c r="E38" s="101" t="s">
        <v>33</v>
      </c>
      <c r="F38" s="101" t="s">
        <v>85</v>
      </c>
      <c r="G38" s="101" t="s">
        <v>75</v>
      </c>
      <c r="H38" s="101"/>
      <c r="I38" s="102" t="s">
        <v>279</v>
      </c>
      <c r="J38" s="101" t="s">
        <v>172</v>
      </c>
      <c r="K38" s="101" t="s">
        <v>1772</v>
      </c>
      <c r="L38" s="103">
        <f>IF(K38="mineral",(IFERROR(VLOOKUP($A38,'Singular Minerals'!$B$12:$U$500,19,FALSE),IFERROR(VLOOKUP($A38,'Multiple Minerals'!$B$26:$U$309,19,FALSE),VLOOKUP($A38,'Aggregate Minerals'!$B$19:$N$300,13,FALSE)))),(IFERROR(VLOOKUP($A38,'Singular Minerals'!$B$12:$U$500,20,FALSE),IFERROR(VLOOKUP($A38,'Multiple Minerals'!$B$26:$U$309,20,FALSE),VLOOKUP($A38,'Aggregate Minerals'!$B$19:$N$300,13,FALSE)))))</f>
        <v>13447698596.654531</v>
      </c>
      <c r="M38" s="103">
        <v>2500000000</v>
      </c>
      <c r="N38" s="310"/>
      <c r="O38" s="103" t="str">
        <f t="shared" si="6"/>
        <v/>
      </c>
      <c r="P38" s="103">
        <f t="shared" si="7"/>
        <v>13447698596.654531</v>
      </c>
      <c r="Q38" s="101"/>
      <c r="R38" s="101"/>
      <c r="S38" s="101"/>
      <c r="T38" s="101"/>
      <c r="U38" s="101"/>
      <c r="V38" s="103">
        <f t="shared" si="8"/>
        <v>13447698596.654531</v>
      </c>
      <c r="W38" s="101"/>
      <c r="X38" s="101"/>
      <c r="Y38" s="101"/>
      <c r="Z38" s="55"/>
      <c r="AA38" s="84">
        <v>1.18E-2</v>
      </c>
    </row>
    <row r="39" spans="1:27">
      <c r="A39">
        <v>1065</v>
      </c>
      <c r="B39" s="101" t="str">
        <f>CONCATENATE("Copper in Chalcopyrite; {", J39, "}; ", AA39," g/g in ground")</f>
        <v>Copper in Chalcopyrite; {CuFeS2}; 0.0142 g/g in ground</v>
      </c>
      <c r="C39" s="101" t="s">
        <v>84</v>
      </c>
      <c r="D39" s="101" t="s">
        <v>73</v>
      </c>
      <c r="E39" s="101" t="s">
        <v>33</v>
      </c>
      <c r="F39" s="101" t="s">
        <v>85</v>
      </c>
      <c r="G39" s="101" t="s">
        <v>75</v>
      </c>
      <c r="H39" s="101"/>
      <c r="I39" s="102" t="s">
        <v>279</v>
      </c>
      <c r="J39" s="101" t="s">
        <v>172</v>
      </c>
      <c r="K39" s="101" t="s">
        <v>1772</v>
      </c>
      <c r="L39" s="103">
        <f>IF(K39="mineral",(IFERROR(VLOOKUP($A39,'Singular Minerals'!$B$12:$U$500,19,FALSE),IFERROR(VLOOKUP($A39,'Multiple Minerals'!$B$26:$U$309,19,FALSE),VLOOKUP($A39,'Aggregate Minerals'!$B$19:$N$300,13,FALSE)))),(IFERROR(VLOOKUP($A39,'Singular Minerals'!$B$12:$U$500,20,FALSE),IFERROR(VLOOKUP($A39,'Multiple Minerals'!$B$26:$U$309,20,FALSE),VLOOKUP($A39,'Aggregate Minerals'!$B$19:$N$300,13,FALSE)))))</f>
        <v>13846682428.952305</v>
      </c>
      <c r="M39" s="103">
        <v>2500000000</v>
      </c>
      <c r="N39" s="310"/>
      <c r="O39" s="103" t="str">
        <f t="shared" si="6"/>
        <v/>
      </c>
      <c r="P39" s="103">
        <f t="shared" si="7"/>
        <v>13846682428.952305</v>
      </c>
      <c r="Q39" s="101"/>
      <c r="R39" s="101"/>
      <c r="S39" s="101"/>
      <c r="T39" s="101"/>
      <c r="U39" s="101"/>
      <c r="V39" s="103">
        <f t="shared" si="8"/>
        <v>13846682428.952305</v>
      </c>
      <c r="W39" s="101"/>
      <c r="X39" s="101"/>
      <c r="Y39" s="101"/>
      <c r="Z39" s="55"/>
      <c r="AA39" s="84">
        <v>1.4200000000000001E-2</v>
      </c>
    </row>
    <row r="40" spans="1:27">
      <c r="A40">
        <v>1066</v>
      </c>
      <c r="B40" s="101" t="str">
        <f>CONCATENATE("Copper in Chalcopyrite; {", J40, "}; ", AA40," g/g in ground")</f>
        <v>Copper in Chalcopyrite; {CuFeS2}; 0.0219 g/g in ground</v>
      </c>
      <c r="C40" s="101" t="s">
        <v>84</v>
      </c>
      <c r="D40" s="101" t="s">
        <v>73</v>
      </c>
      <c r="E40" s="101" t="s">
        <v>33</v>
      </c>
      <c r="F40" s="101" t="s">
        <v>85</v>
      </c>
      <c r="G40" s="101" t="s">
        <v>75</v>
      </c>
      <c r="H40" s="101"/>
      <c r="I40" s="102" t="s">
        <v>279</v>
      </c>
      <c r="J40" s="101" t="s">
        <v>172</v>
      </c>
      <c r="K40" s="101" t="s">
        <v>1772</v>
      </c>
      <c r="L40" s="103">
        <f>IF(K40="mineral",(IFERROR(VLOOKUP($A40,'Singular Minerals'!$B$12:$U$500,19,FALSE),IFERROR(VLOOKUP($A40,'Multiple Minerals'!$B$26:$U$309,19,FALSE),VLOOKUP($A40,'Aggregate Minerals'!$B$19:$N$300,13,FALSE)))),(IFERROR(VLOOKUP($A40,'Singular Minerals'!$B$12:$U$500,20,FALSE),IFERROR(VLOOKUP($A40,'Multiple Minerals'!$B$26:$U$309,20,FALSE),VLOOKUP($A40,'Aggregate Minerals'!$B$19:$N$300,13,FALSE)))))</f>
        <v>14780329117.696156</v>
      </c>
      <c r="M40" s="103">
        <v>2500000000</v>
      </c>
      <c r="N40" s="310"/>
      <c r="O40" s="103" t="str">
        <f t="shared" si="6"/>
        <v/>
      </c>
      <c r="P40" s="103">
        <f t="shared" si="7"/>
        <v>14780329117.696156</v>
      </c>
      <c r="Q40" s="101"/>
      <c r="R40" s="101"/>
      <c r="S40" s="101"/>
      <c r="T40" s="101"/>
      <c r="U40" s="101"/>
      <c r="V40" s="103">
        <f t="shared" si="8"/>
        <v>14780329117.696156</v>
      </c>
      <c r="W40" s="101"/>
      <c r="X40" s="101"/>
      <c r="Y40" s="101"/>
      <c r="Z40" s="55"/>
      <c r="AA40" s="84">
        <v>2.1899999999999999E-2</v>
      </c>
    </row>
    <row r="41" spans="1:27">
      <c r="B41" s="101" t="s">
        <v>153</v>
      </c>
      <c r="C41" s="101" t="s">
        <v>150</v>
      </c>
      <c r="D41" s="101" t="s">
        <v>73</v>
      </c>
      <c r="E41" s="101" t="s">
        <v>33</v>
      </c>
      <c r="F41" s="101" t="s">
        <v>85</v>
      </c>
      <c r="G41" s="101" t="s">
        <v>75</v>
      </c>
      <c r="H41" s="101"/>
      <c r="I41" s="102" t="s">
        <v>279</v>
      </c>
      <c r="J41" s="101"/>
      <c r="K41" s="101" t="s">
        <v>1773</v>
      </c>
      <c r="L41" s="103"/>
      <c r="M41" s="103">
        <v>2500000000</v>
      </c>
      <c r="N41" s="310"/>
      <c r="O41" s="103" t="str">
        <f t="shared" si="6"/>
        <v/>
      </c>
      <c r="P41" s="103">
        <f t="shared" si="7"/>
        <v>0</v>
      </c>
      <c r="Q41" s="101"/>
      <c r="R41" s="101"/>
      <c r="S41" s="101"/>
      <c r="T41" s="101"/>
      <c r="U41" s="101"/>
      <c r="V41" s="103">
        <f t="shared" si="8"/>
        <v>0</v>
      </c>
      <c r="W41" s="101"/>
      <c r="X41" s="101"/>
      <c r="Y41" s="101"/>
      <c r="Z41" s="55"/>
      <c r="AA41" s="630"/>
    </row>
    <row r="42" spans="1:27">
      <c r="A42">
        <v>1033</v>
      </c>
      <c r="B42" s="101" t="str">
        <f>CONCATENATE("Europium; {", J42, "}; ", Z42," g/g in ground")</f>
        <v>Europium; {La(CO3)F}; 0.07 g/g in ground</v>
      </c>
      <c r="C42" s="101" t="s">
        <v>84</v>
      </c>
      <c r="D42" s="101" t="s">
        <v>73</v>
      </c>
      <c r="E42" s="101" t="s">
        <v>33</v>
      </c>
      <c r="F42" s="101" t="s">
        <v>85</v>
      </c>
      <c r="G42" s="101" t="s">
        <v>75</v>
      </c>
      <c r="H42" s="101"/>
      <c r="I42" s="102" t="s">
        <v>279</v>
      </c>
      <c r="J42" s="101" t="s">
        <v>350</v>
      </c>
      <c r="K42" s="101" t="s">
        <v>1772</v>
      </c>
      <c r="L42" s="103">
        <f>IF(K42="mineral",(IFERROR(VLOOKUP($A42,'Singular Minerals'!$B$12:$U$500,19,FALSE),IFERROR(VLOOKUP($A42,'Multiple Minerals'!$B$26:$U$309,19,FALSE),VLOOKUP($A42,'Aggregate Minerals'!$B$19:$N$300,13,FALSE)))),(IFERROR(VLOOKUP($A42,'Singular Minerals'!$B$12:$U$500,20,FALSE),IFERROR(VLOOKUP($A42,'Multiple Minerals'!$B$26:$U$309,20,FALSE),VLOOKUP($A42,'Aggregate Minerals'!$B$19:$N$300,13,FALSE)))))</f>
        <v>8258230731.3892374</v>
      </c>
      <c r="M42" s="103">
        <v>2500000000</v>
      </c>
      <c r="N42" s="310"/>
      <c r="O42" s="103" t="str">
        <f t="shared" si="6"/>
        <v/>
      </c>
      <c r="P42" s="103">
        <f t="shared" si="7"/>
        <v>8258230731.3892374</v>
      </c>
      <c r="Q42" s="101"/>
      <c r="R42" s="101"/>
      <c r="S42" s="101"/>
      <c r="T42" s="101"/>
      <c r="U42" s="101"/>
      <c r="V42" s="103">
        <f t="shared" si="8"/>
        <v>8258230731.3892374</v>
      </c>
      <c r="W42" s="101"/>
      <c r="X42" s="101"/>
      <c r="Y42" s="101" t="s">
        <v>1177</v>
      </c>
      <c r="Z42" s="55">
        <v>7.0000000000000007E-2</v>
      </c>
      <c r="AA42" s="630"/>
    </row>
    <row r="43" spans="1:27">
      <c r="A43">
        <v>1214</v>
      </c>
      <c r="B43" s="101" t="str">
        <f>CONCATENATE("Feldspar; {", J43, "}; ", Z43," g/g in ground")</f>
        <v>Feldspar; {(Na, K, Ca) AlSi3O8//SiO2}; 0.46 g/g in ground</v>
      </c>
      <c r="C43" s="101" t="s">
        <v>84</v>
      </c>
      <c r="D43" s="101" t="s">
        <v>73</v>
      </c>
      <c r="E43" s="101" t="s">
        <v>33</v>
      </c>
      <c r="F43" s="101" t="s">
        <v>85</v>
      </c>
      <c r="G43" s="101" t="s">
        <v>75</v>
      </c>
      <c r="H43" s="101"/>
      <c r="I43" s="102" t="s">
        <v>279</v>
      </c>
      <c r="J43" s="101" t="s">
        <v>96</v>
      </c>
      <c r="K43" s="101" t="s">
        <v>1773</v>
      </c>
      <c r="L43" s="103">
        <f>IF(K43="mineral",(IFERROR(VLOOKUP($A43,'Singular Minerals'!$B$12:$U$500,19,FALSE),IFERROR(VLOOKUP($A43,'Multiple Minerals'!$B$26:$U$309,19,FALSE),VLOOKUP($A43,'Aggregate Minerals'!$B$19:$N$300,13,FALSE)))),(IFERROR(VLOOKUP($A43,'Singular Minerals'!$B$12:$U$500,20,FALSE),IFERROR(VLOOKUP($A43,'Multiple Minerals'!$B$26:$U$309,20,FALSE),VLOOKUP($A43,'Aggregate Minerals'!$B$19:$N$300,13,FALSE)))))</f>
        <v>1598328951.8235977</v>
      </c>
      <c r="M43" s="103">
        <v>2500000000</v>
      </c>
      <c r="N43" s="310"/>
      <c r="O43" s="103" t="str">
        <f t="shared" si="6"/>
        <v/>
      </c>
      <c r="P43" s="103">
        <f t="shared" si="7"/>
        <v>1598328951.8235977</v>
      </c>
      <c r="Q43" s="101"/>
      <c r="R43" s="101"/>
      <c r="S43" s="101"/>
      <c r="T43" s="101"/>
      <c r="U43" s="101"/>
      <c r="V43" s="103">
        <f t="shared" si="8"/>
        <v>1598328951.8235977</v>
      </c>
      <c r="W43" s="101"/>
      <c r="X43" s="101"/>
      <c r="Y43" s="101" t="s">
        <v>1178</v>
      </c>
      <c r="Z43" s="55">
        <v>0.46</v>
      </c>
      <c r="AA43" s="630"/>
    </row>
    <row r="44" spans="1:27">
      <c r="A44">
        <v>1020</v>
      </c>
      <c r="B44" s="101" t="str">
        <f>CONCATENATE("Flourine; {", J44, "}; ", AA44," g/g in ground")</f>
        <v>Flourine; {F}; 0.01 g/g in ground</v>
      </c>
      <c r="C44" s="101" t="s">
        <v>84</v>
      </c>
      <c r="D44" s="101" t="s">
        <v>73</v>
      </c>
      <c r="E44" s="101" t="s">
        <v>33</v>
      </c>
      <c r="F44" s="101" t="s">
        <v>85</v>
      </c>
      <c r="G44" s="101" t="s">
        <v>75</v>
      </c>
      <c r="H44" s="101"/>
      <c r="I44" s="102" t="s">
        <v>279</v>
      </c>
      <c r="J44" s="101" t="s">
        <v>97</v>
      </c>
      <c r="K44" s="101" t="s">
        <v>1772</v>
      </c>
      <c r="L44" s="103">
        <f>IF(K44="mineral",(IFERROR(VLOOKUP($A44,'Singular Minerals'!$B$12:$U$500,19,FALSE),IFERROR(VLOOKUP($A44,'Multiple Minerals'!$B$26:$U$309,19,FALSE),VLOOKUP($A44,'Aggregate Minerals'!$B$19:$N$300,13,FALSE)))),(IFERROR(VLOOKUP($A44,'Singular Minerals'!$B$12:$U$500,20,FALSE),IFERROR(VLOOKUP($A44,'Multiple Minerals'!$B$26:$U$309,20,FALSE),VLOOKUP($A44,'Aggregate Minerals'!$B$19:$N$300,13,FALSE)))))</f>
        <v>37735915249.480171</v>
      </c>
      <c r="M44" s="103">
        <v>2500000000</v>
      </c>
      <c r="N44" s="310"/>
      <c r="O44" s="103" t="str">
        <f t="shared" si="6"/>
        <v/>
      </c>
      <c r="P44" s="103">
        <f t="shared" si="7"/>
        <v>37735915249.480171</v>
      </c>
      <c r="Q44" s="101"/>
      <c r="R44" s="101"/>
      <c r="S44" s="101"/>
      <c r="T44" s="101"/>
      <c r="U44" s="101"/>
      <c r="V44" s="103">
        <f t="shared" si="8"/>
        <v>37735915249.480171</v>
      </c>
      <c r="W44" s="101"/>
      <c r="X44" s="101"/>
      <c r="Y44" s="101" t="s">
        <v>1181</v>
      </c>
      <c r="Z44" s="55"/>
      <c r="AA44" s="55">
        <v>0.01</v>
      </c>
    </row>
    <row r="45" spans="1:27">
      <c r="A45">
        <v>1021</v>
      </c>
      <c r="B45" s="101" t="str">
        <f>CONCATENATE("Flourine; {", J45, "}; ", AA45," g/g in ground")</f>
        <v>Flourine; {F}; 0.03 g/g in ground</v>
      </c>
      <c r="C45" s="101" t="s">
        <v>84</v>
      </c>
      <c r="D45" s="101" t="s">
        <v>73</v>
      </c>
      <c r="E45" s="101" t="s">
        <v>33</v>
      </c>
      <c r="F45" s="101" t="s">
        <v>85</v>
      </c>
      <c r="G45" s="101" t="s">
        <v>75</v>
      </c>
      <c r="H45" s="101"/>
      <c r="I45" s="102" t="s">
        <v>279</v>
      </c>
      <c r="J45" s="101" t="s">
        <v>97</v>
      </c>
      <c r="K45" s="101" t="s">
        <v>1772</v>
      </c>
      <c r="L45" s="103">
        <f>IF(K45="mineral",(IFERROR(VLOOKUP($A45,'Singular Minerals'!$B$12:$U$500,19,FALSE),IFERROR(VLOOKUP($A45,'Multiple Minerals'!$B$26:$U$309,19,FALSE),VLOOKUP($A45,'Aggregate Minerals'!$B$19:$N$300,13,FALSE)))),(IFERROR(VLOOKUP($A45,'Singular Minerals'!$B$12:$U$500,20,FALSE),IFERROR(VLOOKUP($A45,'Multiple Minerals'!$B$26:$U$309,20,FALSE),VLOOKUP($A45,'Aggregate Minerals'!$B$19:$N$300,13,FALSE)))))</f>
        <v>44302647816.347282</v>
      </c>
      <c r="M45" s="103">
        <v>2500000000</v>
      </c>
      <c r="N45" s="310"/>
      <c r="O45" s="103" t="str">
        <f t="shared" si="6"/>
        <v/>
      </c>
      <c r="P45" s="103">
        <f t="shared" si="7"/>
        <v>44302647816.347282</v>
      </c>
      <c r="Q45" s="101"/>
      <c r="R45" s="101"/>
      <c r="S45" s="101"/>
      <c r="T45" s="101"/>
      <c r="U45" s="101"/>
      <c r="V45" s="103">
        <f t="shared" si="8"/>
        <v>44302647816.347282</v>
      </c>
      <c r="W45" s="101"/>
      <c r="X45" s="101"/>
      <c r="Y45" s="101" t="s">
        <v>1181</v>
      </c>
      <c r="Z45" s="55"/>
      <c r="AA45" s="55">
        <v>0.03</v>
      </c>
    </row>
    <row r="46" spans="1:27">
      <c r="A46">
        <v>1114</v>
      </c>
      <c r="B46" s="101" t="str">
        <f>CONCATENATE("Fluorspar/Fluorite; {", J46, "}; ", Z46," g/g in ground")</f>
        <v>Fluorspar/Fluorite; {CaF2}; 0.92 g/g in ground</v>
      </c>
      <c r="C46" s="101" t="s">
        <v>84</v>
      </c>
      <c r="D46" s="101" t="s">
        <v>73</v>
      </c>
      <c r="E46" s="101" t="s">
        <v>33</v>
      </c>
      <c r="F46" s="101" t="s">
        <v>85</v>
      </c>
      <c r="G46" s="101" t="s">
        <v>75</v>
      </c>
      <c r="H46" s="101"/>
      <c r="I46" s="102" t="s">
        <v>279</v>
      </c>
      <c r="J46" s="101" t="s">
        <v>98</v>
      </c>
      <c r="K46" s="101" t="s">
        <v>1773</v>
      </c>
      <c r="L46" s="103">
        <f>IF(K46="mineral",(IFERROR(VLOOKUP($A46,'Singular Minerals'!$B$12:$U$500,19,FALSE),IFERROR(VLOOKUP($A46,'Multiple Minerals'!$B$26:$U$309,19,FALSE),VLOOKUP($A46,'Aggregate Minerals'!$B$19:$N$300,13,FALSE)))),(IFERROR(VLOOKUP($A46,'Singular Minerals'!$B$12:$U$500,20,FALSE),IFERROR(VLOOKUP($A46,'Multiple Minerals'!$B$26:$U$309,20,FALSE),VLOOKUP($A46,'Aggregate Minerals'!$B$19:$N$300,13,FALSE)))))</f>
        <v>19841711822.273365</v>
      </c>
      <c r="M46" s="103">
        <v>2500000000</v>
      </c>
      <c r="N46" s="310"/>
      <c r="O46" s="103" t="str">
        <f t="shared" si="6"/>
        <v/>
      </c>
      <c r="P46" s="103">
        <f t="shared" si="7"/>
        <v>19841711822.273365</v>
      </c>
      <c r="Q46" s="101"/>
      <c r="R46" s="101"/>
      <c r="S46" s="101"/>
      <c r="T46" s="101"/>
      <c r="U46" s="101"/>
      <c r="V46" s="103">
        <f t="shared" si="8"/>
        <v>19841711822.273365</v>
      </c>
      <c r="W46" s="101"/>
      <c r="X46" s="101"/>
      <c r="Y46" s="101"/>
      <c r="Z46" s="55">
        <v>0.92</v>
      </c>
      <c r="AA46" s="630"/>
    </row>
    <row r="47" spans="1:27">
      <c r="A47">
        <v>1118</v>
      </c>
      <c r="B47" s="101" t="str">
        <f>CONCATENATE("Gadolinium; {", J47, "}; ", Z47," g/g in ground")</f>
        <v>Gadolinium; {Gd}; 0.0196 g/g in ground</v>
      </c>
      <c r="C47" s="101" t="s">
        <v>84</v>
      </c>
      <c r="D47" s="101" t="s">
        <v>73</v>
      </c>
      <c r="E47" s="101" t="s">
        <v>33</v>
      </c>
      <c r="F47" s="101" t="s">
        <v>85</v>
      </c>
      <c r="G47" s="101" t="s">
        <v>75</v>
      </c>
      <c r="H47" s="101"/>
      <c r="I47" s="102" t="s">
        <v>279</v>
      </c>
      <c r="J47" s="101" t="s">
        <v>99</v>
      </c>
      <c r="K47" s="101" t="s">
        <v>1772</v>
      </c>
      <c r="L47" s="103">
        <f>IF(K47="mineral",(IFERROR(VLOOKUP($A47,'Singular Minerals'!$B$12:$U$500,19,FALSE),IFERROR(VLOOKUP($A47,'Multiple Minerals'!$B$26:$U$309,19,FALSE),VLOOKUP($A47,'Aggregate Minerals'!$B$19:$N$300,13,FALSE)))),(IFERROR(VLOOKUP($A47,'Singular Minerals'!$B$12:$U$500,20,FALSE),IFERROR(VLOOKUP($A47,'Multiple Minerals'!$B$26:$U$309,20,FALSE),VLOOKUP($A47,'Aggregate Minerals'!$B$19:$N$300,13,FALSE)))))</f>
        <v>9918725756.3500957</v>
      </c>
      <c r="M47" s="103">
        <v>2500000000</v>
      </c>
      <c r="N47" s="310"/>
      <c r="O47" s="103" t="str">
        <f t="shared" si="6"/>
        <v/>
      </c>
      <c r="P47" s="103">
        <f t="shared" si="7"/>
        <v>9918725756.3500957</v>
      </c>
      <c r="Q47" s="101"/>
      <c r="R47" s="101"/>
      <c r="S47" s="101"/>
      <c r="T47" s="101"/>
      <c r="U47" s="101"/>
      <c r="V47" s="103">
        <f t="shared" si="8"/>
        <v>9918725756.3500957</v>
      </c>
      <c r="W47" s="101"/>
      <c r="X47" s="101"/>
      <c r="Y47" s="101" t="s">
        <v>1179</v>
      </c>
      <c r="Z47" s="84">
        <v>1.9599999999999999E-2</v>
      </c>
      <c r="AA47" s="630"/>
    </row>
    <row r="48" spans="1:27">
      <c r="A48">
        <v>2013</v>
      </c>
      <c r="B48" s="101" t="str">
        <f>CONCATENATE("Gallium; {", J48, "}; ", Z48," g/g in ground")</f>
        <v>Gallium; {Ga}; 0.0014 g/g in ground</v>
      </c>
      <c r="C48" s="101" t="s">
        <v>84</v>
      </c>
      <c r="D48" s="101" t="s">
        <v>73</v>
      </c>
      <c r="E48" s="101" t="s">
        <v>33</v>
      </c>
      <c r="F48" s="101" t="s">
        <v>85</v>
      </c>
      <c r="G48" s="101" t="s">
        <v>75</v>
      </c>
      <c r="H48" s="101"/>
      <c r="I48" s="102" t="s">
        <v>279</v>
      </c>
      <c r="J48" s="101" t="s">
        <v>100</v>
      </c>
      <c r="K48" s="101" t="s">
        <v>1772</v>
      </c>
      <c r="L48" s="103">
        <f>IF(K48="mineral",(IFERROR(VLOOKUP($A48,'Singular Minerals'!$B$12:$U$500,19,FALSE),IFERROR(VLOOKUP($A48,'Multiple Minerals'!$B$26:$U$309,19,FALSE),VLOOKUP($A48,'Aggregate Minerals'!$B$19:$N$300,13,FALSE)))),(IFERROR(VLOOKUP($A48,'Singular Minerals'!$B$12:$U$500,20,FALSE),IFERROR(VLOOKUP($A48,'Multiple Minerals'!$B$26:$U$309,20,FALSE),VLOOKUP($A48,'Aggregate Minerals'!$B$19:$N$300,13,FALSE)))))</f>
        <v>7967512438192.5586</v>
      </c>
      <c r="M48" s="103">
        <v>2500000000</v>
      </c>
      <c r="N48" s="310"/>
      <c r="O48" s="103" t="str">
        <f t="shared" si="6"/>
        <v/>
      </c>
      <c r="P48" s="103">
        <f t="shared" si="7"/>
        <v>7967512438192.5586</v>
      </c>
      <c r="Q48" s="101"/>
      <c r="R48" s="101"/>
      <c r="S48" s="101"/>
      <c r="T48" s="101"/>
      <c r="U48" s="101"/>
      <c r="V48" s="103">
        <f t="shared" si="8"/>
        <v>7967512438192.5586</v>
      </c>
      <c r="W48" s="101"/>
      <c r="X48" s="101"/>
      <c r="Y48" s="101" t="s">
        <v>1180</v>
      </c>
      <c r="Z48" s="84">
        <v>1.4E-3</v>
      </c>
      <c r="AA48" s="630"/>
    </row>
    <row r="49" spans="1:27">
      <c r="A49">
        <v>1126</v>
      </c>
      <c r="B49" s="101" t="str">
        <f t="shared" ref="B49:B57" si="9">CONCATENATE("Gold; {", J49, "}; ", Z49," g/g in ground")</f>
        <v>Gold; {Native gold (Au)}; 0.0000011 g/g in ground</v>
      </c>
      <c r="C49" s="101" t="s">
        <v>84</v>
      </c>
      <c r="D49" s="101" t="s">
        <v>73</v>
      </c>
      <c r="E49" s="101" t="s">
        <v>33</v>
      </c>
      <c r="F49" s="101" t="s">
        <v>85</v>
      </c>
      <c r="G49" s="101" t="s">
        <v>75</v>
      </c>
      <c r="H49" s="101"/>
      <c r="I49" s="102" t="s">
        <v>279</v>
      </c>
      <c r="J49" s="101" t="s">
        <v>1182</v>
      </c>
      <c r="K49" s="101" t="s">
        <v>1773</v>
      </c>
      <c r="L49" s="103">
        <f>IF(K49="mineral",(IFERROR(VLOOKUP($A49,'Singular Minerals'!$B$12:$U$500,19,FALSE),IFERROR(VLOOKUP($A49,'Multiple Minerals'!$B$26:$U$309,19,FALSE),VLOOKUP($A49,'Aggregate Minerals'!$B$19:$N$300,13,FALSE)))),(IFERROR(VLOOKUP($A49,'Singular Minerals'!$B$12:$U$500,20,FALSE),IFERROR(VLOOKUP($A49,'Multiple Minerals'!$B$26:$U$309,20,FALSE),VLOOKUP($A49,'Aggregate Minerals'!$B$19:$N$300,13,FALSE)))))</f>
        <v>4700264177.808691</v>
      </c>
      <c r="M49" s="103">
        <v>2500000000</v>
      </c>
      <c r="N49" s="310"/>
      <c r="O49" s="103" t="str">
        <f t="shared" si="6"/>
        <v/>
      </c>
      <c r="P49" s="103">
        <f t="shared" si="7"/>
        <v>4700264177.808691</v>
      </c>
      <c r="Q49" s="101"/>
      <c r="R49" s="101"/>
      <c r="S49" s="101"/>
      <c r="T49" s="101"/>
      <c r="U49" s="101"/>
      <c r="V49" s="103">
        <f t="shared" si="8"/>
        <v>4700264177.808691</v>
      </c>
      <c r="W49" s="101"/>
      <c r="X49" s="101"/>
      <c r="Y49" s="101" t="s">
        <v>1183</v>
      </c>
      <c r="Z49" s="86">
        <v>1.1000000000000001E-6</v>
      </c>
      <c r="AA49" s="630"/>
    </row>
    <row r="50" spans="1:27">
      <c r="A50">
        <v>1127</v>
      </c>
      <c r="B50" s="101" t="str">
        <f t="shared" si="9"/>
        <v>Gold; {Native gold (Au)}; 0.0000013 g/g in ground</v>
      </c>
      <c r="C50" s="101" t="s">
        <v>84</v>
      </c>
      <c r="D50" s="101" t="s">
        <v>73</v>
      </c>
      <c r="E50" s="101" t="s">
        <v>33</v>
      </c>
      <c r="F50" s="101" t="s">
        <v>85</v>
      </c>
      <c r="G50" s="101" t="s">
        <v>75</v>
      </c>
      <c r="H50" s="101"/>
      <c r="I50" s="102" t="s">
        <v>279</v>
      </c>
      <c r="J50" s="101" t="s">
        <v>1182</v>
      </c>
      <c r="K50" s="101" t="s">
        <v>1773</v>
      </c>
      <c r="L50" s="103">
        <f>IF(K50="mineral",(IFERROR(VLOOKUP($A50,'Singular Minerals'!$B$12:$U$500,19,FALSE),IFERROR(VLOOKUP($A50,'Multiple Minerals'!$B$26:$U$309,19,FALSE),VLOOKUP($A50,'Aggregate Minerals'!$B$19:$N$300,13,FALSE)))),(IFERROR(VLOOKUP($A50,'Singular Minerals'!$B$12:$U$500,20,FALSE),IFERROR(VLOOKUP($A50,'Multiple Minerals'!$B$26:$U$309,20,FALSE),VLOOKUP($A50,'Aggregate Minerals'!$B$19:$N$300,13,FALSE)))))</f>
        <v>4816407585.2125778</v>
      </c>
      <c r="M50" s="103">
        <v>2500000000</v>
      </c>
      <c r="N50" s="310"/>
      <c r="O50" s="103" t="str">
        <f t="shared" si="6"/>
        <v/>
      </c>
      <c r="P50" s="103">
        <f t="shared" si="7"/>
        <v>4816407585.2125778</v>
      </c>
      <c r="Q50" s="101"/>
      <c r="R50" s="101"/>
      <c r="S50" s="101"/>
      <c r="T50" s="101"/>
      <c r="U50" s="101"/>
      <c r="V50" s="103">
        <f t="shared" si="8"/>
        <v>4816407585.2125778</v>
      </c>
      <c r="W50" s="101"/>
      <c r="X50" s="101"/>
      <c r="Y50" s="101" t="s">
        <v>1183</v>
      </c>
      <c r="Z50" s="86">
        <v>1.3E-6</v>
      </c>
      <c r="AA50" s="630"/>
    </row>
    <row r="51" spans="1:27">
      <c r="A51">
        <v>1128</v>
      </c>
      <c r="B51" s="101" t="str">
        <f t="shared" si="9"/>
        <v>Gold; {Native gold (Au)}; 0.0000014 g/g in ground</v>
      </c>
      <c r="C51" s="101" t="s">
        <v>84</v>
      </c>
      <c r="D51" s="101" t="s">
        <v>73</v>
      </c>
      <c r="E51" s="101" t="s">
        <v>33</v>
      </c>
      <c r="F51" s="101" t="s">
        <v>85</v>
      </c>
      <c r="G51" s="101" t="s">
        <v>75</v>
      </c>
      <c r="H51" s="101"/>
      <c r="I51" s="102" t="s">
        <v>279</v>
      </c>
      <c r="J51" s="101" t="s">
        <v>1182</v>
      </c>
      <c r="K51" s="101" t="s">
        <v>1773</v>
      </c>
      <c r="L51" s="103">
        <f>IF(K51="mineral",(IFERROR(VLOOKUP($A51,'Singular Minerals'!$B$12:$U$500,19,FALSE),IFERROR(VLOOKUP($A51,'Multiple Minerals'!$B$26:$U$309,19,FALSE),VLOOKUP($A51,'Aggregate Minerals'!$B$19:$N$300,13,FALSE)))),(IFERROR(VLOOKUP($A51,'Singular Minerals'!$B$12:$U$500,20,FALSE),IFERROR(VLOOKUP($A51,'Multiple Minerals'!$B$26:$U$309,20,FALSE),VLOOKUP($A51,'Aggregate Minerals'!$B$19:$N$300,13,FALSE)))))</f>
        <v>4867930733.6532793</v>
      </c>
      <c r="M51" s="103">
        <v>2500000000</v>
      </c>
      <c r="N51" s="310"/>
      <c r="O51" s="103" t="str">
        <f t="shared" si="6"/>
        <v/>
      </c>
      <c r="P51" s="103">
        <f t="shared" si="7"/>
        <v>4867930733.6532793</v>
      </c>
      <c r="Q51" s="101"/>
      <c r="R51" s="101"/>
      <c r="S51" s="101"/>
      <c r="T51" s="101"/>
      <c r="U51" s="101"/>
      <c r="V51" s="103">
        <f t="shared" si="8"/>
        <v>4867930733.6532793</v>
      </c>
      <c r="W51" s="101"/>
      <c r="X51" s="101"/>
      <c r="Y51" s="101" t="s">
        <v>1183</v>
      </c>
      <c r="Z51" s="86">
        <v>1.3999999999999999E-6</v>
      </c>
      <c r="AA51" s="630"/>
    </row>
    <row r="52" spans="1:27">
      <c r="A52">
        <v>1129</v>
      </c>
      <c r="B52" s="101" t="str">
        <f t="shared" si="9"/>
        <v>Gold; {Native gold (Au)}; 0.0000021 g/g in ground</v>
      </c>
      <c r="C52" s="101" t="s">
        <v>84</v>
      </c>
      <c r="D52" s="101" t="s">
        <v>73</v>
      </c>
      <c r="E52" s="101" t="s">
        <v>33</v>
      </c>
      <c r="F52" s="101" t="s">
        <v>85</v>
      </c>
      <c r="G52" s="101" t="s">
        <v>75</v>
      </c>
      <c r="H52" s="101"/>
      <c r="I52" s="102" t="s">
        <v>279</v>
      </c>
      <c r="J52" s="101" t="s">
        <v>1182</v>
      </c>
      <c r="K52" s="101" t="s">
        <v>1773</v>
      </c>
      <c r="L52" s="103">
        <f>IF(K52="mineral",(IFERROR(VLOOKUP($A52,'Singular Minerals'!$B$12:$U$500,19,FALSE),IFERROR(VLOOKUP($A52,'Multiple Minerals'!$B$26:$U$309,19,FALSE),VLOOKUP($A52,'Aggregate Minerals'!$B$19:$N$300,13,FALSE)))),(IFERROR(VLOOKUP($A52,'Singular Minerals'!$B$12:$U$500,20,FALSE),IFERROR(VLOOKUP($A52,'Multiple Minerals'!$B$26:$U$309,20,FALSE),VLOOKUP($A52,'Aggregate Minerals'!$B$19:$N$300,13,FALSE)))))</f>
        <v>5149828056.5114431</v>
      </c>
      <c r="M52" s="103">
        <v>2500000000</v>
      </c>
      <c r="N52" s="310"/>
      <c r="O52" s="103" t="str">
        <f t="shared" si="6"/>
        <v/>
      </c>
      <c r="P52" s="103">
        <f t="shared" si="7"/>
        <v>5149828056.5114431</v>
      </c>
      <c r="Q52" s="101"/>
      <c r="R52" s="101"/>
      <c r="S52" s="101"/>
      <c r="T52" s="101"/>
      <c r="U52" s="101"/>
      <c r="V52" s="103">
        <f t="shared" si="8"/>
        <v>5149828056.5114431</v>
      </c>
      <c r="W52" s="101"/>
      <c r="X52" s="101"/>
      <c r="Y52" s="101" t="s">
        <v>1183</v>
      </c>
      <c r="Z52" s="86">
        <v>2.0999999999999998E-6</v>
      </c>
      <c r="AA52" s="630"/>
    </row>
    <row r="53" spans="1:27">
      <c r="A53">
        <v>1130</v>
      </c>
      <c r="B53" s="101" t="str">
        <f t="shared" si="9"/>
        <v>Gold; {Native gold (Au)}; 0.0000043 g/g in ground</v>
      </c>
      <c r="C53" s="101" t="s">
        <v>84</v>
      </c>
      <c r="D53" s="101" t="s">
        <v>73</v>
      </c>
      <c r="E53" s="101" t="s">
        <v>33</v>
      </c>
      <c r="F53" s="101" t="s">
        <v>85</v>
      </c>
      <c r="G53" s="101" t="s">
        <v>75</v>
      </c>
      <c r="H53" s="101"/>
      <c r="I53" s="102" t="s">
        <v>279</v>
      </c>
      <c r="J53" s="101" t="s">
        <v>1182</v>
      </c>
      <c r="K53" s="101" t="s">
        <v>1773</v>
      </c>
      <c r="L53" s="103">
        <f>IF(K53="mineral",(IFERROR(VLOOKUP($A53,'Singular Minerals'!$B$12:$U$500,19,FALSE),IFERROR(VLOOKUP($A53,'Multiple Minerals'!$B$26:$U$309,19,FALSE),VLOOKUP($A53,'Aggregate Minerals'!$B$19:$N$300,13,FALSE)))),(IFERROR(VLOOKUP($A53,'Singular Minerals'!$B$12:$U$500,20,FALSE),IFERROR(VLOOKUP($A53,'Multiple Minerals'!$B$26:$U$309,20,FALSE),VLOOKUP($A53,'Aggregate Minerals'!$B$19:$N$300,13,FALSE)))))</f>
        <v>5648094158.1610413</v>
      </c>
      <c r="M53" s="103">
        <v>2500000000</v>
      </c>
      <c r="N53" s="310"/>
      <c r="O53" s="103" t="str">
        <f t="shared" si="6"/>
        <v/>
      </c>
      <c r="P53" s="103">
        <f t="shared" si="7"/>
        <v>5648094158.1610413</v>
      </c>
      <c r="Q53" s="101"/>
      <c r="R53" s="101"/>
      <c r="S53" s="101"/>
      <c r="T53" s="101"/>
      <c r="U53" s="101"/>
      <c r="V53" s="103">
        <f t="shared" si="8"/>
        <v>5648094158.1610413</v>
      </c>
      <c r="W53" s="101"/>
      <c r="X53" s="101"/>
      <c r="Y53" s="101" t="s">
        <v>1183</v>
      </c>
      <c r="Z53" s="86">
        <v>4.3000000000000003E-6</v>
      </c>
      <c r="AA53" s="630"/>
    </row>
    <row r="54" spans="1:27">
      <c r="A54">
        <v>1131</v>
      </c>
      <c r="B54" s="101" t="str">
        <f t="shared" si="9"/>
        <v>Gold; {Native gold (Au)}; 0.00000049 g/g in ground</v>
      </c>
      <c r="C54" s="101" t="s">
        <v>84</v>
      </c>
      <c r="D54" s="101" t="s">
        <v>73</v>
      </c>
      <c r="E54" s="101" t="s">
        <v>33</v>
      </c>
      <c r="F54" s="101" t="s">
        <v>85</v>
      </c>
      <c r="G54" s="101" t="s">
        <v>75</v>
      </c>
      <c r="H54" s="101"/>
      <c r="I54" s="102" t="s">
        <v>279</v>
      </c>
      <c r="J54" s="101" t="s">
        <v>1182</v>
      </c>
      <c r="K54" s="101" t="s">
        <v>1773</v>
      </c>
      <c r="L54" s="103">
        <f>IF(K54="mineral",(IFERROR(VLOOKUP($A54,'Singular Minerals'!$B$12:$U$500,19,FALSE),IFERROR(VLOOKUP($A54,'Multiple Minerals'!$B$26:$U$309,19,FALSE),VLOOKUP($A54,'Aggregate Minerals'!$B$19:$N$300,13,FALSE)))),(IFERROR(VLOOKUP($A54,'Singular Minerals'!$B$12:$U$500,20,FALSE),IFERROR(VLOOKUP($A54,'Multiple Minerals'!$B$26:$U$309,20,FALSE),VLOOKUP($A54,'Aggregate Minerals'!$B$19:$N$300,13,FALSE)))))</f>
        <v>4138047840.0196772</v>
      </c>
      <c r="M54" s="103">
        <v>2500000000</v>
      </c>
      <c r="N54" s="310"/>
      <c r="O54" s="103" t="str">
        <f t="shared" si="6"/>
        <v/>
      </c>
      <c r="P54" s="103">
        <f t="shared" si="7"/>
        <v>4138047840.0196772</v>
      </c>
      <c r="Q54" s="101"/>
      <c r="R54" s="101"/>
      <c r="S54" s="101"/>
      <c r="T54" s="101"/>
      <c r="U54" s="101"/>
      <c r="V54" s="103">
        <f t="shared" si="8"/>
        <v>4138047840.0196772</v>
      </c>
      <c r="W54" s="101"/>
      <c r="X54" s="101"/>
      <c r="Y54" s="101" t="s">
        <v>1183</v>
      </c>
      <c r="Z54" s="86">
        <v>4.8999999999999997E-7</v>
      </c>
      <c r="AA54" s="630"/>
    </row>
    <row r="55" spans="1:27">
      <c r="A55">
        <v>1132</v>
      </c>
      <c r="B55" s="101" t="str">
        <f t="shared" si="9"/>
        <v>Gold; {Native gold (Au)}; 0.0000067 g/g in ground</v>
      </c>
      <c r="C55" s="101" t="s">
        <v>84</v>
      </c>
      <c r="D55" s="101" t="s">
        <v>73</v>
      </c>
      <c r="E55" s="101" t="s">
        <v>33</v>
      </c>
      <c r="F55" s="101" t="s">
        <v>85</v>
      </c>
      <c r="G55" s="101" t="s">
        <v>75</v>
      </c>
      <c r="H55" s="101"/>
      <c r="I55" s="102" t="s">
        <v>279</v>
      </c>
      <c r="J55" s="101" t="s">
        <v>1182</v>
      </c>
      <c r="K55" s="101" t="s">
        <v>1773</v>
      </c>
      <c r="L55" s="103">
        <f>IF(K55="mineral",(IFERROR(VLOOKUP($A55,'Singular Minerals'!$B$12:$U$500,19,FALSE),IFERROR(VLOOKUP($A55,'Multiple Minerals'!$B$26:$U$309,19,FALSE),VLOOKUP($A55,'Aggregate Minerals'!$B$19:$N$300,13,FALSE)))),(IFERROR(VLOOKUP($A55,'Singular Minerals'!$B$12:$U$500,20,FALSE),IFERROR(VLOOKUP($A55,'Multiple Minerals'!$B$26:$U$309,20,FALSE),VLOOKUP($A55,'Aggregate Minerals'!$B$19:$N$300,13,FALSE)))))</f>
        <v>5956429812.6968508</v>
      </c>
      <c r="M55" s="103">
        <v>2500000000</v>
      </c>
      <c r="N55" s="310"/>
      <c r="O55" s="103" t="str">
        <f t="shared" si="6"/>
        <v/>
      </c>
      <c r="P55" s="103">
        <f t="shared" si="7"/>
        <v>5956429812.6968508</v>
      </c>
      <c r="Q55" s="101"/>
      <c r="R55" s="101"/>
      <c r="S55" s="101"/>
      <c r="T55" s="101"/>
      <c r="U55" s="101"/>
      <c r="V55" s="103">
        <f t="shared" si="8"/>
        <v>5956429812.6968508</v>
      </c>
      <c r="W55" s="101"/>
      <c r="X55" s="101"/>
      <c r="Y55" s="101" t="s">
        <v>1183</v>
      </c>
      <c r="Z55" s="86">
        <v>6.7000000000000002E-6</v>
      </c>
      <c r="AA55" s="630"/>
    </row>
    <row r="56" spans="1:27">
      <c r="A56">
        <v>1133</v>
      </c>
      <c r="B56" s="101" t="str">
        <f t="shared" si="9"/>
        <v>Gold; {Native gold (Au)}; 0.0000071 g/g in ground</v>
      </c>
      <c r="C56" s="101" t="s">
        <v>84</v>
      </c>
      <c r="D56" s="101" t="s">
        <v>73</v>
      </c>
      <c r="E56" s="101" t="s">
        <v>33</v>
      </c>
      <c r="F56" s="101" t="s">
        <v>85</v>
      </c>
      <c r="G56" s="101" t="s">
        <v>75</v>
      </c>
      <c r="H56" s="101"/>
      <c r="I56" s="102" t="s">
        <v>279</v>
      </c>
      <c r="J56" s="101" t="s">
        <v>1182</v>
      </c>
      <c r="K56" s="101" t="s">
        <v>1773</v>
      </c>
      <c r="L56" s="103">
        <f>IF(K56="mineral",(IFERROR(VLOOKUP($A56,'Singular Minerals'!$B$12:$U$500,19,FALSE),IFERROR(VLOOKUP($A56,'Multiple Minerals'!$B$26:$U$309,19,FALSE),VLOOKUP($A56,'Aggregate Minerals'!$B$19:$N$300,13,FALSE)))),(IFERROR(VLOOKUP($A56,'Singular Minerals'!$B$12:$U$500,20,FALSE),IFERROR(VLOOKUP($A56,'Multiple Minerals'!$B$26:$U$309,20,FALSE),VLOOKUP($A56,'Aggregate Minerals'!$B$19:$N$300,13,FALSE)))))</f>
        <v>5996745125.5675182</v>
      </c>
      <c r="M56" s="103">
        <v>2500000000</v>
      </c>
      <c r="N56" s="310"/>
      <c r="O56" s="103" t="str">
        <f t="shared" ref="O56:O87" si="10">IF(M56&lt;=renewable_cutoff,L56,"")</f>
        <v/>
      </c>
      <c r="P56" s="103">
        <f t="shared" ref="P56:P87" si="11">IF(M56&gt;renewable_cutoff,L56,"")</f>
        <v>5996745125.5675182</v>
      </c>
      <c r="Q56" s="101"/>
      <c r="R56" s="101"/>
      <c r="S56" s="101"/>
      <c r="T56" s="101"/>
      <c r="U56" s="101"/>
      <c r="V56" s="103">
        <f t="shared" ref="V56:V87" si="12">L56</f>
        <v>5996745125.5675182</v>
      </c>
      <c r="W56" s="101"/>
      <c r="X56" s="101"/>
      <c r="Y56" s="101" t="s">
        <v>1183</v>
      </c>
      <c r="Z56" s="86">
        <v>7.0999999999999998E-6</v>
      </c>
      <c r="AA56" s="630"/>
    </row>
    <row r="57" spans="1:27">
      <c r="A57">
        <v>1134</v>
      </c>
      <c r="B57" s="101" t="str">
        <f t="shared" si="9"/>
        <v>Gold; {Native gold (Au)}; 0.0000097 g/g in ground</v>
      </c>
      <c r="C57" s="101" t="s">
        <v>84</v>
      </c>
      <c r="D57" s="101" t="s">
        <v>73</v>
      </c>
      <c r="E57" s="101" t="s">
        <v>33</v>
      </c>
      <c r="F57" s="101" t="s">
        <v>85</v>
      </c>
      <c r="G57" s="101" t="s">
        <v>75</v>
      </c>
      <c r="H57" s="101"/>
      <c r="I57" s="102" t="s">
        <v>279</v>
      </c>
      <c r="J57" s="101" t="s">
        <v>1182</v>
      </c>
      <c r="K57" s="101" t="s">
        <v>1773</v>
      </c>
      <c r="L57" s="103">
        <f>IF(K57="mineral",(IFERROR(VLOOKUP($A57,'Singular Minerals'!$B$12:$U$500,19,FALSE),IFERROR(VLOOKUP($A57,'Multiple Minerals'!$B$26:$U$309,19,FALSE),VLOOKUP($A57,'Aggregate Minerals'!$B$19:$N$300,13,FALSE)))),(IFERROR(VLOOKUP($A57,'Singular Minerals'!$B$12:$U$500,20,FALSE),IFERROR(VLOOKUP($A57,'Multiple Minerals'!$B$26:$U$309,20,FALSE),VLOOKUP($A57,'Aggregate Minerals'!$B$19:$N$300,13,FALSE)))))</f>
        <v>6213682983.8238106</v>
      </c>
      <c r="M57" s="103">
        <v>2500000000</v>
      </c>
      <c r="N57" s="310"/>
      <c r="O57" s="103" t="str">
        <f t="shared" si="10"/>
        <v/>
      </c>
      <c r="P57" s="103">
        <f t="shared" si="11"/>
        <v>6213682983.8238106</v>
      </c>
      <c r="Q57" s="101"/>
      <c r="R57" s="101"/>
      <c r="S57" s="101"/>
      <c r="T57" s="101"/>
      <c r="U57" s="101"/>
      <c r="V57" s="103">
        <f t="shared" si="12"/>
        <v>6213682983.8238106</v>
      </c>
      <c r="W57" s="101"/>
      <c r="X57" s="101"/>
      <c r="Y57" s="101" t="s">
        <v>1183</v>
      </c>
      <c r="Z57" s="86">
        <v>9.7000000000000003E-6</v>
      </c>
      <c r="AA57" s="630"/>
    </row>
    <row r="58" spans="1:27">
      <c r="A58">
        <v>1138</v>
      </c>
      <c r="B58" s="101" t="str">
        <f>CONCATENATE("Gypsum; {", J58, "}; ", Z58," g/g in ground")</f>
        <v>Gypsum; {CaSO4*2H2O}; 0.93 g/g in ground</v>
      </c>
      <c r="C58" s="101" t="s">
        <v>84</v>
      </c>
      <c r="D58" s="101" t="s">
        <v>73</v>
      </c>
      <c r="E58" s="101" t="s">
        <v>33</v>
      </c>
      <c r="F58" s="101" t="s">
        <v>85</v>
      </c>
      <c r="G58" s="101" t="s">
        <v>75</v>
      </c>
      <c r="H58" s="101"/>
      <c r="I58" s="102" t="s">
        <v>279</v>
      </c>
      <c r="J58" s="101" t="s">
        <v>102</v>
      </c>
      <c r="K58" s="101" t="s">
        <v>1773</v>
      </c>
      <c r="L58" s="103">
        <f>IF(K58="mineral",(IFERROR(VLOOKUP($A58,'Singular Minerals'!$B$12:$U$500,19,FALSE),IFERROR(VLOOKUP($A58,'Multiple Minerals'!$B$26:$U$309,19,FALSE),VLOOKUP($A58,'Aggregate Minerals'!$B$19:$N$300,13,FALSE)))),(IFERROR(VLOOKUP($A58,'Singular Minerals'!$B$12:$U$500,20,FALSE),IFERROR(VLOOKUP($A58,'Multiple Minerals'!$B$26:$U$309,20,FALSE),VLOOKUP($A58,'Aggregate Minerals'!$B$19:$N$300,13,FALSE)))))</f>
        <v>1317975555.5347426</v>
      </c>
      <c r="M58" s="103">
        <v>2500000000</v>
      </c>
      <c r="N58" s="310"/>
      <c r="O58" s="103" t="str">
        <f t="shared" si="10"/>
        <v/>
      </c>
      <c r="P58" s="103">
        <f t="shared" si="11"/>
        <v>1317975555.5347426</v>
      </c>
      <c r="Q58" s="101"/>
      <c r="R58" s="101"/>
      <c r="S58" s="101"/>
      <c r="T58" s="101"/>
      <c r="U58" s="101"/>
      <c r="V58" s="103">
        <f t="shared" si="12"/>
        <v>1317975555.5347426</v>
      </c>
      <c r="W58" s="101"/>
      <c r="X58" s="101"/>
      <c r="Y58" s="101" t="s">
        <v>1244</v>
      </c>
      <c r="Z58" s="55">
        <v>0.93</v>
      </c>
      <c r="AA58" s="630"/>
    </row>
    <row r="59" spans="1:27">
      <c r="A59">
        <v>1265</v>
      </c>
      <c r="B59" s="101" t="str">
        <f>CONCATENATE("Indium; {", J59, "}; ", Z59," g/g in ground")</f>
        <v>Indium; {ZnS}; 0.00003 g/g in ground</v>
      </c>
      <c r="C59" s="101" t="s">
        <v>84</v>
      </c>
      <c r="D59" s="101" t="s">
        <v>73</v>
      </c>
      <c r="E59" s="101" t="s">
        <v>33</v>
      </c>
      <c r="F59" s="101" t="s">
        <v>85</v>
      </c>
      <c r="G59" s="101" t="s">
        <v>75</v>
      </c>
      <c r="H59" s="101"/>
      <c r="I59" s="102" t="s">
        <v>279</v>
      </c>
      <c r="J59" s="101" t="s">
        <v>256</v>
      </c>
      <c r="K59" s="101" t="s">
        <v>1772</v>
      </c>
      <c r="L59" s="103">
        <f>IF(K59="mineral",(IFERROR(VLOOKUP($A59,'Singular Minerals'!$B$12:$U$500,19,FALSE),IFERROR(VLOOKUP($A59,'Multiple Minerals'!$B$26:$U$309,19,FALSE),VLOOKUP($A59,'Aggregate Minerals'!$B$19:$N$300,13,FALSE)))),(IFERROR(VLOOKUP($A59,'Singular Minerals'!$B$12:$U$500,20,FALSE),IFERROR(VLOOKUP($A59,'Multiple Minerals'!$B$26:$U$309,20,FALSE),VLOOKUP($A59,'Aggregate Minerals'!$B$19:$N$300,13,FALSE)))))</f>
        <v>13538306380011.908</v>
      </c>
      <c r="M59" s="103">
        <v>2500000000</v>
      </c>
      <c r="N59" s="310"/>
      <c r="O59" s="103" t="str">
        <f t="shared" si="10"/>
        <v/>
      </c>
      <c r="P59" s="103">
        <f t="shared" si="11"/>
        <v>13538306380011.908</v>
      </c>
      <c r="Q59" s="101"/>
      <c r="R59" s="101"/>
      <c r="S59" s="101"/>
      <c r="T59" s="101"/>
      <c r="U59" s="101"/>
      <c r="V59" s="103">
        <f t="shared" si="12"/>
        <v>13538306380011.908</v>
      </c>
      <c r="W59" s="101"/>
      <c r="X59" s="101"/>
      <c r="Y59" s="101" t="s">
        <v>1184</v>
      </c>
      <c r="Z59" s="59">
        <v>3.0000000000000001E-5</v>
      </c>
      <c r="AA59" s="630"/>
    </row>
    <row r="60" spans="1:27">
      <c r="A60">
        <v>2002</v>
      </c>
      <c r="B60" s="101" t="str">
        <f>CONCATENATE("Iron, element mass ratio in Taconite minerals; {", J60, "}; ", AA60," g/g in ground")</f>
        <v>Iron, element mass ratio in Taconite minerals; {Fe2O3, Fe3+2Fe2+O4, and Fe2+CO3}; 0.25 g/g in ground</v>
      </c>
      <c r="C60" s="101" t="s">
        <v>84</v>
      </c>
      <c r="D60" s="101" t="s">
        <v>73</v>
      </c>
      <c r="E60" s="101" t="s">
        <v>33</v>
      </c>
      <c r="F60" s="101" t="s">
        <v>85</v>
      </c>
      <c r="G60" s="101" t="s">
        <v>75</v>
      </c>
      <c r="H60" s="101"/>
      <c r="I60" s="102" t="s">
        <v>279</v>
      </c>
      <c r="J60" s="101" t="s">
        <v>422</v>
      </c>
      <c r="K60" s="101" t="s">
        <v>1773</v>
      </c>
      <c r="L60" s="103">
        <f>IF(K60="mineral",(IFERROR(VLOOKUP($A60,'Singular Minerals'!$B$12:$U$500,19,FALSE),IFERROR(VLOOKUP($A60,'Multiple Minerals'!$B$26:$U$309,19,FALSE),VLOOKUP($A60,'Aggregate Minerals'!$B$19:$N$300,13,FALSE)))),(IFERROR(VLOOKUP($A60,'Singular Minerals'!$B$12:$U$500,20,FALSE),IFERROR(VLOOKUP($A60,'Multiple Minerals'!$B$26:$U$309,20,FALSE),VLOOKUP($A60,'Aggregate Minerals'!$B$19:$N$300,13,FALSE)))))</f>
        <v>2971505078.211153</v>
      </c>
      <c r="M60" s="103">
        <v>2500000000</v>
      </c>
      <c r="N60" s="310"/>
      <c r="O60" s="103" t="str">
        <f t="shared" si="10"/>
        <v/>
      </c>
      <c r="P60" s="103">
        <f t="shared" si="11"/>
        <v>2971505078.211153</v>
      </c>
      <c r="Q60" s="101"/>
      <c r="R60" s="101"/>
      <c r="S60" s="101"/>
      <c r="T60" s="101"/>
      <c r="U60" s="101"/>
      <c r="V60" s="103">
        <f t="shared" si="12"/>
        <v>2971505078.211153</v>
      </c>
      <c r="W60" s="101"/>
      <c r="X60" s="101"/>
      <c r="Y60" s="101" t="s">
        <v>1185</v>
      </c>
      <c r="Z60" s="55"/>
      <c r="AA60" s="55">
        <v>0.25</v>
      </c>
    </row>
    <row r="61" spans="1:27">
      <c r="A61">
        <v>1161</v>
      </c>
      <c r="B61" s="101" t="str">
        <f>CONCATENATE("Kaolinite; {", J61, "}; ", Z61," g/g in ground")</f>
        <v>Kaolinite; {Al4Si4O10(OH)8}; 0.24 g/g in ground</v>
      </c>
      <c r="C61" s="101" t="s">
        <v>84</v>
      </c>
      <c r="D61" s="101" t="s">
        <v>73</v>
      </c>
      <c r="E61" s="101" t="s">
        <v>33</v>
      </c>
      <c r="F61" s="101" t="s">
        <v>85</v>
      </c>
      <c r="G61" s="101" t="s">
        <v>75</v>
      </c>
      <c r="H61" s="101"/>
      <c r="I61" s="102" t="s">
        <v>279</v>
      </c>
      <c r="J61" s="101" t="s">
        <v>107</v>
      </c>
      <c r="K61" s="101" t="s">
        <v>1773</v>
      </c>
      <c r="L61" s="103">
        <f>IF(K61="mineral",(IFERROR(VLOOKUP($A61,'Singular Minerals'!$B$12:$U$500,19,FALSE),IFERROR(VLOOKUP($A61,'Multiple Minerals'!$B$26:$U$309,19,FALSE),VLOOKUP($A61,'Aggregate Minerals'!$B$19:$N$300,13,FALSE)))),(IFERROR(VLOOKUP($A61,'Singular Minerals'!$B$12:$U$500,20,FALSE),IFERROR(VLOOKUP($A61,'Multiple Minerals'!$B$26:$U$309,20,FALSE),VLOOKUP($A61,'Aggregate Minerals'!$B$19:$N$300,13,FALSE)))))</f>
        <v>1780555283.2174389</v>
      </c>
      <c r="M61" s="103">
        <v>2500000000</v>
      </c>
      <c r="N61" s="310"/>
      <c r="O61" s="103" t="str">
        <f t="shared" si="10"/>
        <v/>
      </c>
      <c r="P61" s="103">
        <f t="shared" si="11"/>
        <v>1780555283.2174389</v>
      </c>
      <c r="Q61" s="101"/>
      <c r="R61" s="101"/>
      <c r="S61" s="101"/>
      <c r="T61" s="101"/>
      <c r="U61" s="101"/>
      <c r="V61" s="103">
        <f t="shared" si="12"/>
        <v>1780555283.2174389</v>
      </c>
      <c r="W61" s="101"/>
      <c r="X61" s="101"/>
      <c r="Y61" s="101" t="s">
        <v>1186</v>
      </c>
      <c r="Z61" s="55">
        <v>0.24</v>
      </c>
      <c r="AA61" s="630"/>
    </row>
    <row r="62" spans="1:27">
      <c r="A62">
        <v>1163</v>
      </c>
      <c r="B62" s="101" t="str">
        <f>CONCATENATE("Kieserite; {", J62, "}; ", Z62," g/g in ground")</f>
        <v>Kieserite; {MgSO4(H2O)}; 0.25 g/g in ground</v>
      </c>
      <c r="C62" s="101" t="s">
        <v>84</v>
      </c>
      <c r="D62" s="101" t="s">
        <v>73</v>
      </c>
      <c r="E62" s="101" t="s">
        <v>33</v>
      </c>
      <c r="F62" s="101" t="s">
        <v>85</v>
      </c>
      <c r="G62" s="101" t="s">
        <v>75</v>
      </c>
      <c r="H62" s="101"/>
      <c r="I62" s="102" t="s">
        <v>279</v>
      </c>
      <c r="J62" s="101" t="s">
        <v>339</v>
      </c>
      <c r="K62" s="101" t="s">
        <v>1773</v>
      </c>
      <c r="L62" s="103">
        <f>IF(K62="mineral",(IFERROR(VLOOKUP($A62,'Singular Minerals'!$B$12:$U$500,19,FALSE),IFERROR(VLOOKUP($A62,'Multiple Minerals'!$B$26:$U$309,19,FALSE),VLOOKUP($A62,'Aggregate Minerals'!$B$19:$N$300,13,FALSE)))),(IFERROR(VLOOKUP($A62,'Singular Minerals'!$B$12:$U$500,20,FALSE),IFERROR(VLOOKUP($A62,'Multiple Minerals'!$B$26:$U$309,20,FALSE),VLOOKUP($A62,'Aggregate Minerals'!$B$19:$N$300,13,FALSE)))))</f>
        <v>10871827429.043901</v>
      </c>
      <c r="M62" s="103">
        <v>2500000000</v>
      </c>
      <c r="N62" s="310"/>
      <c r="O62" s="103" t="str">
        <f t="shared" si="10"/>
        <v/>
      </c>
      <c r="P62" s="103">
        <f t="shared" si="11"/>
        <v>10871827429.043901</v>
      </c>
      <c r="Q62" s="101"/>
      <c r="R62" s="101"/>
      <c r="S62" s="101"/>
      <c r="T62" s="101"/>
      <c r="U62" s="101"/>
      <c r="V62" s="103">
        <f t="shared" si="12"/>
        <v>10871827429.043901</v>
      </c>
      <c r="W62" s="101"/>
      <c r="X62" s="101"/>
      <c r="Y62" s="101" t="s">
        <v>1186</v>
      </c>
      <c r="Z62" s="55">
        <v>0.25</v>
      </c>
      <c r="AA62" s="630"/>
    </row>
    <row r="63" spans="1:27">
      <c r="A63">
        <v>2010</v>
      </c>
      <c r="B63" s="101" t="str">
        <f>CONCATENATE("Lanthanum; {", J63, "}; ", Z63," g/g in ground")</f>
        <v>Lanthanum; {La}; 0.0075 g/g in ground</v>
      </c>
      <c r="C63" s="101" t="s">
        <v>84</v>
      </c>
      <c r="D63" s="101" t="s">
        <v>73</v>
      </c>
      <c r="E63" s="101" t="s">
        <v>33</v>
      </c>
      <c r="F63" s="101" t="s">
        <v>85</v>
      </c>
      <c r="G63" s="101" t="s">
        <v>75</v>
      </c>
      <c r="H63" s="101"/>
      <c r="I63" s="102" t="s">
        <v>279</v>
      </c>
      <c r="J63" s="101" t="s">
        <v>109</v>
      </c>
      <c r="K63" s="101" t="s">
        <v>1773</v>
      </c>
      <c r="L63" s="103">
        <f>IF(K63="mineral",(IFERROR(VLOOKUP($A63,'Singular Minerals'!$B$12:$U$500,19,FALSE),IFERROR(VLOOKUP($A63,'Multiple Minerals'!$B$26:$U$309,19,FALSE),VLOOKUP($A63,'Aggregate Minerals'!$B$19:$N$300,13,FALSE)))),(IFERROR(VLOOKUP($A63,'Singular Minerals'!$B$12:$U$500,20,FALSE),IFERROR(VLOOKUP($A63,'Multiple Minerals'!$B$26:$U$309,20,FALSE),VLOOKUP($A63,'Aggregate Minerals'!$B$19:$N$300,13,FALSE)))))</f>
        <v>3613580204.4337249</v>
      </c>
      <c r="M63" s="103">
        <v>2500000000</v>
      </c>
      <c r="N63" s="310"/>
      <c r="O63" s="103" t="str">
        <f t="shared" si="10"/>
        <v/>
      </c>
      <c r="P63" s="103">
        <f t="shared" si="11"/>
        <v>3613580204.4337249</v>
      </c>
      <c r="Q63" s="101"/>
      <c r="R63" s="101"/>
      <c r="S63" s="101"/>
      <c r="T63" s="101"/>
      <c r="U63" s="101"/>
      <c r="V63" s="103">
        <f t="shared" si="12"/>
        <v>3613580204.4337249</v>
      </c>
      <c r="W63" s="101"/>
      <c r="X63" s="101"/>
      <c r="Y63" s="101" t="s">
        <v>1187</v>
      </c>
      <c r="Z63" s="84">
        <f>0.25*0.03</f>
        <v>7.4999999999999997E-3</v>
      </c>
      <c r="AA63" s="630"/>
    </row>
    <row r="64" spans="1:27">
      <c r="A64">
        <v>1119</v>
      </c>
      <c r="B64" s="101" t="str">
        <f>CONCATENATE("Lead; {", J64, "}; ", Z64," g/g in ground")</f>
        <v>Lead; {PbS}; 0.03 g/g in ground</v>
      </c>
      <c r="C64" s="101" t="s">
        <v>84</v>
      </c>
      <c r="D64" s="101" t="s">
        <v>73</v>
      </c>
      <c r="E64" s="101" t="s">
        <v>33</v>
      </c>
      <c r="F64" s="101" t="s">
        <v>85</v>
      </c>
      <c r="G64" s="101" t="s">
        <v>75</v>
      </c>
      <c r="H64" s="101"/>
      <c r="I64" s="102" t="s">
        <v>279</v>
      </c>
      <c r="J64" s="101" t="s">
        <v>741</v>
      </c>
      <c r="K64" s="101" t="s">
        <v>1772</v>
      </c>
      <c r="L64" s="103">
        <f>IF(K64="mineral",(IFERROR(VLOOKUP($A64,'Singular Minerals'!$B$12:$U$500,19,FALSE),IFERROR(VLOOKUP($A64,'Multiple Minerals'!$B$26:$U$309,19,FALSE),VLOOKUP($A64,'Aggregate Minerals'!$B$19:$N$300,13,FALSE)))),(IFERROR(VLOOKUP($A64,'Singular Minerals'!$B$12:$U$500,20,FALSE),IFERROR(VLOOKUP($A64,'Multiple Minerals'!$B$26:$U$309,20,FALSE),VLOOKUP($A64,'Aggregate Minerals'!$B$19:$N$300,13,FALSE)))))</f>
        <v>5653757622.0111485</v>
      </c>
      <c r="M64" s="103">
        <v>2500000000</v>
      </c>
      <c r="N64" s="310"/>
      <c r="O64" s="103" t="str">
        <f t="shared" si="10"/>
        <v/>
      </c>
      <c r="P64" s="103">
        <f t="shared" si="11"/>
        <v>5653757622.0111485</v>
      </c>
      <c r="Q64" s="101"/>
      <c r="R64" s="101"/>
      <c r="S64" s="101"/>
      <c r="T64" s="101"/>
      <c r="U64" s="101"/>
      <c r="V64" s="103">
        <f t="shared" si="12"/>
        <v>5653757622.0111485</v>
      </c>
      <c r="W64" s="101"/>
      <c r="X64" s="101"/>
      <c r="Y64" s="101" t="s">
        <v>910</v>
      </c>
      <c r="Z64" s="55">
        <v>0.03</v>
      </c>
      <c r="AA64" s="630"/>
    </row>
    <row r="65" spans="1:27">
      <c r="A65">
        <v>1267</v>
      </c>
      <c r="B65" s="101" t="str">
        <f>CONCATENATE("Lithium; {", J65, "}; ", Z65," g/g in ground")</f>
        <v>Lithium; {LiAlSi2O6}; 0.0015 g/g in ground</v>
      </c>
      <c r="C65" s="101" t="s">
        <v>84</v>
      </c>
      <c r="D65" s="101" t="s">
        <v>73</v>
      </c>
      <c r="E65" s="101" t="s">
        <v>33</v>
      </c>
      <c r="F65" s="101" t="s">
        <v>85</v>
      </c>
      <c r="G65" s="101" t="s">
        <v>75</v>
      </c>
      <c r="H65" s="101"/>
      <c r="I65" s="102" t="s">
        <v>279</v>
      </c>
      <c r="J65" s="101" t="str">
        <f>'Singular Minerals'!D278</f>
        <v>LiAlSi2O6</v>
      </c>
      <c r="K65" s="101" t="s">
        <v>1772</v>
      </c>
      <c r="L65" s="103">
        <f>IF(K65="mineral",(IFERROR(VLOOKUP($A65,'Singular Minerals'!$B$12:$U$500,19,FALSE),IFERROR(VLOOKUP($A65,'Multiple Minerals'!$B$26:$U$309,19,FALSE),VLOOKUP($A65,'Aggregate Minerals'!$B$19:$N$300,13,FALSE)))),(IFERROR(VLOOKUP($A65,'Singular Minerals'!$B$12:$U$500,20,FALSE),IFERROR(VLOOKUP($A65,'Multiple Minerals'!$B$26:$U$309,20,FALSE),VLOOKUP($A65,'Aggregate Minerals'!$B$19:$N$300,13,FALSE)))))</f>
        <v>91802594457.611267</v>
      </c>
      <c r="M65" s="103">
        <v>2500000000</v>
      </c>
      <c r="N65" s="310"/>
      <c r="O65" s="103" t="str">
        <f t="shared" si="10"/>
        <v/>
      </c>
      <c r="P65" s="103">
        <f t="shared" si="11"/>
        <v>91802594457.611267</v>
      </c>
      <c r="Q65" s="101"/>
      <c r="R65" s="101"/>
      <c r="S65" s="101"/>
      <c r="T65" s="101"/>
      <c r="U65" s="101"/>
      <c r="V65" s="103">
        <f t="shared" si="12"/>
        <v>91802594457.611267</v>
      </c>
      <c r="W65" s="101"/>
      <c r="X65" s="101"/>
      <c r="Y65" s="101" t="s">
        <v>1188</v>
      </c>
      <c r="Z65" s="84">
        <v>1.5E-3</v>
      </c>
      <c r="AA65" s="630"/>
    </row>
    <row r="66" spans="1:27">
      <c r="A66">
        <v>1178</v>
      </c>
      <c r="B66" s="101" t="str">
        <f>CONCATENATE("Magnesite; {", J66, "}; ", Z66," g/g in ground")</f>
        <v>Magnesite; {MgCO3}; 0.6 g/g in ground</v>
      </c>
      <c r="C66" s="101" t="s">
        <v>84</v>
      </c>
      <c r="D66" s="101" t="s">
        <v>73</v>
      </c>
      <c r="E66" s="101" t="s">
        <v>33</v>
      </c>
      <c r="F66" s="101" t="s">
        <v>85</v>
      </c>
      <c r="G66" s="101" t="s">
        <v>75</v>
      </c>
      <c r="H66" s="101"/>
      <c r="I66" s="102" t="s">
        <v>279</v>
      </c>
      <c r="J66" s="101" t="s">
        <v>112</v>
      </c>
      <c r="K66" s="101" t="s">
        <v>1773</v>
      </c>
      <c r="L66" s="103">
        <f>IF(K66="mineral",(IFERROR(VLOOKUP($A66,'Singular Minerals'!$B$12:$U$500,19,FALSE),IFERROR(VLOOKUP($A66,'Multiple Minerals'!$B$26:$U$309,19,FALSE),VLOOKUP($A66,'Aggregate Minerals'!$B$19:$N$300,13,FALSE)))),(IFERROR(VLOOKUP($A66,'Singular Minerals'!$B$12:$U$500,20,FALSE),IFERROR(VLOOKUP($A66,'Multiple Minerals'!$B$26:$U$309,20,FALSE),VLOOKUP($A66,'Aggregate Minerals'!$B$19:$N$300,13,FALSE)))))</f>
        <v>16076069613.252867</v>
      </c>
      <c r="M66" s="103">
        <v>2500000000</v>
      </c>
      <c r="N66" s="310"/>
      <c r="O66" s="103" t="str">
        <f t="shared" si="10"/>
        <v/>
      </c>
      <c r="P66" s="103">
        <f t="shared" si="11"/>
        <v>16076069613.252867</v>
      </c>
      <c r="Q66" s="101"/>
      <c r="R66" s="101"/>
      <c r="S66" s="101"/>
      <c r="T66" s="101"/>
      <c r="U66" s="101"/>
      <c r="V66" s="103">
        <f t="shared" si="12"/>
        <v>16076069613.252867</v>
      </c>
      <c r="W66" s="101"/>
      <c r="X66" s="101"/>
      <c r="Y66" s="101" t="s">
        <v>1189</v>
      </c>
      <c r="Z66" s="55">
        <v>0.6</v>
      </c>
      <c r="AA66" s="630"/>
    </row>
    <row r="67" spans="1:27">
      <c r="A67">
        <v>2007</v>
      </c>
      <c r="B67" s="101" t="str">
        <f>CONCATENATE("Manganese; {", J67, "}; ", Z67," g/g in ground")</f>
        <v>Manganese; {Mn}; 0.142 g/g in ground</v>
      </c>
      <c r="C67" s="101" t="s">
        <v>84</v>
      </c>
      <c r="D67" s="101" t="s">
        <v>73</v>
      </c>
      <c r="E67" s="101" t="s">
        <v>33</v>
      </c>
      <c r="F67" s="101" t="s">
        <v>85</v>
      </c>
      <c r="G67" s="101" t="s">
        <v>75</v>
      </c>
      <c r="H67" s="101"/>
      <c r="I67" s="102" t="s">
        <v>279</v>
      </c>
      <c r="J67" s="101" t="s">
        <v>115</v>
      </c>
      <c r="K67" s="101" t="s">
        <v>1773</v>
      </c>
      <c r="L67" s="103">
        <f>IF(K67="mineral",(IFERROR(VLOOKUP($A67,'Singular Minerals'!$B$12:$U$500,19,FALSE),IFERROR(VLOOKUP($A67,'Multiple Minerals'!$B$26:$U$309,19,FALSE),VLOOKUP($A67,'Aggregate Minerals'!$B$19:$N$300,13,FALSE)))),(IFERROR(VLOOKUP($A67,'Singular Minerals'!$B$12:$U$500,20,FALSE),IFERROR(VLOOKUP($A67,'Multiple Minerals'!$B$26:$U$309,20,FALSE),VLOOKUP($A67,'Aggregate Minerals'!$B$19:$N$300,13,FALSE)))))</f>
        <v>10861965153.311943</v>
      </c>
      <c r="M67" s="103">
        <v>2500000000</v>
      </c>
      <c r="N67" s="310"/>
      <c r="O67" s="103" t="str">
        <f t="shared" si="10"/>
        <v/>
      </c>
      <c r="P67" s="103">
        <f t="shared" si="11"/>
        <v>10861965153.311943</v>
      </c>
      <c r="Q67" s="101"/>
      <c r="R67" s="101"/>
      <c r="S67" s="101"/>
      <c r="T67" s="101"/>
      <c r="U67" s="101"/>
      <c r="V67" s="103">
        <f t="shared" si="12"/>
        <v>10861965153.311943</v>
      </c>
      <c r="W67" s="101"/>
      <c r="X67" s="101"/>
      <c r="Y67" s="101" t="s">
        <v>1190</v>
      </c>
      <c r="Z67" s="55">
        <v>0.14199999999999999</v>
      </c>
      <c r="AA67" s="630"/>
    </row>
    <row r="68" spans="1:27">
      <c r="A68">
        <v>1187</v>
      </c>
      <c r="B68" s="101" t="str">
        <f>CONCATENATE("Molybdenum; {", J68, "}; ", Z68," g/g in ground")</f>
        <v>Molybdenum; {MoS2 (Molybdenite)}; 0.000082 g/g in ground</v>
      </c>
      <c r="C68" s="101" t="s">
        <v>84</v>
      </c>
      <c r="D68" s="101" t="s">
        <v>73</v>
      </c>
      <c r="E68" s="101" t="s">
        <v>33</v>
      </c>
      <c r="F68" s="101" t="s">
        <v>85</v>
      </c>
      <c r="G68" s="101" t="s">
        <v>75</v>
      </c>
      <c r="H68" s="101"/>
      <c r="I68" s="102" t="s">
        <v>279</v>
      </c>
      <c r="J68" s="101" t="s">
        <v>1197</v>
      </c>
      <c r="K68" s="101" t="s">
        <v>1772</v>
      </c>
      <c r="L68" s="103">
        <f>IF(K68="mineral",(IFERROR(VLOOKUP($A68,'Singular Minerals'!$B$12:$U$500,19,FALSE),IFERROR(VLOOKUP($A68,'Multiple Minerals'!$B$26:$U$309,19,FALSE),VLOOKUP($A68,'Aggregate Minerals'!$B$19:$N$300,13,FALSE)))),(IFERROR(VLOOKUP($A68,'Singular Minerals'!$B$12:$U$500,20,FALSE),IFERROR(VLOOKUP($A68,'Multiple Minerals'!$B$26:$U$309,20,FALSE),VLOOKUP($A68,'Aggregate Minerals'!$B$19:$N$300,13,FALSE)))))</f>
        <v>6162171539.2238636</v>
      </c>
      <c r="M68" s="103">
        <v>2500000000</v>
      </c>
      <c r="N68" s="310"/>
      <c r="O68" s="103" t="str">
        <f t="shared" si="10"/>
        <v/>
      </c>
      <c r="P68" s="103">
        <f t="shared" si="11"/>
        <v>6162171539.2238636</v>
      </c>
      <c r="Q68" s="101"/>
      <c r="R68" s="101"/>
      <c r="S68" s="101"/>
      <c r="T68" s="101"/>
      <c r="U68" s="101"/>
      <c r="V68" s="103">
        <f t="shared" si="12"/>
        <v>6162171539.2238636</v>
      </c>
      <c r="W68" s="101"/>
      <c r="X68" s="101"/>
      <c r="Y68" s="101" t="s">
        <v>1192</v>
      </c>
      <c r="Z68" s="60">
        <v>8.2000000000000001E-5</v>
      </c>
      <c r="AA68" s="630"/>
    </row>
    <row r="69" spans="1:27">
      <c r="A69">
        <v>1187</v>
      </c>
      <c r="B69" s="101" t="str">
        <f>CONCATENATE("Molybdenum; {", J69, "}; ", Z69," g/g in ground")</f>
        <v>Molybdenum; {MoS2 (Molybdenite)}; 0.000082 g/g in ground</v>
      </c>
      <c r="C69" s="101" t="s">
        <v>84</v>
      </c>
      <c r="D69" s="101" t="s">
        <v>73</v>
      </c>
      <c r="E69" s="101" t="s">
        <v>33</v>
      </c>
      <c r="F69" s="101" t="s">
        <v>85</v>
      </c>
      <c r="G69" s="101" t="s">
        <v>75</v>
      </c>
      <c r="H69" s="101"/>
      <c r="I69" s="102" t="s">
        <v>279</v>
      </c>
      <c r="J69" s="101" t="s">
        <v>1197</v>
      </c>
      <c r="K69" s="101" t="s">
        <v>1772</v>
      </c>
      <c r="L69" s="103">
        <f>IF(K69="mineral",(IFERROR(VLOOKUP($A69,'Singular Minerals'!$B$12:$U$500,19,FALSE),IFERROR(VLOOKUP($A69,'Multiple Minerals'!$B$26:$U$309,19,FALSE),VLOOKUP($A69,'Aggregate Minerals'!$B$19:$N$300,13,FALSE)))),(IFERROR(VLOOKUP($A69,'Singular Minerals'!$B$12:$U$500,20,FALSE),IFERROR(VLOOKUP($A69,'Multiple Minerals'!$B$26:$U$309,20,FALSE),VLOOKUP($A69,'Aggregate Minerals'!$B$19:$N$300,13,FALSE)))))</f>
        <v>6162171539.2238636</v>
      </c>
      <c r="M69" s="103">
        <v>2500000000</v>
      </c>
      <c r="N69" s="310"/>
      <c r="O69" s="103" t="str">
        <f t="shared" si="10"/>
        <v/>
      </c>
      <c r="P69" s="103">
        <f t="shared" si="11"/>
        <v>6162171539.2238636</v>
      </c>
      <c r="Q69" s="101"/>
      <c r="R69" s="101"/>
      <c r="S69" s="101"/>
      <c r="T69" s="101"/>
      <c r="U69" s="101"/>
      <c r="V69" s="103">
        <f t="shared" si="12"/>
        <v>6162171539.2238636</v>
      </c>
      <c r="W69" s="101"/>
      <c r="X69" s="101"/>
      <c r="Y69" s="101" t="s">
        <v>1193</v>
      </c>
      <c r="Z69" s="60">
        <v>8.2000000000000001E-5</v>
      </c>
      <c r="AA69" s="630"/>
    </row>
    <row r="70" spans="1:27">
      <c r="A70">
        <v>1187</v>
      </c>
      <c r="B70" s="101" t="str">
        <f>CONCATENATE("Molybdenum; {", J70, "}; ", Z70," g/g in ground")</f>
        <v>Molybdenum; {MoS2 (Molybdenite)}; 0.000082 g/g in ground</v>
      </c>
      <c r="C70" s="101" t="s">
        <v>84</v>
      </c>
      <c r="D70" s="101" t="s">
        <v>73</v>
      </c>
      <c r="E70" s="101" t="s">
        <v>33</v>
      </c>
      <c r="F70" s="101" t="s">
        <v>85</v>
      </c>
      <c r="G70" s="101" t="s">
        <v>75</v>
      </c>
      <c r="H70" s="101"/>
      <c r="I70" s="102" t="s">
        <v>279</v>
      </c>
      <c r="J70" s="101" t="s">
        <v>1197</v>
      </c>
      <c r="K70" s="101" t="s">
        <v>1772</v>
      </c>
      <c r="L70" s="103">
        <f>IF(K70="mineral",(IFERROR(VLOOKUP($A70,'Singular Minerals'!$B$12:$U$500,19,FALSE),IFERROR(VLOOKUP($A70,'Multiple Minerals'!$B$26:$U$309,19,FALSE),VLOOKUP($A70,'Aggregate Minerals'!$B$19:$N$300,13,FALSE)))),(IFERROR(VLOOKUP($A70,'Singular Minerals'!$B$12:$U$500,20,FALSE),IFERROR(VLOOKUP($A70,'Multiple Minerals'!$B$26:$U$309,20,FALSE),VLOOKUP($A70,'Aggregate Minerals'!$B$19:$N$300,13,FALSE)))))</f>
        <v>6162171539.2238636</v>
      </c>
      <c r="M70" s="103">
        <v>2500000000</v>
      </c>
      <c r="N70" s="310"/>
      <c r="O70" s="103" t="str">
        <f t="shared" si="10"/>
        <v/>
      </c>
      <c r="P70" s="103">
        <f t="shared" si="11"/>
        <v>6162171539.2238636</v>
      </c>
      <c r="Q70" s="101"/>
      <c r="R70" s="101"/>
      <c r="S70" s="101"/>
      <c r="T70" s="101"/>
      <c r="U70" s="101"/>
      <c r="V70" s="103">
        <f t="shared" si="12"/>
        <v>6162171539.2238636</v>
      </c>
      <c r="W70" s="101"/>
      <c r="X70" s="101"/>
      <c r="Y70" s="101" t="s">
        <v>1194</v>
      </c>
      <c r="Z70" s="60">
        <v>8.2000000000000001E-5</v>
      </c>
      <c r="AA70" s="630"/>
    </row>
    <row r="71" spans="1:27">
      <c r="A71">
        <v>1187</v>
      </c>
      <c r="B71" s="101" t="str">
        <f>CONCATENATE("Molybdenum; {", J71, "}; ", Z71," g/g in ground")</f>
        <v>Molybdenum; {MoS2 (Molybdenite)}; 0.000082 g/g in ground</v>
      </c>
      <c r="C71" s="101" t="s">
        <v>84</v>
      </c>
      <c r="D71" s="101" t="s">
        <v>73</v>
      </c>
      <c r="E71" s="101" t="s">
        <v>33</v>
      </c>
      <c r="F71" s="101" t="s">
        <v>85</v>
      </c>
      <c r="G71" s="101" t="s">
        <v>75</v>
      </c>
      <c r="H71" s="101"/>
      <c r="I71" s="102" t="s">
        <v>279</v>
      </c>
      <c r="J71" s="101" t="s">
        <v>1197</v>
      </c>
      <c r="K71" s="101" t="s">
        <v>1772</v>
      </c>
      <c r="L71" s="103">
        <f>IF(K71="mineral",(IFERROR(VLOOKUP($A71,'Singular Minerals'!$B$12:$U$500,19,FALSE),IFERROR(VLOOKUP($A71,'Multiple Minerals'!$B$26:$U$309,19,FALSE),VLOOKUP($A71,'Aggregate Minerals'!$B$19:$N$300,13,FALSE)))),(IFERROR(VLOOKUP($A71,'Singular Minerals'!$B$12:$U$500,20,FALSE),IFERROR(VLOOKUP($A71,'Multiple Minerals'!$B$26:$U$309,20,FALSE),VLOOKUP($A71,'Aggregate Minerals'!$B$19:$N$300,13,FALSE)))))</f>
        <v>6162171539.2238636</v>
      </c>
      <c r="M71" s="103">
        <v>2500000000</v>
      </c>
      <c r="N71" s="310"/>
      <c r="O71" s="103" t="str">
        <f t="shared" si="10"/>
        <v/>
      </c>
      <c r="P71" s="103">
        <f t="shared" si="11"/>
        <v>6162171539.2238636</v>
      </c>
      <c r="Q71" s="101"/>
      <c r="R71" s="101"/>
      <c r="S71" s="101"/>
      <c r="T71" s="101"/>
      <c r="U71" s="101"/>
      <c r="V71" s="103">
        <f t="shared" si="12"/>
        <v>6162171539.2238636</v>
      </c>
      <c r="W71" s="101"/>
      <c r="X71" s="101"/>
      <c r="Y71" s="101" t="s">
        <v>1195</v>
      </c>
      <c r="Z71" s="60">
        <v>8.2000000000000001E-5</v>
      </c>
      <c r="AA71" s="630"/>
    </row>
    <row r="72" spans="1:27">
      <c r="A72">
        <v>1188</v>
      </c>
      <c r="B72" s="101" t="str">
        <f>CONCATENATE("Molybdenum; {", J72, "}; ", Z72," g/g in ground")</f>
        <v>Molybdenum; {MoS2 (Molybdenite)}; 0.00041 g/g in ground</v>
      </c>
      <c r="C72" s="101" t="s">
        <v>84</v>
      </c>
      <c r="D72" s="101" t="s">
        <v>73</v>
      </c>
      <c r="E72" s="101" t="s">
        <v>33</v>
      </c>
      <c r="F72" s="101" t="s">
        <v>85</v>
      </c>
      <c r="G72" s="101" t="s">
        <v>75</v>
      </c>
      <c r="H72" s="101"/>
      <c r="I72" s="102" t="s">
        <v>279</v>
      </c>
      <c r="J72" s="101" t="s">
        <v>1197</v>
      </c>
      <c r="K72" s="101" t="s">
        <v>1772</v>
      </c>
      <c r="L72" s="103">
        <f>IF(K72="mineral",(IFERROR(VLOOKUP($A72,'Singular Minerals'!$B$12:$U$500,19,FALSE),IFERROR(VLOOKUP($A72,'Multiple Minerals'!$B$26:$U$309,19,FALSE),VLOOKUP($A72,'Aggregate Minerals'!$B$19:$N$300,13,FALSE)))),(IFERROR(VLOOKUP($A72,'Singular Minerals'!$B$12:$U$500,20,FALSE),IFERROR(VLOOKUP($A72,'Multiple Minerals'!$B$26:$U$309,20,FALSE),VLOOKUP($A72,'Aggregate Minerals'!$B$19:$N$300,13,FALSE)))))</f>
        <v>8459441651.1940489</v>
      </c>
      <c r="M72" s="103">
        <v>2500000000</v>
      </c>
      <c r="N72" s="310"/>
      <c r="O72" s="103" t="str">
        <f t="shared" si="10"/>
        <v/>
      </c>
      <c r="P72" s="103">
        <f t="shared" si="11"/>
        <v>8459441651.1940489</v>
      </c>
      <c r="Q72" s="101"/>
      <c r="R72" s="101"/>
      <c r="S72" s="101"/>
      <c r="T72" s="101"/>
      <c r="U72" s="101"/>
      <c r="V72" s="103">
        <f t="shared" si="12"/>
        <v>8459441651.1940489</v>
      </c>
      <c r="W72" s="101"/>
      <c r="X72" s="101"/>
      <c r="Y72" s="101" t="s">
        <v>1196</v>
      </c>
      <c r="Z72" s="60">
        <v>4.0999999999999999E-4</v>
      </c>
      <c r="AA72" s="630"/>
    </row>
    <row r="73" spans="1:27">
      <c r="A73">
        <v>2015</v>
      </c>
      <c r="B73" s="101" t="str">
        <f>CONCATENATE("Nickel; {", J73, "}; ", AA73," g/g in ground")</f>
        <v>Nickel; { Fe2+4.5Ni4.5S8 (sulfide)}; 0.0076 g/g in ground</v>
      </c>
      <c r="C73" s="101" t="s">
        <v>84</v>
      </c>
      <c r="D73" s="101" t="s">
        <v>73</v>
      </c>
      <c r="E73" s="101" t="s">
        <v>33</v>
      </c>
      <c r="F73" s="101" t="s">
        <v>85</v>
      </c>
      <c r="G73" s="101" t="s">
        <v>75</v>
      </c>
      <c r="H73" s="101"/>
      <c r="I73" s="102" t="s">
        <v>279</v>
      </c>
      <c r="J73" s="101" t="s">
        <v>1198</v>
      </c>
      <c r="K73" s="101" t="s">
        <v>1772</v>
      </c>
      <c r="L73" s="103">
        <f>IF(K73="mineral",(IFERROR(VLOOKUP($A73,'Singular Minerals'!$B$12:$U$500,19,FALSE),IFERROR(VLOOKUP($A73,'Multiple Minerals'!$B$26:$U$309,19,FALSE),VLOOKUP($A73,'Aggregate Minerals'!$B$19:$N$300,13,FALSE)))),(IFERROR(VLOOKUP($A73,'Singular Minerals'!$B$12:$U$500,20,FALSE),IFERROR(VLOOKUP($A73,'Multiple Minerals'!$B$26:$U$309,20,FALSE),VLOOKUP($A73,'Aggregate Minerals'!$B$19:$N$300,13,FALSE)))))</f>
        <v>3251652514.2737474</v>
      </c>
      <c r="M73" s="103">
        <v>2500000000</v>
      </c>
      <c r="N73" s="310"/>
      <c r="O73" s="103" t="str">
        <f t="shared" si="10"/>
        <v/>
      </c>
      <c r="P73" s="103">
        <f t="shared" si="11"/>
        <v>3251652514.2737474</v>
      </c>
      <c r="Q73" s="101"/>
      <c r="R73" s="101"/>
      <c r="S73" s="101"/>
      <c r="T73" s="101"/>
      <c r="U73" s="101"/>
      <c r="V73" s="103">
        <f t="shared" si="12"/>
        <v>3251652514.2737474</v>
      </c>
      <c r="W73" s="101"/>
      <c r="X73" s="101"/>
      <c r="Y73" s="101" t="s">
        <v>1200</v>
      </c>
      <c r="Z73" s="55"/>
      <c r="AA73" s="84">
        <v>7.6E-3</v>
      </c>
    </row>
    <row r="74" spans="1:27">
      <c r="A74">
        <v>2014</v>
      </c>
      <c r="B74" s="101" t="str">
        <f>CONCATENATE("Nickel; {", J74, "}; ", AA74," g/g in ground")</f>
        <v>Nickel; {(Ni2Mg)Si2O5(OH)4 (silicate)}; 0.0104 g/g in ground</v>
      </c>
      <c r="C74" s="101" t="s">
        <v>84</v>
      </c>
      <c r="D74" s="101" t="s">
        <v>73</v>
      </c>
      <c r="E74" s="101" t="s">
        <v>33</v>
      </c>
      <c r="F74" s="101" t="s">
        <v>85</v>
      </c>
      <c r="G74" s="101" t="s">
        <v>75</v>
      </c>
      <c r="H74" s="101"/>
      <c r="I74" s="102" t="s">
        <v>279</v>
      </c>
      <c r="J74" s="101" t="s">
        <v>1199</v>
      </c>
      <c r="K74" s="101" t="s">
        <v>1772</v>
      </c>
      <c r="L74" s="103">
        <f>IF(K74="mineral",(IFERROR(VLOOKUP($A74,'Singular Minerals'!$B$12:$U$500,19,FALSE),IFERROR(VLOOKUP($A74,'Multiple Minerals'!$B$26:$U$309,19,FALSE),VLOOKUP($A74,'Aggregate Minerals'!$B$19:$N$300,13,FALSE)))),(IFERROR(VLOOKUP($A74,'Singular Minerals'!$B$12:$U$500,20,FALSE),IFERROR(VLOOKUP($A74,'Multiple Minerals'!$B$26:$U$309,20,FALSE),VLOOKUP($A74,'Aggregate Minerals'!$B$19:$N$300,13,FALSE)))))</f>
        <v>10410349468.307467</v>
      </c>
      <c r="M74" s="103">
        <v>2500000000</v>
      </c>
      <c r="N74" s="310"/>
      <c r="O74" s="103" t="str">
        <f t="shared" si="10"/>
        <v/>
      </c>
      <c r="P74" s="103">
        <f t="shared" si="11"/>
        <v>10410349468.307467</v>
      </c>
      <c r="Q74" s="101"/>
      <c r="R74" s="101"/>
      <c r="S74" s="101"/>
      <c r="T74" s="101"/>
      <c r="U74" s="101"/>
      <c r="V74" s="103">
        <f t="shared" si="12"/>
        <v>10410349468.307467</v>
      </c>
      <c r="W74" s="101"/>
      <c r="X74" s="101"/>
      <c r="Y74" s="101" t="s">
        <v>1201</v>
      </c>
      <c r="Z74" s="55"/>
      <c r="AA74" s="84">
        <v>1.04E-2</v>
      </c>
    </row>
    <row r="75" spans="1:27">
      <c r="A75">
        <v>1209</v>
      </c>
      <c r="B75" s="101" t="str">
        <f>CONCATENATE("Olivine; {", J75, "}; ", Z75," g/g in ground")</f>
        <v>Olivine; {(Mg,Fe)2[SiO4]}; 0.92 g/g in ground</v>
      </c>
      <c r="C75" s="101" t="s">
        <v>84</v>
      </c>
      <c r="D75" s="101" t="s">
        <v>73</v>
      </c>
      <c r="E75" s="101" t="s">
        <v>33</v>
      </c>
      <c r="F75" s="101" t="s">
        <v>85</v>
      </c>
      <c r="G75" s="101" t="s">
        <v>75</v>
      </c>
      <c r="H75" s="101"/>
      <c r="I75" s="102" t="s">
        <v>279</v>
      </c>
      <c r="J75" s="101" t="s">
        <v>121</v>
      </c>
      <c r="K75" s="101" t="s">
        <v>1773</v>
      </c>
      <c r="L75" s="103">
        <f>IF(K75="mineral",(IFERROR(VLOOKUP($A75,'Singular Minerals'!$B$12:$U$500,19,FALSE),IFERROR(VLOOKUP($A75,'Multiple Minerals'!$B$26:$U$309,19,FALSE),VLOOKUP($A75,'Aggregate Minerals'!$B$19:$N$300,13,FALSE)))),(IFERROR(VLOOKUP($A75,'Singular Minerals'!$B$12:$U$500,20,FALSE),IFERROR(VLOOKUP($A75,'Multiple Minerals'!$B$26:$U$309,20,FALSE),VLOOKUP($A75,'Aggregate Minerals'!$B$19:$N$300,13,FALSE)))))</f>
        <v>7391005661.337162</v>
      </c>
      <c r="M75" s="103">
        <v>2500000000</v>
      </c>
      <c r="N75" s="310"/>
      <c r="O75" s="103" t="str">
        <f t="shared" si="10"/>
        <v/>
      </c>
      <c r="P75" s="103">
        <f t="shared" si="11"/>
        <v>7391005661.337162</v>
      </c>
      <c r="Q75" s="101"/>
      <c r="R75" s="101"/>
      <c r="S75" s="101"/>
      <c r="T75" s="101"/>
      <c r="U75" s="101"/>
      <c r="V75" s="103">
        <f t="shared" si="12"/>
        <v>7391005661.337162</v>
      </c>
      <c r="W75" s="101"/>
      <c r="X75" s="101"/>
      <c r="Y75" s="101" t="s">
        <v>1202</v>
      </c>
      <c r="Z75" s="55">
        <v>0.92</v>
      </c>
      <c r="AA75" s="630"/>
    </row>
    <row r="76" spans="1:27">
      <c r="A76">
        <v>1083</v>
      </c>
      <c r="B76" s="101" t="str">
        <f>CONCATENATE("Palladium; {", J76, "}; ", Z76," g/g in ground")</f>
        <v>Palladium; {Pt0.6Pd0.3Ni0.1S}; 0.000002 g/g in ground</v>
      </c>
      <c r="C76" s="101" t="s">
        <v>84</v>
      </c>
      <c r="D76" s="101" t="s">
        <v>73</v>
      </c>
      <c r="E76" s="101" t="s">
        <v>33</v>
      </c>
      <c r="F76" s="101" t="s">
        <v>85</v>
      </c>
      <c r="G76" s="101" t="s">
        <v>75</v>
      </c>
      <c r="H76" s="101"/>
      <c r="I76" s="102" t="s">
        <v>279</v>
      </c>
      <c r="J76" s="101" t="s">
        <v>272</v>
      </c>
      <c r="K76" s="101" t="s">
        <v>1772</v>
      </c>
      <c r="L76" s="103">
        <f>IF(K76="mineral",(IFERROR(VLOOKUP($A76,'Singular Minerals'!$B$12:$U$500,19,FALSE),IFERROR(VLOOKUP($A76,'Multiple Minerals'!$B$26:$U$309,19,FALSE),VLOOKUP($A76,'Aggregate Minerals'!$B$19:$N$300,13,FALSE)))),(IFERROR(VLOOKUP($A76,'Singular Minerals'!$B$12:$U$500,20,FALSE),IFERROR(VLOOKUP($A76,'Multiple Minerals'!$B$26:$U$309,20,FALSE),VLOOKUP($A76,'Aggregate Minerals'!$B$19:$N$300,13,FALSE)))))</f>
        <v>44174239569.918205</v>
      </c>
      <c r="M76" s="103">
        <v>2500000000</v>
      </c>
      <c r="N76" s="310"/>
      <c r="O76" s="103" t="str">
        <f t="shared" si="10"/>
        <v/>
      </c>
      <c r="P76" s="103">
        <f t="shared" si="11"/>
        <v>44174239569.918205</v>
      </c>
      <c r="Q76" s="101"/>
      <c r="R76" s="101"/>
      <c r="S76" s="101"/>
      <c r="T76" s="101"/>
      <c r="U76" s="101"/>
      <c r="V76" s="103">
        <f t="shared" si="12"/>
        <v>44174239569.918205</v>
      </c>
      <c r="W76" s="101"/>
      <c r="X76" s="101"/>
      <c r="Y76" s="101" t="s">
        <v>1203</v>
      </c>
      <c r="Z76" s="87">
        <v>1.9999999999999999E-6</v>
      </c>
      <c r="AA76" s="630"/>
    </row>
    <row r="77" spans="1:27">
      <c r="A77">
        <v>1084</v>
      </c>
      <c r="B77" s="101" t="str">
        <f>CONCATENATE("Palladium; {", J77, "}; ", Z77," g/g in ground")</f>
        <v>Palladium; {Pt0.6Pd0.3Ni0.1S}; 0.0000073 g/g in ground</v>
      </c>
      <c r="C77" s="101" t="s">
        <v>84</v>
      </c>
      <c r="D77" s="101" t="s">
        <v>73</v>
      </c>
      <c r="E77" s="101" t="s">
        <v>33</v>
      </c>
      <c r="F77" s="101" t="s">
        <v>85</v>
      </c>
      <c r="G77" s="101" t="s">
        <v>75</v>
      </c>
      <c r="H77" s="101"/>
      <c r="I77" s="102" t="s">
        <v>279</v>
      </c>
      <c r="J77" s="101" t="s">
        <v>272</v>
      </c>
      <c r="K77" s="101" t="s">
        <v>1772</v>
      </c>
      <c r="L77" s="103">
        <f>IF(K77="mineral",(IFERROR(VLOOKUP($A77,'Singular Minerals'!$B$12:$U$500,19,FALSE),IFERROR(VLOOKUP($A77,'Multiple Minerals'!$B$26:$U$309,19,FALSE),VLOOKUP($A77,'Aggregate Minerals'!$B$19:$N$300,13,FALSE)))),(IFERROR(VLOOKUP($A77,'Singular Minerals'!$B$12:$U$500,20,FALSE),IFERROR(VLOOKUP($A77,'Multiple Minerals'!$B$26:$U$309,20,FALSE),VLOOKUP($A77,'Aggregate Minerals'!$B$19:$N$300,13,FALSE)))))</f>
        <v>49727797426.601189</v>
      </c>
      <c r="M77" s="103">
        <v>2500000000</v>
      </c>
      <c r="N77" s="310"/>
      <c r="O77" s="103" t="str">
        <f t="shared" si="10"/>
        <v/>
      </c>
      <c r="P77" s="103">
        <f t="shared" si="11"/>
        <v>49727797426.601189</v>
      </c>
      <c r="Q77" s="101"/>
      <c r="R77" s="101"/>
      <c r="S77" s="101"/>
      <c r="T77" s="101"/>
      <c r="U77" s="101"/>
      <c r="V77" s="103">
        <f t="shared" si="12"/>
        <v>49727797426.601189</v>
      </c>
      <c r="W77" s="101"/>
      <c r="X77" s="101"/>
      <c r="Y77" s="101" t="s">
        <v>1203</v>
      </c>
      <c r="Z77" s="87">
        <v>7.3000000000000004E-6</v>
      </c>
      <c r="AA77" s="630"/>
    </row>
    <row r="78" spans="1:27">
      <c r="A78">
        <v>1019</v>
      </c>
      <c r="B78" s="101" t="str">
        <f>CONCATENATE("Phosphorous in Apatite; {", J78, "}; ", AA78," g/g in ground")</f>
        <v>Phosphorous in Apatite; {Ca5(PO4)3(OH)0.33F0.33Cl0.33}; 0.12 g/g in ground</v>
      </c>
      <c r="C78" s="101" t="s">
        <v>84</v>
      </c>
      <c r="D78" s="101" t="s">
        <v>73</v>
      </c>
      <c r="E78" s="101" t="s">
        <v>33</v>
      </c>
      <c r="F78" s="101" t="s">
        <v>85</v>
      </c>
      <c r="G78" s="101" t="s">
        <v>75</v>
      </c>
      <c r="H78" s="101"/>
      <c r="I78" s="102" t="s">
        <v>279</v>
      </c>
      <c r="J78" s="101" t="s">
        <v>914</v>
      </c>
      <c r="K78" s="101" t="s">
        <v>1772</v>
      </c>
      <c r="L78" s="103">
        <f>IF(K78="mineral",(IFERROR(VLOOKUP($A78,'Singular Minerals'!$B$12:$U$500,19,FALSE),IFERROR(VLOOKUP($A78,'Multiple Minerals'!$B$26:$U$309,19,FALSE),VLOOKUP($A78,'Aggregate Minerals'!$B$19:$N$300,13,FALSE)))),(IFERROR(VLOOKUP($A78,'Singular Minerals'!$B$12:$U$500,20,FALSE),IFERROR(VLOOKUP($A78,'Multiple Minerals'!$B$26:$U$309,20,FALSE),VLOOKUP($A78,'Aggregate Minerals'!$B$19:$N$300,13,FALSE)))))</f>
        <v>10904197381.178167</v>
      </c>
      <c r="M78" s="103">
        <v>2500000000</v>
      </c>
      <c r="N78" s="310"/>
      <c r="O78" s="103" t="str">
        <f t="shared" si="10"/>
        <v/>
      </c>
      <c r="P78" s="103">
        <f t="shared" si="11"/>
        <v>10904197381.178167</v>
      </c>
      <c r="Q78" s="101"/>
      <c r="R78" s="101"/>
      <c r="S78" s="101"/>
      <c r="T78" s="101"/>
      <c r="U78" s="101"/>
      <c r="V78" s="103">
        <f t="shared" si="12"/>
        <v>10904197381.178167</v>
      </c>
      <c r="W78" s="101"/>
      <c r="X78" s="101"/>
      <c r="Y78" s="101" t="s">
        <v>1204</v>
      </c>
      <c r="Z78" s="55"/>
      <c r="AA78" s="55">
        <v>0.12</v>
      </c>
    </row>
    <row r="79" spans="1:27">
      <c r="A79">
        <v>1022</v>
      </c>
      <c r="B79" s="101" t="str">
        <f>CONCATENATE("Phosphorous in Apatite; {", J79, "}; ", AA79," g/g in ground")</f>
        <v>Phosphorous in Apatite; {Ca5(PO4)3(OH)0.33F0.33Cl0.33}; 0.04 g/g in ground</v>
      </c>
      <c r="C79" s="101" t="s">
        <v>84</v>
      </c>
      <c r="D79" s="101" t="s">
        <v>73</v>
      </c>
      <c r="E79" s="101" t="s">
        <v>33</v>
      </c>
      <c r="F79" s="101" t="s">
        <v>85</v>
      </c>
      <c r="G79" s="101" t="s">
        <v>75</v>
      </c>
      <c r="H79" s="101"/>
      <c r="I79" s="102" t="s">
        <v>279</v>
      </c>
      <c r="J79" s="101" t="s">
        <v>914</v>
      </c>
      <c r="K79" s="101" t="s">
        <v>1772</v>
      </c>
      <c r="L79" s="103">
        <f>IF(K79="mineral",(IFERROR(VLOOKUP($A79,'Singular Minerals'!$B$12:$U$500,19,FALSE),IFERROR(VLOOKUP($A79,'Multiple Minerals'!$B$26:$U$309,19,FALSE),VLOOKUP($A79,'Aggregate Minerals'!$B$19:$N$300,13,FALSE)))),(IFERROR(VLOOKUP($A79,'Singular Minerals'!$B$12:$U$500,20,FALSE),IFERROR(VLOOKUP($A79,'Multiple Minerals'!$B$26:$U$309,20,FALSE),VLOOKUP($A79,'Aggregate Minerals'!$B$19:$N$300,13,FALSE)))))</f>
        <v>9284926368.3705864</v>
      </c>
      <c r="M79" s="103">
        <v>2500000000</v>
      </c>
      <c r="N79" s="310"/>
      <c r="O79" s="103" t="str">
        <f t="shared" si="10"/>
        <v/>
      </c>
      <c r="P79" s="103">
        <f t="shared" si="11"/>
        <v>9284926368.3705864</v>
      </c>
      <c r="Q79" s="101"/>
      <c r="R79" s="101"/>
      <c r="S79" s="101"/>
      <c r="T79" s="101"/>
      <c r="U79" s="101"/>
      <c r="V79" s="103">
        <f t="shared" si="12"/>
        <v>9284926368.3705864</v>
      </c>
      <c r="W79" s="101"/>
      <c r="X79" s="101"/>
      <c r="Y79" s="101" t="s">
        <v>1205</v>
      </c>
      <c r="Z79" s="55"/>
      <c r="AA79" s="55">
        <v>0.04</v>
      </c>
    </row>
    <row r="80" spans="1:27">
      <c r="A80">
        <v>1085</v>
      </c>
      <c r="B80" s="101" t="str">
        <f>CONCATENATE("Platinum; {", J80, "}; ", AA80," g/g in ground")</f>
        <v>Platinum; {Pt}; 0.0000025 g/g in ground</v>
      </c>
      <c r="C80" s="101" t="s">
        <v>84</v>
      </c>
      <c r="D80" s="101" t="s">
        <v>73</v>
      </c>
      <c r="E80" s="101" t="s">
        <v>33</v>
      </c>
      <c r="F80" s="101" t="s">
        <v>85</v>
      </c>
      <c r="G80" s="101" t="s">
        <v>75</v>
      </c>
      <c r="H80" s="101"/>
      <c r="I80" s="102" t="s">
        <v>279</v>
      </c>
      <c r="J80" s="101" t="s">
        <v>125</v>
      </c>
      <c r="K80" s="101" t="s">
        <v>1772</v>
      </c>
      <c r="L80" s="103">
        <f>IF(K80="mineral",(IFERROR(VLOOKUP($A80,'Singular Minerals'!$B$12:$U$500,19,FALSE),IFERROR(VLOOKUP($A80,'Multiple Minerals'!$B$26:$U$309,19,FALSE),VLOOKUP($A80,'Aggregate Minerals'!$B$19:$N$300,13,FALSE)))),(IFERROR(VLOOKUP($A80,'Singular Minerals'!$B$12:$U$500,20,FALSE),IFERROR(VLOOKUP($A80,'Multiple Minerals'!$B$26:$U$309,20,FALSE),VLOOKUP($A80,'Aggregate Minerals'!$B$19:$N$300,13,FALSE)))))</f>
        <v>29392037460.073624</v>
      </c>
      <c r="M80" s="103">
        <v>2500000000</v>
      </c>
      <c r="N80" s="310"/>
      <c r="O80" s="103" t="str">
        <f t="shared" si="10"/>
        <v/>
      </c>
      <c r="P80" s="103">
        <f t="shared" si="11"/>
        <v>29392037460.073624</v>
      </c>
      <c r="Q80" s="101"/>
      <c r="R80" s="101"/>
      <c r="S80" s="101"/>
      <c r="T80" s="101"/>
      <c r="U80" s="101"/>
      <c r="V80" s="103">
        <f t="shared" si="12"/>
        <v>29392037460.073624</v>
      </c>
      <c r="W80" s="101"/>
      <c r="X80" s="101"/>
      <c r="Y80" s="101" t="s">
        <v>1206</v>
      </c>
      <c r="Z80" s="55"/>
      <c r="AA80" s="87">
        <v>2.5000000000000002E-6</v>
      </c>
    </row>
    <row r="81" spans="1:27">
      <c r="A81">
        <v>1086</v>
      </c>
      <c r="B81" s="101" t="str">
        <f>CONCATENATE("Platinum; {", J81, "}; ", AA81," g/g in ground")</f>
        <v>Platinum; {Pt}; 0.0000048 g/g in ground</v>
      </c>
      <c r="C81" s="101" t="s">
        <v>84</v>
      </c>
      <c r="D81" s="101" t="s">
        <v>73</v>
      </c>
      <c r="E81" s="101" t="s">
        <v>33</v>
      </c>
      <c r="F81" s="101" t="s">
        <v>85</v>
      </c>
      <c r="G81" s="101" t="s">
        <v>75</v>
      </c>
      <c r="H81" s="101"/>
      <c r="I81" s="102" t="s">
        <v>279</v>
      </c>
      <c r="J81" s="101" t="s">
        <v>125</v>
      </c>
      <c r="K81" s="101" t="s">
        <v>1772</v>
      </c>
      <c r="L81" s="103">
        <f>IF(K81="mineral",(IFERROR(VLOOKUP($A81,'Singular Minerals'!$B$12:$U$500,19,FALSE),IFERROR(VLOOKUP($A81,'Multiple Minerals'!$B$26:$U$309,19,FALSE),VLOOKUP($A81,'Aggregate Minerals'!$B$19:$N$300,13,FALSE)))),(IFERROR(VLOOKUP($A81,'Singular Minerals'!$B$12:$U$500,20,FALSE),IFERROR(VLOOKUP($A81,'Multiple Minerals'!$B$26:$U$309,20,FALSE),VLOOKUP($A81,'Aggregate Minerals'!$B$19:$N$300,13,FALSE)))))</f>
        <v>31284616834.92897</v>
      </c>
      <c r="M81" s="103">
        <v>2500000000</v>
      </c>
      <c r="N81" s="310"/>
      <c r="O81" s="103" t="str">
        <f t="shared" si="10"/>
        <v/>
      </c>
      <c r="P81" s="103">
        <f t="shared" si="11"/>
        <v>31284616834.92897</v>
      </c>
      <c r="Q81" s="101"/>
      <c r="R81" s="101"/>
      <c r="S81" s="101"/>
      <c r="T81" s="101"/>
      <c r="U81" s="101"/>
      <c r="V81" s="103">
        <f t="shared" si="12"/>
        <v>31284616834.92897</v>
      </c>
      <c r="W81" s="101"/>
      <c r="X81" s="101"/>
      <c r="Y81" s="101" t="s">
        <v>1206</v>
      </c>
      <c r="Z81" s="55"/>
      <c r="AA81" s="87">
        <v>4.7999999999999998E-6</v>
      </c>
    </row>
    <row r="82" spans="1:27">
      <c r="A82">
        <v>1189</v>
      </c>
      <c r="B82" s="101" t="str">
        <f>CONCATENATE("Rhenium; {", J82, "}; ", AA82," g/g in ground")</f>
        <v>Rhenium; {Re}; 0.00041 g/g in ground</v>
      </c>
      <c r="C82" s="101" t="s">
        <v>84</v>
      </c>
      <c r="D82" s="101" t="s">
        <v>73</v>
      </c>
      <c r="E82" s="101" t="s">
        <v>33</v>
      </c>
      <c r="F82" s="101" t="s">
        <v>85</v>
      </c>
      <c r="G82" s="101" t="s">
        <v>75</v>
      </c>
      <c r="H82" s="101"/>
      <c r="I82" s="102" t="s">
        <v>279</v>
      </c>
      <c r="J82" s="101" t="s">
        <v>130</v>
      </c>
      <c r="K82" s="101" t="s">
        <v>1772</v>
      </c>
      <c r="L82" s="103">
        <f>IF(K82="mineral",(IFERROR(VLOOKUP($A82,'Singular Minerals'!$B$12:$U$500,19,FALSE),IFERROR(VLOOKUP($A82,'Multiple Minerals'!$B$26:$U$309,19,FALSE),VLOOKUP($A82,'Aggregate Minerals'!$B$19:$N$300,13,FALSE)))),(IFERROR(VLOOKUP($A82,'Singular Minerals'!$B$12:$U$500,20,FALSE),IFERROR(VLOOKUP($A82,'Multiple Minerals'!$B$26:$U$309,20,FALSE),VLOOKUP($A82,'Aggregate Minerals'!$B$19:$N$300,13,FALSE)))))</f>
        <v>26529241518500.566</v>
      </c>
      <c r="M82" s="103">
        <v>2500000000</v>
      </c>
      <c r="N82" s="310"/>
      <c r="O82" s="103" t="str">
        <f t="shared" si="10"/>
        <v/>
      </c>
      <c r="P82" s="103">
        <f t="shared" si="11"/>
        <v>26529241518500.566</v>
      </c>
      <c r="Q82" s="101"/>
      <c r="R82" s="101"/>
      <c r="S82" s="101"/>
      <c r="T82" s="101"/>
      <c r="U82" s="101"/>
      <c r="V82" s="103">
        <f t="shared" si="12"/>
        <v>26529241518500.566</v>
      </c>
      <c r="W82" s="101"/>
      <c r="X82" s="101"/>
      <c r="Y82" s="101" t="s">
        <v>1207</v>
      </c>
      <c r="Z82" s="55"/>
      <c r="AA82" s="60">
        <f>Z72</f>
        <v>4.0999999999999999E-4</v>
      </c>
    </row>
    <row r="83" spans="1:27">
      <c r="A83">
        <v>1072</v>
      </c>
      <c r="B83" s="101" t="str">
        <f>CONCATENATE("Rhodium; {", J83, "}; ", AA83," g/g in ground")</f>
        <v>Rhodium; {Rh}; 0.0000002 g/g in ground</v>
      </c>
      <c r="C83" s="101" t="s">
        <v>84</v>
      </c>
      <c r="D83" s="101" t="s">
        <v>73</v>
      </c>
      <c r="E83" s="101" t="s">
        <v>33</v>
      </c>
      <c r="F83" s="101" t="s">
        <v>85</v>
      </c>
      <c r="G83" s="101" t="s">
        <v>75</v>
      </c>
      <c r="H83" s="101"/>
      <c r="I83" s="102" t="s">
        <v>279</v>
      </c>
      <c r="J83" s="101" t="s">
        <v>131</v>
      </c>
      <c r="K83" s="101" t="s">
        <v>1772</v>
      </c>
      <c r="L83" s="103">
        <f>IF(K83="mineral",(IFERROR(VLOOKUP($A83,'Singular Minerals'!$B$12:$U$500,19,FALSE),IFERROR(VLOOKUP($A83,'Multiple Minerals'!$B$26:$U$309,19,FALSE),VLOOKUP($A83,'Aggregate Minerals'!$B$19:$N$300,13,FALSE)))),(IFERROR(VLOOKUP($A83,'Singular Minerals'!$B$12:$U$500,20,FALSE),IFERROR(VLOOKUP($A83,'Multiple Minerals'!$B$26:$U$309,20,FALSE),VLOOKUP($A83,'Aggregate Minerals'!$B$19:$N$300,13,FALSE)))))</f>
        <v>5448880475379374</v>
      </c>
      <c r="M83" s="103">
        <v>2500000000</v>
      </c>
      <c r="N83" s="310"/>
      <c r="O83" s="103" t="str">
        <f t="shared" si="10"/>
        <v/>
      </c>
      <c r="P83" s="103">
        <f t="shared" si="11"/>
        <v>5448880475379374</v>
      </c>
      <c r="Q83" s="101"/>
      <c r="R83" s="101"/>
      <c r="S83" s="101"/>
      <c r="T83" s="101"/>
      <c r="U83" s="101"/>
      <c r="V83" s="103">
        <f t="shared" si="12"/>
        <v>5448880475379374</v>
      </c>
      <c r="W83" s="101"/>
      <c r="X83" s="101"/>
      <c r="Y83" s="101" t="s">
        <v>1209</v>
      </c>
      <c r="Z83" s="55"/>
      <c r="AA83" s="87">
        <v>1.9999999999999999E-7</v>
      </c>
    </row>
    <row r="84" spans="1:27">
      <c r="A84">
        <v>1073</v>
      </c>
      <c r="B84" s="101" t="str">
        <f>CONCATENATE("Rhodium; {", J84, "}; ", AA84," g/g in ground")</f>
        <v>Rhodium; {Rh}; 0.00000024 g/g in ground</v>
      </c>
      <c r="C84" s="101" t="s">
        <v>84</v>
      </c>
      <c r="D84" s="101" t="s">
        <v>73</v>
      </c>
      <c r="E84" s="101" t="s">
        <v>33</v>
      </c>
      <c r="F84" s="101" t="s">
        <v>85</v>
      </c>
      <c r="G84" s="101" t="s">
        <v>75</v>
      </c>
      <c r="H84" s="101"/>
      <c r="I84" s="102" t="s">
        <v>279</v>
      </c>
      <c r="J84" s="101" t="s">
        <v>131</v>
      </c>
      <c r="K84" s="101" t="s">
        <v>1772</v>
      </c>
      <c r="L84" s="103">
        <f>IF(K84="mineral",(IFERROR(VLOOKUP($A84,'Singular Minerals'!$B$12:$U$500,19,FALSE),IFERROR(VLOOKUP($A84,'Multiple Minerals'!$B$26:$U$309,19,FALSE),VLOOKUP($A84,'Aggregate Minerals'!$B$19:$N$300,13,FALSE)))),(IFERROR(VLOOKUP($A84,'Singular Minerals'!$B$12:$U$500,20,FALSE),IFERROR(VLOOKUP($A84,'Multiple Minerals'!$B$26:$U$309,20,FALSE),VLOOKUP($A84,'Aggregate Minerals'!$B$19:$N$300,13,FALSE)))))</f>
        <v>4540733729482812</v>
      </c>
      <c r="M84" s="103">
        <v>2500000000</v>
      </c>
      <c r="N84" s="310"/>
      <c r="O84" s="103" t="str">
        <f t="shared" si="10"/>
        <v/>
      </c>
      <c r="P84" s="103">
        <f t="shared" si="11"/>
        <v>4540733729482812</v>
      </c>
      <c r="Q84" s="101"/>
      <c r="R84" s="101"/>
      <c r="S84" s="101"/>
      <c r="T84" s="101"/>
      <c r="U84" s="101"/>
      <c r="V84" s="103">
        <f t="shared" si="12"/>
        <v>4540733729482812</v>
      </c>
      <c r="W84" s="101"/>
      <c r="X84" s="101"/>
      <c r="Y84" s="101" t="s">
        <v>1208</v>
      </c>
      <c r="Z84" s="55"/>
      <c r="AA84" s="87">
        <v>2.3999999999999998E-7</v>
      </c>
    </row>
    <row r="85" spans="1:27">
      <c r="A85">
        <v>2004</v>
      </c>
      <c r="B85" s="101" t="str">
        <f t="shared" ref="B85:B90" si="13">CONCATENATE("Silver; {", J85, "}; ", AA85," g/g in ground")</f>
        <v>Silver; {Weighted of several silver sulfides}; 0.00004 g/g in ground</v>
      </c>
      <c r="C85" s="101" t="s">
        <v>84</v>
      </c>
      <c r="D85" s="101" t="s">
        <v>73</v>
      </c>
      <c r="E85" s="101" t="s">
        <v>33</v>
      </c>
      <c r="F85" s="101" t="s">
        <v>85</v>
      </c>
      <c r="G85" s="101" t="s">
        <v>75</v>
      </c>
      <c r="H85" s="101"/>
      <c r="I85" s="102" t="s">
        <v>279</v>
      </c>
      <c r="J85" s="101" t="s">
        <v>1217</v>
      </c>
      <c r="K85" s="101" t="s">
        <v>1773</v>
      </c>
      <c r="L85" s="103">
        <f>IF(K85="mineral",(IFERROR(VLOOKUP($A85,'Singular Minerals'!$B$12:$U$500,19,FALSE),IFERROR(VLOOKUP($A85,'Multiple Minerals'!$B$26:$U$309,19,FALSE),VLOOKUP($A85,'Aggregate Minerals'!$B$19:$N$300,13,FALSE)))),(IFERROR(VLOOKUP($A85,'Singular Minerals'!$B$12:$U$500,20,FALSE),IFERROR(VLOOKUP($A85,'Multiple Minerals'!$B$26:$U$309,20,FALSE),VLOOKUP($A85,'Aggregate Minerals'!$B$19:$N$300,13,FALSE)))))</f>
        <v>3886196578.5171313</v>
      </c>
      <c r="M85" s="103">
        <v>2500000000</v>
      </c>
      <c r="N85" s="310"/>
      <c r="O85" s="103" t="str">
        <f t="shared" si="10"/>
        <v/>
      </c>
      <c r="P85" s="103">
        <f t="shared" si="11"/>
        <v>3886196578.5171313</v>
      </c>
      <c r="Q85" s="101"/>
      <c r="R85" s="101"/>
      <c r="S85" s="101"/>
      <c r="T85" s="101"/>
      <c r="U85" s="101"/>
      <c r="V85" s="103">
        <f t="shared" si="12"/>
        <v>3886196578.5171313</v>
      </c>
      <c r="W85" s="101"/>
      <c r="X85" s="101"/>
      <c r="Y85" s="101" t="s">
        <v>1211</v>
      </c>
      <c r="Z85" s="55"/>
      <c r="AA85" s="60">
        <v>4.0000000000000003E-5</v>
      </c>
    </row>
    <row r="86" spans="1:27">
      <c r="A86">
        <v>2005</v>
      </c>
      <c r="B86" s="101" t="str">
        <f t="shared" si="13"/>
        <v>Silver; {Weighted of several silver sulfides}; 0.0000012 g/g in ground</v>
      </c>
      <c r="C86" s="101" t="s">
        <v>84</v>
      </c>
      <c r="D86" s="101" t="s">
        <v>73</v>
      </c>
      <c r="E86" s="101" t="s">
        <v>33</v>
      </c>
      <c r="F86" s="101" t="s">
        <v>85</v>
      </c>
      <c r="G86" s="101" t="s">
        <v>75</v>
      </c>
      <c r="H86" s="101"/>
      <c r="I86" s="102" t="s">
        <v>279</v>
      </c>
      <c r="J86" s="101" t="s">
        <v>1217</v>
      </c>
      <c r="K86" s="101" t="s">
        <v>1773</v>
      </c>
      <c r="L86" s="103">
        <f>IF(K86="mineral",(IFERROR(VLOOKUP($A86,'Singular Minerals'!$B$12:$U$500,19,FALSE),IFERROR(VLOOKUP($A86,'Multiple Minerals'!$B$26:$U$309,19,FALSE),VLOOKUP($A86,'Aggregate Minerals'!$B$19:$N$300,13,FALSE)))),(IFERROR(VLOOKUP($A86,'Singular Minerals'!$B$12:$U$500,20,FALSE),IFERROR(VLOOKUP($A86,'Multiple Minerals'!$B$26:$U$309,20,FALSE),VLOOKUP($A86,'Aggregate Minerals'!$B$19:$N$300,13,FALSE)))))</f>
        <v>2277868851.456686</v>
      </c>
      <c r="M86" s="103">
        <v>2500000000</v>
      </c>
      <c r="N86" s="310"/>
      <c r="O86" s="103" t="str">
        <f t="shared" si="10"/>
        <v/>
      </c>
      <c r="P86" s="103">
        <f t="shared" si="11"/>
        <v>2277868851.456686</v>
      </c>
      <c r="Q86" s="101"/>
      <c r="R86" s="101"/>
      <c r="S86" s="101"/>
      <c r="T86" s="101"/>
      <c r="U86" s="101"/>
      <c r="V86" s="103">
        <f t="shared" si="12"/>
        <v>2277868851.456686</v>
      </c>
      <c r="W86" s="101"/>
      <c r="X86" s="101"/>
      <c r="Y86" s="101" t="s">
        <v>1212</v>
      </c>
      <c r="Z86" s="55"/>
      <c r="AA86" s="86">
        <v>1.1999999999999999E-6</v>
      </c>
    </row>
    <row r="87" spans="1:27">
      <c r="A87">
        <v>1195</v>
      </c>
      <c r="B87" s="101" t="str">
        <f t="shared" si="13"/>
        <v>Silver; {Ag}; 0.0000021 g/g in ground</v>
      </c>
      <c r="C87" s="101" t="s">
        <v>84</v>
      </c>
      <c r="D87" s="101" t="s">
        <v>73</v>
      </c>
      <c r="E87" s="101" t="s">
        <v>33</v>
      </c>
      <c r="F87" s="101" t="s">
        <v>85</v>
      </c>
      <c r="G87" s="101" t="s">
        <v>75</v>
      </c>
      <c r="H87" s="101"/>
      <c r="I87" s="102" t="s">
        <v>279</v>
      </c>
      <c r="J87" s="101" t="s">
        <v>333</v>
      </c>
      <c r="K87" s="101" t="s">
        <v>1772</v>
      </c>
      <c r="L87" s="103">
        <f>IF(K87="mineral",(IFERROR(VLOOKUP($A87,'Singular Minerals'!$B$12:$U$500,19,FALSE),IFERROR(VLOOKUP($A87,'Multiple Minerals'!$B$26:$U$309,19,FALSE),VLOOKUP($A87,'Aggregate Minerals'!$B$19:$N$300,13,FALSE)))),(IFERROR(VLOOKUP($A87,'Singular Minerals'!$B$12:$U$500,20,FALSE),IFERROR(VLOOKUP($A87,'Multiple Minerals'!$B$26:$U$309,20,FALSE),VLOOKUP($A87,'Aggregate Minerals'!$B$19:$N$300,13,FALSE)))))</f>
        <v>5850753719.5511713</v>
      </c>
      <c r="M87" s="103">
        <v>2500000000</v>
      </c>
      <c r="N87" s="310"/>
      <c r="O87" s="103" t="str">
        <f t="shared" si="10"/>
        <v/>
      </c>
      <c r="P87" s="103">
        <f t="shared" si="11"/>
        <v>5850753719.5511713</v>
      </c>
      <c r="Q87" s="101"/>
      <c r="R87" s="101"/>
      <c r="S87" s="101"/>
      <c r="T87" s="101"/>
      <c r="U87" s="101"/>
      <c r="V87" s="103">
        <f t="shared" si="12"/>
        <v>5850753719.5511713</v>
      </c>
      <c r="W87" s="101"/>
      <c r="X87" s="101"/>
      <c r="Y87" s="101" t="s">
        <v>1213</v>
      </c>
      <c r="Z87" s="55"/>
      <c r="AA87" s="86">
        <v>2.0999999999999998E-6</v>
      </c>
    </row>
    <row r="88" spans="1:27">
      <c r="A88">
        <v>1196</v>
      </c>
      <c r="B88" s="101" t="str">
        <f t="shared" si="13"/>
        <v>Silver; {Ag}; 0.000042 g/g in ground</v>
      </c>
      <c r="C88" s="101" t="s">
        <v>84</v>
      </c>
      <c r="D88" s="101" t="s">
        <v>73</v>
      </c>
      <c r="E88" s="101" t="s">
        <v>33</v>
      </c>
      <c r="F88" s="101" t="s">
        <v>85</v>
      </c>
      <c r="G88" s="101" t="s">
        <v>75</v>
      </c>
      <c r="H88" s="101"/>
      <c r="I88" s="102" t="s">
        <v>279</v>
      </c>
      <c r="J88" s="101" t="s">
        <v>333</v>
      </c>
      <c r="K88" s="101" t="s">
        <v>1772</v>
      </c>
      <c r="L88" s="103">
        <f>IF(K88="mineral",(IFERROR(VLOOKUP($A88,'Singular Minerals'!$B$12:$U$500,19,FALSE),IFERROR(VLOOKUP($A88,'Multiple Minerals'!$B$26:$U$309,19,FALSE),VLOOKUP($A88,'Aggregate Minerals'!$B$19:$N$300,13,FALSE)))),(IFERROR(VLOOKUP($A88,'Singular Minerals'!$B$12:$U$500,20,FALSE),IFERROR(VLOOKUP($A88,'Multiple Minerals'!$B$26:$U$309,20,FALSE),VLOOKUP($A88,'Aggregate Minerals'!$B$19:$N$300,13,FALSE)))))</f>
        <v>9653872313.9293919</v>
      </c>
      <c r="M88" s="103">
        <v>2500000000</v>
      </c>
      <c r="N88" s="310"/>
      <c r="O88" s="103" t="str">
        <f t="shared" ref="O88:O105" si="14">IF(M88&lt;=renewable_cutoff,L88,"")</f>
        <v/>
      </c>
      <c r="P88" s="103">
        <f t="shared" ref="P88:P105" si="15">IF(M88&gt;renewable_cutoff,L88,"")</f>
        <v>9653872313.9293919</v>
      </c>
      <c r="Q88" s="101"/>
      <c r="R88" s="101"/>
      <c r="S88" s="101"/>
      <c r="T88" s="101"/>
      <c r="U88" s="101"/>
      <c r="V88" s="103">
        <f t="shared" ref="V88:V105" si="16">L88</f>
        <v>9653872313.9293919</v>
      </c>
      <c r="W88" s="101"/>
      <c r="X88" s="101"/>
      <c r="Y88" s="101" t="s">
        <v>1214</v>
      </c>
      <c r="Z88" s="55"/>
      <c r="AA88" s="86">
        <v>4.1999999999999998E-5</v>
      </c>
    </row>
    <row r="89" spans="1:27">
      <c r="A89">
        <v>1197</v>
      </c>
      <c r="B89" s="101" t="str">
        <f t="shared" si="13"/>
        <v>Silver; {Ag}; 0.00000046 g/g in ground</v>
      </c>
      <c r="C89" s="101" t="s">
        <v>84</v>
      </c>
      <c r="D89" s="101" t="s">
        <v>73</v>
      </c>
      <c r="E89" s="101" t="s">
        <v>33</v>
      </c>
      <c r="F89" s="101" t="s">
        <v>85</v>
      </c>
      <c r="G89" s="101" t="s">
        <v>75</v>
      </c>
      <c r="H89" s="101"/>
      <c r="I89" s="102" t="s">
        <v>279</v>
      </c>
      <c r="J89" s="101" t="s">
        <v>333</v>
      </c>
      <c r="K89" s="101" t="s">
        <v>1772</v>
      </c>
      <c r="L89" s="103">
        <f>IF(K89="mineral",(IFERROR(VLOOKUP($A89,'Singular Minerals'!$B$12:$U$500,19,FALSE),IFERROR(VLOOKUP($A89,'Multiple Minerals'!$B$26:$U$309,19,FALSE),VLOOKUP($A89,'Aggregate Minerals'!$B$19:$N$300,13,FALSE)))),(IFERROR(VLOOKUP($A89,'Singular Minerals'!$B$12:$U$500,20,FALSE),IFERROR(VLOOKUP($A89,'Multiple Minerals'!$B$26:$U$309,20,FALSE),VLOOKUP($A89,'Aggregate Minerals'!$B$19:$N$300,13,FALSE)))))</f>
        <v>3923042474.7921472</v>
      </c>
      <c r="M89" s="103">
        <v>2500000000</v>
      </c>
      <c r="N89" s="310"/>
      <c r="O89" s="103" t="str">
        <f t="shared" si="14"/>
        <v/>
      </c>
      <c r="P89" s="103">
        <f t="shared" si="15"/>
        <v>3923042474.7921472</v>
      </c>
      <c r="Q89" s="101"/>
      <c r="R89" s="101"/>
      <c r="S89" s="101"/>
      <c r="T89" s="101"/>
      <c r="U89" s="101"/>
      <c r="V89" s="103">
        <f t="shared" si="16"/>
        <v>3923042474.7921472</v>
      </c>
      <c r="W89" s="101"/>
      <c r="X89" s="101"/>
      <c r="Y89" s="101" t="s">
        <v>1215</v>
      </c>
      <c r="Z89" s="55"/>
      <c r="AA89" s="86">
        <v>4.5999999999999999E-7</v>
      </c>
    </row>
    <row r="90" spans="1:27">
      <c r="A90">
        <v>1198</v>
      </c>
      <c r="B90" s="101" t="str">
        <f t="shared" si="13"/>
        <v>Silver; {Ag}; 0.0000097 g/g in ground</v>
      </c>
      <c r="C90" s="101" t="s">
        <v>84</v>
      </c>
      <c r="D90" s="101" t="s">
        <v>73</v>
      </c>
      <c r="E90" s="101" t="s">
        <v>33</v>
      </c>
      <c r="F90" s="101" t="s">
        <v>85</v>
      </c>
      <c r="G90" s="101" t="s">
        <v>75</v>
      </c>
      <c r="H90" s="101"/>
      <c r="I90" s="102" t="s">
        <v>279</v>
      </c>
      <c r="J90" s="101" t="s">
        <v>333</v>
      </c>
      <c r="K90" s="101" t="s">
        <v>1772</v>
      </c>
      <c r="L90" s="103">
        <f>IF(K90="mineral",(IFERROR(VLOOKUP($A90,'Singular Minerals'!$B$12:$U$500,19,FALSE),IFERROR(VLOOKUP($A90,'Multiple Minerals'!$B$26:$U$309,19,FALSE),VLOOKUP($A90,'Aggregate Minerals'!$B$19:$N$300,13,FALSE)))),(IFERROR(VLOOKUP($A90,'Singular Minerals'!$B$12:$U$500,20,FALSE),IFERROR(VLOOKUP($A90,'Multiple Minerals'!$B$26:$U$309,20,FALSE),VLOOKUP($A90,'Aggregate Minerals'!$B$19:$N$300,13,FALSE)))))</f>
        <v>7793346702.1479721</v>
      </c>
      <c r="M90" s="103">
        <v>2500000000</v>
      </c>
      <c r="N90" s="310"/>
      <c r="O90" s="103" t="str">
        <f t="shared" si="14"/>
        <v/>
      </c>
      <c r="P90" s="103">
        <f t="shared" si="15"/>
        <v>7793346702.1479721</v>
      </c>
      <c r="Q90" s="101"/>
      <c r="R90" s="101"/>
      <c r="S90" s="101"/>
      <c r="T90" s="101"/>
      <c r="U90" s="101"/>
      <c r="V90" s="103">
        <f t="shared" si="16"/>
        <v>7793346702.1479721</v>
      </c>
      <c r="W90" s="101"/>
      <c r="X90" s="101"/>
      <c r="Y90" s="101" t="s">
        <v>1216</v>
      </c>
      <c r="Z90" s="55"/>
      <c r="AA90" s="86">
        <v>9.7000000000000003E-6</v>
      </c>
    </row>
    <row r="91" spans="1:27">
      <c r="A91">
        <v>1024</v>
      </c>
      <c r="B91" s="101" t="str">
        <f>CONCATENATE("Nitratine, Sodium nitrate; {", J91, "}; ", Z91," g/g in ground")</f>
        <v>Nitratine, Sodium nitrate; {NaNO3}; 0.1748 g/g in ground</v>
      </c>
      <c r="C91" s="101" t="s">
        <v>84</v>
      </c>
      <c r="D91" s="101" t="s">
        <v>73</v>
      </c>
      <c r="E91" s="101" t="s">
        <v>33</v>
      </c>
      <c r="F91" s="101" t="s">
        <v>85</v>
      </c>
      <c r="G91" s="101" t="s">
        <v>75</v>
      </c>
      <c r="H91" s="101"/>
      <c r="I91" s="102" t="s">
        <v>279</v>
      </c>
      <c r="J91" s="101" t="s">
        <v>135</v>
      </c>
      <c r="K91" s="101" t="s">
        <v>1773</v>
      </c>
      <c r="L91" s="103">
        <f>IF(K91="mineral",(IFERROR(VLOOKUP($A91,'Singular Minerals'!$B$12:$U$500,19,FALSE),IFERROR(VLOOKUP($A91,'Multiple Minerals'!$B$26:$U$309,19,FALSE),VLOOKUP($A91,'Aggregate Minerals'!$B$19:$N$300,13,FALSE)))),(IFERROR(VLOOKUP($A91,'Singular Minerals'!$B$12:$U$500,20,FALSE),IFERROR(VLOOKUP($A91,'Multiple Minerals'!$B$26:$U$309,20,FALSE),VLOOKUP($A91,'Aggregate Minerals'!$B$19:$N$300,13,FALSE)))))</f>
        <v>1385029982.7534735</v>
      </c>
      <c r="M91" s="103">
        <v>2500000000</v>
      </c>
      <c r="N91" s="310"/>
      <c r="O91" s="103" t="str">
        <f t="shared" si="14"/>
        <v/>
      </c>
      <c r="P91" s="103">
        <f t="shared" si="15"/>
        <v>1385029982.7534735</v>
      </c>
      <c r="Q91" s="101"/>
      <c r="R91" s="101"/>
      <c r="S91" s="101"/>
      <c r="T91" s="101"/>
      <c r="U91" s="101"/>
      <c r="V91" s="103">
        <f t="shared" si="16"/>
        <v>1385029982.7534735</v>
      </c>
      <c r="W91" s="101"/>
      <c r="X91" s="101"/>
      <c r="Y91" s="101" t="s">
        <v>1218</v>
      </c>
      <c r="Z91" s="85">
        <v>0.17480000000000001</v>
      </c>
      <c r="AA91" s="630"/>
    </row>
    <row r="92" spans="1:27">
      <c r="A92">
        <v>1207</v>
      </c>
      <c r="B92" s="101" t="str">
        <f>CONCATENATE("Sodium sulphate; {", J92, "}; ", Z92," g/g in ground")</f>
        <v>Sodium sulphate; {Na8Al6Si6O24SO4}; 0.22 g/g in ground</v>
      </c>
      <c r="C92" s="101" t="s">
        <v>84</v>
      </c>
      <c r="D92" s="101" t="s">
        <v>73</v>
      </c>
      <c r="E92" s="101" t="s">
        <v>33</v>
      </c>
      <c r="F92" s="101" t="s">
        <v>85</v>
      </c>
      <c r="G92" s="101" t="s">
        <v>75</v>
      </c>
      <c r="H92" s="101"/>
      <c r="I92" s="102" t="s">
        <v>279</v>
      </c>
      <c r="J92" s="101" t="s">
        <v>654</v>
      </c>
      <c r="K92" s="101" t="s">
        <v>1773</v>
      </c>
      <c r="L92" s="103">
        <f>IF(K92="mineral",(IFERROR(VLOOKUP($A92,'Singular Minerals'!$B$12:$U$500,19,FALSE),IFERROR(VLOOKUP($A92,'Multiple Minerals'!$B$26:$U$309,19,FALSE),VLOOKUP($A92,'Aggregate Minerals'!$B$19:$N$300,13,FALSE)))),(IFERROR(VLOOKUP($A92,'Singular Minerals'!$B$12:$U$500,20,FALSE),IFERROR(VLOOKUP($A92,'Multiple Minerals'!$B$26:$U$309,20,FALSE),VLOOKUP($A92,'Aggregate Minerals'!$B$19:$N$300,13,FALSE)))))</f>
        <v>1659826089.4545348</v>
      </c>
      <c r="M92" s="103">
        <v>2500000000</v>
      </c>
      <c r="N92" s="310"/>
      <c r="O92" s="103" t="str">
        <f t="shared" si="14"/>
        <v/>
      </c>
      <c r="P92" s="103">
        <f t="shared" si="15"/>
        <v>1659826089.4545348</v>
      </c>
      <c r="Q92" s="101"/>
      <c r="R92" s="101"/>
      <c r="S92" s="101"/>
      <c r="T92" s="101"/>
      <c r="U92" s="101"/>
      <c r="V92" s="103">
        <f t="shared" si="16"/>
        <v>1659826089.4545348</v>
      </c>
      <c r="W92" s="101"/>
      <c r="X92" s="101"/>
      <c r="Y92" s="101" t="s">
        <v>1219</v>
      </c>
      <c r="Z92" s="55">
        <v>0.22</v>
      </c>
      <c r="AA92" s="630"/>
    </row>
    <row r="93" spans="1:27">
      <c r="A93">
        <v>1270</v>
      </c>
      <c r="B93" s="101" t="str">
        <f>CONCATENATE("Stibnite; {", J93, "}; ", Z93," g/g in ground")</f>
        <v>Stibnite; {Sb2S3}; 0.35 g/g in ground</v>
      </c>
      <c r="C93" s="101" t="s">
        <v>84</v>
      </c>
      <c r="D93" s="101" t="s">
        <v>73</v>
      </c>
      <c r="E93" s="101" t="s">
        <v>33</v>
      </c>
      <c r="F93" s="101" t="s">
        <v>85</v>
      </c>
      <c r="G93" s="101" t="s">
        <v>75</v>
      </c>
      <c r="H93" s="101"/>
      <c r="I93" s="102" t="s">
        <v>279</v>
      </c>
      <c r="J93" s="101" t="s">
        <v>138</v>
      </c>
      <c r="K93" s="101" t="s">
        <v>1773</v>
      </c>
      <c r="L93" s="103">
        <f>IF(K93="mineral",(IFERROR(VLOOKUP($A93,'Singular Minerals'!$B$12:$U$500,19,FALSE),IFERROR(VLOOKUP($A93,'Multiple Minerals'!$B$26:$U$309,19,FALSE),VLOOKUP($A93,'Aggregate Minerals'!$B$19:$N$300,13,FALSE)))),(IFERROR(VLOOKUP($A93,'Singular Minerals'!$B$12:$U$500,20,FALSE),IFERROR(VLOOKUP($A93,'Multiple Minerals'!$B$26:$U$309,20,FALSE),VLOOKUP($A93,'Aggregate Minerals'!$B$19:$N$300,13,FALSE)))))</f>
        <v>5800507784.5687876</v>
      </c>
      <c r="M93" s="103">
        <v>2500000000</v>
      </c>
      <c r="N93" s="310"/>
      <c r="O93" s="103" t="str">
        <f t="shared" si="14"/>
        <v/>
      </c>
      <c r="P93" s="103">
        <f t="shared" si="15"/>
        <v>5800507784.5687876</v>
      </c>
      <c r="Q93" s="101"/>
      <c r="R93" s="101"/>
      <c r="S93" s="101"/>
      <c r="T93" s="101"/>
      <c r="U93" s="101"/>
      <c r="V93" s="103">
        <f t="shared" si="16"/>
        <v>5800507784.5687876</v>
      </c>
      <c r="W93" s="101"/>
      <c r="X93" s="101"/>
      <c r="Y93" s="101" t="s">
        <v>1220</v>
      </c>
      <c r="Z93" s="55">
        <v>0.35</v>
      </c>
      <c r="AA93" s="630"/>
    </row>
    <row r="94" spans="1:27">
      <c r="A94">
        <v>1275</v>
      </c>
      <c r="B94" s="101" t="str">
        <f>CONCATENATE("Sylvite, Potassium chloride; {", J94, "}; ", Z94," g/g in ground")</f>
        <v>Sylvite, Potassium chloride; {KCl}; 0.14 g/g in ground</v>
      </c>
      <c r="C94" s="101" t="s">
        <v>84</v>
      </c>
      <c r="D94" s="101" t="s">
        <v>73</v>
      </c>
      <c r="E94" s="101" t="s">
        <v>33</v>
      </c>
      <c r="F94" s="101" t="s">
        <v>85</v>
      </c>
      <c r="G94" s="101" t="s">
        <v>75</v>
      </c>
      <c r="H94" s="101"/>
      <c r="I94" s="102" t="s">
        <v>279</v>
      </c>
      <c r="J94" s="101" t="s">
        <v>126</v>
      </c>
      <c r="K94" s="101" t="s">
        <v>1773</v>
      </c>
      <c r="L94" s="103">
        <f>IF(K94="mineral",(IFERROR(VLOOKUP($A94,'Singular Minerals'!$B$12:$U$500,19,FALSE),IFERROR(VLOOKUP($A94,'Multiple Minerals'!$B$26:$U$309,19,FALSE),VLOOKUP($A94,'Aggregate Minerals'!$B$19:$N$300,13,FALSE)))),(IFERROR(VLOOKUP($A94,'Singular Minerals'!$B$12:$U$500,20,FALSE),IFERROR(VLOOKUP($A94,'Multiple Minerals'!$B$26:$U$309,20,FALSE),VLOOKUP($A94,'Aggregate Minerals'!$B$19:$N$300,13,FALSE)))))</f>
        <v>20454345149.134819</v>
      </c>
      <c r="M94" s="103">
        <v>2500000000</v>
      </c>
      <c r="N94" s="310"/>
      <c r="O94" s="103" t="str">
        <f t="shared" si="14"/>
        <v/>
      </c>
      <c r="P94" s="103">
        <f t="shared" si="15"/>
        <v>20454345149.134819</v>
      </c>
      <c r="Q94" s="101"/>
      <c r="R94" s="101"/>
      <c r="S94" s="101"/>
      <c r="T94" s="101"/>
      <c r="U94" s="101"/>
      <c r="V94" s="103">
        <f t="shared" si="16"/>
        <v>20454345149.134819</v>
      </c>
      <c r="W94" s="101"/>
      <c r="X94" s="101"/>
      <c r="Y94" s="101" t="s">
        <v>1221</v>
      </c>
      <c r="Z94" s="55">
        <v>0.14000000000000001</v>
      </c>
      <c r="AA94" s="630"/>
    </row>
    <row r="95" spans="1:27">
      <c r="A95">
        <v>1276</v>
      </c>
      <c r="B95" s="101" t="str">
        <f>CONCATENATE("Talc; {", J95, "}; ", Z95," g/g in ground")</f>
        <v>Talc; {Mg3Si4O10(OH2)2}; 0.4 g/g in ground</v>
      </c>
      <c r="C95" s="101" t="s">
        <v>84</v>
      </c>
      <c r="D95" s="101" t="s">
        <v>73</v>
      </c>
      <c r="E95" s="101" t="s">
        <v>33</v>
      </c>
      <c r="F95" s="101" t="s">
        <v>85</v>
      </c>
      <c r="G95" s="101" t="s">
        <v>75</v>
      </c>
      <c r="H95" s="101"/>
      <c r="I95" s="102" t="s">
        <v>279</v>
      </c>
      <c r="J95" s="101" t="s">
        <v>140</v>
      </c>
      <c r="K95" s="101" t="s">
        <v>1773</v>
      </c>
      <c r="L95" s="103">
        <f>IF(K95="mineral",(IFERROR(VLOOKUP($A95,'Singular Minerals'!$B$12:$U$500,19,FALSE),IFERROR(VLOOKUP($A95,'Multiple Minerals'!$B$26:$U$309,19,FALSE),VLOOKUP($A95,'Aggregate Minerals'!$B$19:$N$300,13,FALSE)))),(IFERROR(VLOOKUP($A95,'Singular Minerals'!$B$12:$U$500,20,FALSE),IFERROR(VLOOKUP($A95,'Multiple Minerals'!$B$26:$U$309,20,FALSE),VLOOKUP($A95,'Aggregate Minerals'!$B$19:$N$300,13,FALSE)))))</f>
        <v>2609164348.8831925</v>
      </c>
      <c r="M95" s="103">
        <v>2500000000</v>
      </c>
      <c r="N95" s="310"/>
      <c r="O95" s="103" t="str">
        <f t="shared" si="14"/>
        <v/>
      </c>
      <c r="P95" s="103">
        <f t="shared" si="15"/>
        <v>2609164348.8831925</v>
      </c>
      <c r="Q95" s="101"/>
      <c r="R95" s="101"/>
      <c r="S95" s="101"/>
      <c r="T95" s="101"/>
      <c r="U95" s="101"/>
      <c r="V95" s="103">
        <f t="shared" si="16"/>
        <v>2609164348.8831925</v>
      </c>
      <c r="W95" s="101"/>
      <c r="X95" s="101"/>
      <c r="Y95" s="101" t="s">
        <v>1222</v>
      </c>
      <c r="Z95" s="55">
        <v>0.4</v>
      </c>
      <c r="AA95" s="630"/>
    </row>
    <row r="96" spans="1:27">
      <c r="A96">
        <v>1113</v>
      </c>
      <c r="B96" s="101" t="str">
        <f>CONCATENATE("Tantalum; {", J96, "}; ", Z96," g/g in ground")</f>
        <v>Tantalum; {Fe2+Ta2O6}; 0.0000016 g/g in ground</v>
      </c>
      <c r="C96" s="101" t="s">
        <v>84</v>
      </c>
      <c r="D96" s="101" t="s">
        <v>73</v>
      </c>
      <c r="E96" s="101" t="s">
        <v>33</v>
      </c>
      <c r="F96" s="101" t="s">
        <v>85</v>
      </c>
      <c r="G96" s="101" t="s">
        <v>75</v>
      </c>
      <c r="H96" s="101"/>
      <c r="I96" s="102" t="s">
        <v>279</v>
      </c>
      <c r="J96" s="101" t="s">
        <v>751</v>
      </c>
      <c r="K96" s="101" t="s">
        <v>1772</v>
      </c>
      <c r="L96" s="103">
        <f>IF(K96="mineral",(IFERROR(VLOOKUP($A96,'Singular Minerals'!$B$12:$U$500,19,FALSE),IFERROR(VLOOKUP($A96,'Multiple Minerals'!$B$26:$U$309,19,FALSE),VLOOKUP($A96,'Aggregate Minerals'!$B$19:$N$300,13,FALSE)))),(IFERROR(VLOOKUP($A96,'Singular Minerals'!$B$12:$U$500,20,FALSE),IFERROR(VLOOKUP($A96,'Multiple Minerals'!$B$26:$U$309,20,FALSE),VLOOKUP($A96,'Aggregate Minerals'!$B$19:$N$300,13,FALSE)))))</f>
        <v>1009316836.6947263</v>
      </c>
      <c r="M96" s="103">
        <v>2500000000</v>
      </c>
      <c r="N96" s="310"/>
      <c r="O96" s="103" t="str">
        <f t="shared" si="14"/>
        <v/>
      </c>
      <c r="P96" s="103">
        <f t="shared" si="15"/>
        <v>1009316836.6947263</v>
      </c>
      <c r="Q96" s="101"/>
      <c r="R96" s="101"/>
      <c r="S96" s="101"/>
      <c r="T96" s="101"/>
      <c r="U96" s="101"/>
      <c r="V96" s="103">
        <f t="shared" si="16"/>
        <v>1009316836.6947263</v>
      </c>
      <c r="W96" s="101"/>
      <c r="X96" s="101"/>
      <c r="Y96" s="101" t="s">
        <v>1223</v>
      </c>
      <c r="Z96" s="86">
        <v>1.5999999999999999E-6</v>
      </c>
      <c r="AA96" s="630"/>
    </row>
    <row r="97" spans="1:27">
      <c r="A97">
        <v>1280</v>
      </c>
      <c r="B97" s="101" t="str">
        <f>CONCATENATE("Tellurium; {", J97, "}; ", Z97," g/g in ground")</f>
        <v>Tellurium; {Te in sulfide}; 0.0000002 g/g in ground</v>
      </c>
      <c r="C97" s="101" t="s">
        <v>84</v>
      </c>
      <c r="D97" s="101" t="s">
        <v>73</v>
      </c>
      <c r="E97" s="101" t="s">
        <v>33</v>
      </c>
      <c r="F97" s="101" t="s">
        <v>85</v>
      </c>
      <c r="G97" s="101" t="s">
        <v>75</v>
      </c>
      <c r="H97" s="101"/>
      <c r="I97" s="102" t="s">
        <v>279</v>
      </c>
      <c r="J97" s="101" t="s">
        <v>1224</v>
      </c>
      <c r="K97" s="101" t="s">
        <v>1772</v>
      </c>
      <c r="L97" s="103">
        <f>IF(K97="mineral",(IFERROR(VLOOKUP($A97,'Singular Minerals'!$B$12:$U$500,19,FALSE),IFERROR(VLOOKUP($A97,'Multiple Minerals'!$B$26:$U$309,19,FALSE),VLOOKUP($A97,'Aggregate Minerals'!$B$19:$N$300,13,FALSE)))),(IFERROR(VLOOKUP($A97,'Singular Minerals'!$B$12:$U$500,20,FALSE),IFERROR(VLOOKUP($A97,'Multiple Minerals'!$B$26:$U$309,20,FALSE),VLOOKUP($A97,'Aggregate Minerals'!$B$19:$N$300,13,FALSE)))))</f>
        <v>9487199561.8262501</v>
      </c>
      <c r="M97" s="103">
        <v>2500000000</v>
      </c>
      <c r="N97" s="310"/>
      <c r="O97" s="103" t="str">
        <f t="shared" si="14"/>
        <v/>
      </c>
      <c r="P97" s="103">
        <f t="shared" si="15"/>
        <v>9487199561.8262501</v>
      </c>
      <c r="Q97" s="101"/>
      <c r="R97" s="101"/>
      <c r="S97" s="101"/>
      <c r="T97" s="101"/>
      <c r="U97" s="101"/>
      <c r="V97" s="103">
        <f t="shared" si="16"/>
        <v>9487199561.8262501</v>
      </c>
      <c r="W97" s="101"/>
      <c r="X97" s="101"/>
      <c r="Y97" s="101" t="s">
        <v>1225</v>
      </c>
      <c r="Z97" s="86">
        <v>1.9999999999999999E-7</v>
      </c>
      <c r="AA97" s="630"/>
    </row>
    <row r="98" spans="1:27">
      <c r="A98">
        <v>1287</v>
      </c>
      <c r="B98" s="101" t="str">
        <f>CONCATENATE("Tin, element mass ratio in Cassiterite; {", J98, "}; ", AA98," g/g in ground")</f>
        <v>Tin, element mass ratio in Cassiterite; {SnO2}; 0.001 g/g in ground</v>
      </c>
      <c r="C98" s="101" t="s">
        <v>84</v>
      </c>
      <c r="D98" s="101" t="s">
        <v>73</v>
      </c>
      <c r="E98" s="101" t="s">
        <v>33</v>
      </c>
      <c r="F98" s="101" t="s">
        <v>85</v>
      </c>
      <c r="G98" s="101" t="s">
        <v>75</v>
      </c>
      <c r="H98" s="101"/>
      <c r="I98" s="102" t="s">
        <v>279</v>
      </c>
      <c r="J98" s="101" t="s">
        <v>808</v>
      </c>
      <c r="K98" s="101" t="s">
        <v>1772</v>
      </c>
      <c r="L98" s="103">
        <f>IF(K98="mineral",(IFERROR(VLOOKUP($A98,'Singular Minerals'!$B$12:$U$500,19,FALSE),IFERROR(VLOOKUP($A98,'Multiple Minerals'!$B$26:$U$309,19,FALSE),VLOOKUP($A98,'Aggregate Minerals'!$B$19:$N$300,13,FALSE)))),(IFERROR(VLOOKUP($A98,'Singular Minerals'!$B$12:$U$500,20,FALSE),IFERROR(VLOOKUP($A98,'Multiple Minerals'!$B$26:$U$309,20,FALSE),VLOOKUP($A98,'Aggregate Minerals'!$B$19:$N$300,13,FALSE)))))</f>
        <v>1354225.6440690563</v>
      </c>
      <c r="M98" s="103">
        <v>2500000000</v>
      </c>
      <c r="N98" s="310"/>
      <c r="O98" s="103" t="str">
        <f t="shared" si="14"/>
        <v/>
      </c>
      <c r="P98" s="103">
        <f t="shared" si="15"/>
        <v>1354225.6440690563</v>
      </c>
      <c r="Q98" s="101"/>
      <c r="R98" s="101"/>
      <c r="S98" s="101"/>
      <c r="T98" s="101"/>
      <c r="U98" s="101"/>
      <c r="V98" s="103">
        <f t="shared" si="16"/>
        <v>1354225.6440690563</v>
      </c>
      <c r="W98" s="101"/>
      <c r="X98" s="101"/>
      <c r="Y98" s="101" t="s">
        <v>1226</v>
      </c>
      <c r="Z98" s="55"/>
      <c r="AA98" s="85">
        <v>1E-3</v>
      </c>
    </row>
    <row r="99" spans="1:27">
      <c r="A99">
        <v>1153</v>
      </c>
      <c r="B99" s="101" t="str">
        <f>CONCATENATE("TiO2; {", J99, "}; ", Z99," g/g in ground")</f>
        <v>TiO2; {Fe2+TiO3}; 0.026 g/g in ground</v>
      </c>
      <c r="C99" s="101" t="s">
        <v>84</v>
      </c>
      <c r="D99" s="101" t="s">
        <v>73</v>
      </c>
      <c r="E99" s="101" t="s">
        <v>33</v>
      </c>
      <c r="F99" s="101" t="s">
        <v>85</v>
      </c>
      <c r="G99" s="101" t="s">
        <v>75</v>
      </c>
      <c r="H99" s="101"/>
      <c r="I99" s="102" t="s">
        <v>279</v>
      </c>
      <c r="J99" s="101" t="s">
        <v>341</v>
      </c>
      <c r="K99" s="101" t="s">
        <v>1772</v>
      </c>
      <c r="L99" s="103">
        <f>IF(K99="mineral",(IFERROR(VLOOKUP($A99,'Singular Minerals'!$B$12:$U$500,19,FALSE),IFERROR(VLOOKUP($A99,'Multiple Minerals'!$B$26:$U$309,19,FALSE),VLOOKUP($A99,'Aggregate Minerals'!$B$19:$N$300,13,FALSE)))),(IFERROR(VLOOKUP($A99,'Singular Minerals'!$B$12:$U$500,20,FALSE),IFERROR(VLOOKUP($A99,'Multiple Minerals'!$B$26:$U$309,20,FALSE),VLOOKUP($A99,'Aggregate Minerals'!$B$19:$N$300,13,FALSE)))))</f>
        <v>5521393395.0083971</v>
      </c>
      <c r="M99" s="103">
        <v>2500000000</v>
      </c>
      <c r="N99" s="310"/>
      <c r="O99" s="103" t="str">
        <f t="shared" si="14"/>
        <v/>
      </c>
      <c r="P99" s="103">
        <f t="shared" si="15"/>
        <v>5521393395.0083971</v>
      </c>
      <c r="Q99" s="101"/>
      <c r="R99" s="101"/>
      <c r="S99" s="101"/>
      <c r="T99" s="101"/>
      <c r="U99" s="101"/>
      <c r="V99" s="103">
        <f t="shared" si="16"/>
        <v>5521393395.0083971</v>
      </c>
      <c r="W99" s="101"/>
      <c r="X99" s="101"/>
      <c r="Y99" s="101" t="s">
        <v>1227</v>
      </c>
      <c r="Z99" s="85">
        <v>2.5999999999999999E-2</v>
      </c>
      <c r="AA99" s="630"/>
    </row>
    <row r="100" spans="1:27">
      <c r="A100">
        <v>1248</v>
      </c>
      <c r="B100" s="101" t="str">
        <f>CONCATENATE("TiO2; {", J100, "}; ", Z100," g/g in ground")</f>
        <v>TiO2; {TiO2}; 0.004 g/g in ground</v>
      </c>
      <c r="C100" s="101" t="s">
        <v>84</v>
      </c>
      <c r="D100" s="101" t="s">
        <v>73</v>
      </c>
      <c r="E100" s="101" t="s">
        <v>33</v>
      </c>
      <c r="F100" s="101" t="s">
        <v>85</v>
      </c>
      <c r="G100" s="101" t="s">
        <v>75</v>
      </c>
      <c r="H100" s="101"/>
      <c r="I100" s="102" t="s">
        <v>279</v>
      </c>
      <c r="J100" s="101" t="s">
        <v>143</v>
      </c>
      <c r="K100" s="101" t="s">
        <v>1772</v>
      </c>
      <c r="L100" s="103">
        <f>IF(K100="mineral",(IFERROR(VLOOKUP($A100,'Singular Minerals'!$B$12:$U$500,19,FALSE),IFERROR(VLOOKUP($A100,'Multiple Minerals'!$B$26:$U$309,19,FALSE),VLOOKUP($A100,'Aggregate Minerals'!$B$19:$N$300,13,FALSE)))),(IFERROR(VLOOKUP($A100,'Singular Minerals'!$B$12:$U$500,20,FALSE),IFERROR(VLOOKUP($A100,'Multiple Minerals'!$B$26:$U$309,20,FALSE),VLOOKUP($A100,'Aggregate Minerals'!$B$19:$N$300,13,FALSE)))))</f>
        <v>4607243856.2625628</v>
      </c>
      <c r="M100" s="103">
        <v>2500000000</v>
      </c>
      <c r="N100" s="310"/>
      <c r="O100" s="103" t="str">
        <f t="shared" si="14"/>
        <v/>
      </c>
      <c r="P100" s="103">
        <f t="shared" si="15"/>
        <v>4607243856.2625628</v>
      </c>
      <c r="Q100" s="101"/>
      <c r="R100" s="101"/>
      <c r="S100" s="101"/>
      <c r="T100" s="101"/>
      <c r="U100" s="101"/>
      <c r="V100" s="103">
        <f t="shared" si="16"/>
        <v>4607243856.2625628</v>
      </c>
      <c r="W100" s="101"/>
      <c r="X100" s="101"/>
      <c r="Y100" s="101" t="s">
        <v>1228</v>
      </c>
      <c r="Z100" s="85">
        <v>4.0000000000000001E-3</v>
      </c>
      <c r="AA100" s="630"/>
    </row>
    <row r="101" spans="1:27">
      <c r="A101">
        <v>1296</v>
      </c>
      <c r="B101" s="101" t="str">
        <f>CONCATENATE("Ulexite; {", J101, "}; ", Z101," g/g in ground")</f>
        <v>Ulexite; {NaCaB5O6(OH)6}; 0.32 g/g in ground</v>
      </c>
      <c r="C101" s="101" t="s">
        <v>84</v>
      </c>
      <c r="D101" s="101" t="s">
        <v>73</v>
      </c>
      <c r="E101" s="101" t="s">
        <v>33</v>
      </c>
      <c r="F101" s="101" t="s">
        <v>85</v>
      </c>
      <c r="G101" s="101" t="s">
        <v>75</v>
      </c>
      <c r="H101" s="101"/>
      <c r="I101" s="102" t="s">
        <v>279</v>
      </c>
      <c r="J101" s="101" t="s">
        <v>145</v>
      </c>
      <c r="K101" s="101" t="s">
        <v>1773</v>
      </c>
      <c r="L101" s="103">
        <f>IF(K101="mineral",(IFERROR(VLOOKUP($A101,'Singular Minerals'!$B$12:$U$500,19,FALSE),IFERROR(VLOOKUP($A101,'Multiple Minerals'!$B$26:$U$309,19,FALSE),VLOOKUP($A101,'Aggregate Minerals'!$B$19:$N$300,13,FALSE)))),(IFERROR(VLOOKUP($A101,'Singular Minerals'!$B$12:$U$500,20,FALSE),IFERROR(VLOOKUP($A101,'Multiple Minerals'!$B$26:$U$309,20,FALSE),VLOOKUP($A101,'Aggregate Minerals'!$B$19:$N$300,13,FALSE)))))</f>
        <v>3479934132.5711093</v>
      </c>
      <c r="M101" s="103">
        <v>2500000000</v>
      </c>
      <c r="N101" s="310"/>
      <c r="O101" s="103" t="str">
        <f t="shared" si="14"/>
        <v/>
      </c>
      <c r="P101" s="103">
        <f t="shared" si="15"/>
        <v>3479934132.5711093</v>
      </c>
      <c r="Q101" s="101"/>
      <c r="R101" s="101"/>
      <c r="S101" s="101"/>
      <c r="T101" s="101"/>
      <c r="U101" s="101"/>
      <c r="V101" s="103">
        <f t="shared" si="16"/>
        <v>3479934132.5711093</v>
      </c>
      <c r="W101" s="101"/>
      <c r="X101" s="101"/>
      <c r="Y101" s="101" t="s">
        <v>1229</v>
      </c>
      <c r="Z101" s="55">
        <v>0.32</v>
      </c>
      <c r="AA101" s="630"/>
    </row>
    <row r="102" spans="1:27" ht="15.5">
      <c r="A102">
        <v>2016</v>
      </c>
      <c r="B102" s="483" t="str">
        <f>CONCATENATE("Uranium, weighted element mass ratio; {", J102, "}; ", I102," g/g in ground")</f>
        <v>Uranium, weighted element mass ratio; {UO2, K2(UO2)2(VO4)23H2O}; g g/g in ground</v>
      </c>
      <c r="C102" s="101"/>
      <c r="D102" s="101"/>
      <c r="E102" s="101"/>
      <c r="F102" s="101"/>
      <c r="G102" s="101"/>
      <c r="H102" s="101"/>
      <c r="I102" s="102" t="s">
        <v>279</v>
      </c>
      <c r="J102" s="101" t="s">
        <v>1745</v>
      </c>
      <c r="K102" s="101" t="s">
        <v>1773</v>
      </c>
      <c r="L102" s="103">
        <f>IF(K102="mineral",(IFERROR(VLOOKUP($A102,'Singular Minerals'!$B$12:$U$500,19,FALSE),IFERROR(VLOOKUP($A102,'Multiple Minerals'!$B$26:$U$309,19,FALSE),VLOOKUP($A102,'Aggregate Minerals'!$B$19:$N$300,13,FALSE)))),(IFERROR(VLOOKUP($A102,'Singular Minerals'!$B$12:$U$500,20,FALSE),IFERROR(VLOOKUP($A102,'Multiple Minerals'!$B$26:$U$309,20,FALSE),VLOOKUP($A102,'Aggregate Minerals'!$B$19:$N$300,13,FALSE)))))</f>
        <v>4363229331.7270355</v>
      </c>
      <c r="M102" s="103">
        <v>2500000000</v>
      </c>
      <c r="N102" s="310"/>
      <c r="O102" s="103" t="str">
        <f t="shared" si="14"/>
        <v/>
      </c>
      <c r="P102" s="103">
        <f t="shared" si="15"/>
        <v>4363229331.7270355</v>
      </c>
      <c r="Q102" s="101"/>
      <c r="R102" s="101"/>
      <c r="S102" s="101"/>
      <c r="T102" s="101"/>
      <c r="U102" s="101"/>
      <c r="V102" s="103">
        <f t="shared" si="16"/>
        <v>4363229331.7270355</v>
      </c>
      <c r="W102" s="101"/>
      <c r="X102" s="101"/>
      <c r="Y102" s="101"/>
      <c r="Z102" s="55">
        <v>0.1</v>
      </c>
      <c r="AA102" s="630"/>
    </row>
    <row r="103" spans="1:27">
      <c r="A103">
        <v>1301</v>
      </c>
      <c r="B103" s="101" t="str">
        <f>CONCATENATE("Verminculite; {", J103, "}; ", Z103," g/g in ground")</f>
        <v>Verminculite; {Mg3Si4O10(OH)22(H2O)}; 0.21 g/g in ground</v>
      </c>
      <c r="C103" s="101" t="s">
        <v>84</v>
      </c>
      <c r="D103" s="101" t="s">
        <v>73</v>
      </c>
      <c r="E103" s="101" t="s">
        <v>33</v>
      </c>
      <c r="F103" s="101" t="s">
        <v>85</v>
      </c>
      <c r="G103" s="101" t="s">
        <v>75</v>
      </c>
      <c r="H103" s="101"/>
      <c r="I103" s="102" t="s">
        <v>279</v>
      </c>
      <c r="J103" s="101" t="s">
        <v>169</v>
      </c>
      <c r="K103" s="101" t="s">
        <v>1773</v>
      </c>
      <c r="L103" s="103">
        <f>IF(K103="mineral",(IFERROR(VLOOKUP($A103,'Singular Minerals'!$B$12:$U$500,19,FALSE),IFERROR(VLOOKUP($A103,'Multiple Minerals'!$B$26:$U$309,19,FALSE),VLOOKUP($A103,'Aggregate Minerals'!$B$19:$N$300,13,FALSE)))),(IFERROR(VLOOKUP($A103,'Singular Minerals'!$B$12:$U$500,20,FALSE),IFERROR(VLOOKUP($A103,'Multiple Minerals'!$B$26:$U$309,20,FALSE),VLOOKUP($A103,'Aggregate Minerals'!$B$19:$N$300,13,FALSE)))))</f>
        <v>1121696152.0109124</v>
      </c>
      <c r="M103" s="103">
        <v>2500000000</v>
      </c>
      <c r="N103" s="310"/>
      <c r="O103" s="103" t="str">
        <f t="shared" si="14"/>
        <v/>
      </c>
      <c r="P103" s="103">
        <f t="shared" si="15"/>
        <v>1121696152.0109124</v>
      </c>
      <c r="Q103" s="101"/>
      <c r="R103" s="101"/>
      <c r="S103" s="101"/>
      <c r="T103" s="101"/>
      <c r="U103" s="101"/>
      <c r="V103" s="103">
        <f t="shared" si="16"/>
        <v>1121696152.0109124</v>
      </c>
      <c r="W103" s="101"/>
      <c r="X103" s="101"/>
      <c r="Y103" s="101" t="s">
        <v>1230</v>
      </c>
      <c r="Z103" s="55">
        <v>0.21</v>
      </c>
      <c r="AA103" s="630"/>
    </row>
    <row r="104" spans="1:27">
      <c r="A104">
        <v>1264</v>
      </c>
      <c r="B104" s="101" t="str">
        <f>CONCATENATE("Zinc; {", J104, "}, ", AA104," g/g in ground")</f>
        <v>Zinc; {ZnS}, 0.053 g/g in ground</v>
      </c>
      <c r="C104" s="101" t="s">
        <v>84</v>
      </c>
      <c r="D104" s="101" t="s">
        <v>73</v>
      </c>
      <c r="E104" s="101" t="s">
        <v>33</v>
      </c>
      <c r="F104" s="101" t="s">
        <v>85</v>
      </c>
      <c r="G104" s="101" t="s">
        <v>75</v>
      </c>
      <c r="H104" s="101"/>
      <c r="I104" s="102" t="s">
        <v>279</v>
      </c>
      <c r="J104" s="101" t="s">
        <v>256</v>
      </c>
      <c r="K104" s="101" t="s">
        <v>1772</v>
      </c>
      <c r="L104" s="103">
        <f>IF(K104="mineral",(IFERROR(VLOOKUP($A104,'Singular Minerals'!$B$12:$U$500,19,FALSE),IFERROR(VLOOKUP($A104,'Multiple Minerals'!$B$26:$U$309,19,FALSE),VLOOKUP($A104,'Aggregate Minerals'!$B$19:$N$300,13,FALSE)))),(IFERROR(VLOOKUP($A104,'Singular Minerals'!$B$12:$U$500,20,FALSE),IFERROR(VLOOKUP($A104,'Multiple Minerals'!$B$26:$U$309,20,FALSE),VLOOKUP($A104,'Aggregate Minerals'!$B$19:$N$300,13,FALSE)))))</f>
        <v>13985065720.471844</v>
      </c>
      <c r="M104" s="103">
        <v>2500000000</v>
      </c>
      <c r="N104" s="310"/>
      <c r="O104" s="103" t="str">
        <f t="shared" si="14"/>
        <v/>
      </c>
      <c r="P104" s="103">
        <f t="shared" si="15"/>
        <v>13985065720.471844</v>
      </c>
      <c r="Q104" s="101"/>
      <c r="R104" s="101"/>
      <c r="S104" s="101"/>
      <c r="T104" s="101"/>
      <c r="U104" s="101"/>
      <c r="V104" s="103">
        <f t="shared" si="16"/>
        <v>13985065720.471844</v>
      </c>
      <c r="W104" s="101"/>
      <c r="X104" s="101"/>
      <c r="Y104" s="101" t="s">
        <v>1231</v>
      </c>
      <c r="Z104" s="55"/>
      <c r="AA104" s="85">
        <v>5.2999999999999999E-2</v>
      </c>
    </row>
    <row r="105" spans="1:27">
      <c r="A105">
        <v>1031</v>
      </c>
      <c r="B105" s="101" t="str">
        <f>CONCATENATE("Baddeleyite, Zirconia; {", J105, "}; ", Z105," g/g in ground")</f>
        <v>Baddeleyite, Zirconia; {ZrO2}; 0.0039 g/g in ground</v>
      </c>
      <c r="C105" s="101" t="s">
        <v>84</v>
      </c>
      <c r="D105" s="101" t="s">
        <v>73</v>
      </c>
      <c r="E105" s="101" t="s">
        <v>33</v>
      </c>
      <c r="F105" s="101" t="s">
        <v>85</v>
      </c>
      <c r="G105" s="101" t="s">
        <v>75</v>
      </c>
      <c r="H105" s="101"/>
      <c r="I105" s="102" t="s">
        <v>279</v>
      </c>
      <c r="J105" s="101" t="s">
        <v>148</v>
      </c>
      <c r="K105" s="101" t="s">
        <v>1773</v>
      </c>
      <c r="L105" s="103">
        <f>IF(K105="mineral",(IFERROR(VLOOKUP($A105,'Singular Minerals'!$B$12:$U$500,19,FALSE),IFERROR(VLOOKUP($A105,'Multiple Minerals'!$B$26:$U$309,19,FALSE),VLOOKUP($A105,'Aggregate Minerals'!$B$19:$N$300,13,FALSE)))),(IFERROR(VLOOKUP($A105,'Singular Minerals'!$B$12:$U$500,20,FALSE),IFERROR(VLOOKUP($A105,'Multiple Minerals'!$B$26:$U$309,20,FALSE),VLOOKUP($A105,'Aggregate Minerals'!$B$19:$N$300,13,FALSE)))))</f>
        <v>14103675060.126188</v>
      </c>
      <c r="M105" s="103">
        <v>2500000000</v>
      </c>
      <c r="N105" s="310"/>
      <c r="O105" s="103" t="str">
        <f t="shared" si="14"/>
        <v/>
      </c>
      <c r="P105" s="103">
        <f t="shared" si="15"/>
        <v>14103675060.126188</v>
      </c>
      <c r="Q105" s="101"/>
      <c r="R105" s="101"/>
      <c r="S105" s="101"/>
      <c r="T105" s="101"/>
      <c r="U105" s="101"/>
      <c r="V105" s="103">
        <f t="shared" si="16"/>
        <v>14103675060.126188</v>
      </c>
      <c r="W105" s="101"/>
      <c r="X105" s="101"/>
      <c r="Y105" s="101" t="s">
        <v>1232</v>
      </c>
      <c r="Z105" s="84">
        <v>3.8999999999999998E-3</v>
      </c>
      <c r="AA105" s="630"/>
    </row>
    <row r="106" spans="1:27" ht="24" customHeight="1">
      <c r="B106" s="262" t="s">
        <v>1378</v>
      </c>
      <c r="M106" s="3"/>
      <c r="O106" s="3"/>
      <c r="P106" s="3"/>
      <c r="V106" s="3"/>
      <c r="Z106" s="259"/>
    </row>
    <row r="107" spans="1:27">
      <c r="B107" s="104" t="s">
        <v>149</v>
      </c>
      <c r="C107" s="104" t="s">
        <v>150</v>
      </c>
      <c r="D107" s="104" t="s">
        <v>73</v>
      </c>
      <c r="E107" s="104" t="s">
        <v>33</v>
      </c>
      <c r="F107" s="104" t="s">
        <v>85</v>
      </c>
      <c r="G107" s="104" t="s">
        <v>75</v>
      </c>
      <c r="H107" s="104"/>
      <c r="I107" s="105" t="s">
        <v>279</v>
      </c>
      <c r="J107" s="104" t="s">
        <v>1170</v>
      </c>
      <c r="K107" s="104"/>
      <c r="L107" s="106">
        <f>MIN(L108:L120)</f>
        <v>1621905351.7156353</v>
      </c>
      <c r="M107" s="106">
        <v>2500000000</v>
      </c>
      <c r="N107" s="311"/>
      <c r="O107" s="106" t="str">
        <f t="shared" ref="O107:O120" si="17">IF(M107&lt;=renewable_cutoff,L107,"")</f>
        <v/>
      </c>
      <c r="P107" s="106">
        <f t="shared" ref="P107:P120" si="18">IF(M107&gt;renewable_cutoff,L107,"")</f>
        <v>1621905351.7156353</v>
      </c>
      <c r="Q107" s="104"/>
      <c r="R107" s="104"/>
      <c r="S107" s="104"/>
      <c r="T107" s="104"/>
      <c r="U107" s="104"/>
      <c r="V107" s="106">
        <f t="shared" ref="V107:V120" si="19">L107</f>
        <v>1621905351.7156353</v>
      </c>
      <c r="W107" s="104"/>
      <c r="X107" s="104"/>
      <c r="Y107" s="104" t="s">
        <v>1234</v>
      </c>
      <c r="Z107" s="56"/>
    </row>
    <row r="108" spans="1:27">
      <c r="A108">
        <v>3002</v>
      </c>
      <c r="B108" s="104" t="s">
        <v>151</v>
      </c>
      <c r="C108" s="104" t="s">
        <v>150</v>
      </c>
      <c r="D108" s="104" t="s">
        <v>73</v>
      </c>
      <c r="E108" s="104" t="s">
        <v>33</v>
      </c>
      <c r="F108" s="104" t="s">
        <v>85</v>
      </c>
      <c r="G108" s="104" t="s">
        <v>75</v>
      </c>
      <c r="H108" s="104" t="s">
        <v>229</v>
      </c>
      <c r="I108" s="105" t="s">
        <v>279</v>
      </c>
      <c r="J108" s="104" t="s">
        <v>1170</v>
      </c>
      <c r="K108" s="104"/>
      <c r="L108" s="106">
        <f>IF(K108="mineral",(IFERROR(VLOOKUP($A108,'Singular Minerals'!$B$12:$U$500,19,FALSE),IFERROR(VLOOKUP($A108,'Multiple Minerals'!$B$26:$U$309,19,FALSE),VLOOKUP($A108,'Aggregate Minerals'!$B$19:$N$300,13,FALSE)))),(IFERROR(VLOOKUP($A108,'Singular Minerals'!$B$12:$U$500,20,FALSE),IFERROR(VLOOKUP($A108,'Multiple Minerals'!$B$26:$U$309,20,FALSE),VLOOKUP($A108,'Aggregate Minerals'!$B$19:$N$300,13,FALSE)))))</f>
        <v>3302040399.6412439</v>
      </c>
      <c r="M108" s="106">
        <v>2500000000</v>
      </c>
      <c r="N108" s="311"/>
      <c r="O108" s="106" t="str">
        <f t="shared" si="17"/>
        <v/>
      </c>
      <c r="P108" s="106">
        <f t="shared" si="18"/>
        <v>3302040399.6412439</v>
      </c>
      <c r="Q108" s="104"/>
      <c r="R108" s="104"/>
      <c r="S108" s="104"/>
      <c r="T108" s="104"/>
      <c r="U108" s="104"/>
      <c r="V108" s="106">
        <f t="shared" si="19"/>
        <v>3302040399.6412439</v>
      </c>
      <c r="W108" s="104"/>
      <c r="X108" s="104"/>
      <c r="Y108" s="104"/>
      <c r="Z108" s="56"/>
    </row>
    <row r="109" spans="1:27">
      <c r="A109">
        <v>3001</v>
      </c>
      <c r="B109" s="104" t="s">
        <v>1233</v>
      </c>
      <c r="C109" s="104" t="s">
        <v>150</v>
      </c>
      <c r="D109" s="104" t="s">
        <v>73</v>
      </c>
      <c r="E109" s="104" t="s">
        <v>33</v>
      </c>
      <c r="F109" s="104" t="s">
        <v>85</v>
      </c>
      <c r="G109" s="104" t="s">
        <v>75</v>
      </c>
      <c r="H109" s="104" t="s">
        <v>229</v>
      </c>
      <c r="I109" s="105" t="s">
        <v>279</v>
      </c>
      <c r="J109" s="104" t="s">
        <v>1235</v>
      </c>
      <c r="K109" s="104"/>
      <c r="L109" s="106">
        <f>IF(K109="mineral",(IFERROR(VLOOKUP($A109,'Singular Minerals'!$B$12:$U$500,19,FALSE),IFERROR(VLOOKUP($A109,'Multiple Minerals'!$B$26:$U$309,19,FALSE),VLOOKUP($A109,'Aggregate Minerals'!$B$19:$N$300,13,FALSE)))),(IFERROR(VLOOKUP($A109,'Singular Minerals'!$B$12:$U$500,20,FALSE),IFERROR(VLOOKUP($A109,'Multiple Minerals'!$B$26:$U$309,20,FALSE),VLOOKUP($A109,'Aggregate Minerals'!$B$19:$N$300,13,FALSE)))))</f>
        <v>5926382251.1680193</v>
      </c>
      <c r="M109" s="106">
        <v>2500000000</v>
      </c>
      <c r="N109" s="311"/>
      <c r="O109" s="106" t="str">
        <f t="shared" si="17"/>
        <v/>
      </c>
      <c r="P109" s="106">
        <f t="shared" si="18"/>
        <v>5926382251.1680193</v>
      </c>
      <c r="Q109" s="104"/>
      <c r="R109" s="104"/>
      <c r="S109" s="104"/>
      <c r="T109" s="104"/>
      <c r="U109" s="104"/>
      <c r="V109" s="106">
        <f t="shared" si="19"/>
        <v>5926382251.1680193</v>
      </c>
      <c r="W109" s="104"/>
      <c r="X109" s="104"/>
      <c r="Y109" s="104" t="s">
        <v>1243</v>
      </c>
      <c r="Z109" s="56"/>
    </row>
    <row r="110" spans="1:27">
      <c r="A110">
        <v>3008</v>
      </c>
      <c r="B110" s="104" t="s">
        <v>1168</v>
      </c>
      <c r="C110" s="104" t="s">
        <v>150</v>
      </c>
      <c r="D110" s="104" t="s">
        <v>73</v>
      </c>
      <c r="E110" s="104" t="s">
        <v>33</v>
      </c>
      <c r="F110" s="104" t="s">
        <v>85</v>
      </c>
      <c r="G110" s="104" t="s">
        <v>75</v>
      </c>
      <c r="H110" s="104" t="s">
        <v>1169</v>
      </c>
      <c r="I110" s="105" t="s">
        <v>279</v>
      </c>
      <c r="J110" s="104" t="s">
        <v>1170</v>
      </c>
      <c r="K110" s="104"/>
      <c r="L110" s="106">
        <f>IF(K110="mineral",(IFERROR(VLOOKUP($A110,'Singular Minerals'!$B$12:$U$500,19,FALSE),IFERROR(VLOOKUP($A110,'Multiple Minerals'!$B$26:$U$309,19,FALSE),VLOOKUP($A110,'Aggregate Minerals'!$B$19:$N$300,13,FALSE)))),(IFERROR(VLOOKUP($A110,'Singular Minerals'!$B$12:$U$500,20,FALSE),IFERROR(VLOOKUP($A110,'Multiple Minerals'!$B$26:$U$309,20,FALSE),VLOOKUP($A110,'Aggregate Minerals'!$B$19:$N$300,13,FALSE)))))</f>
        <v>2041364839.9011302</v>
      </c>
      <c r="M110" s="106">
        <v>2500000000</v>
      </c>
      <c r="N110" s="311"/>
      <c r="O110" s="106" t="str">
        <f t="shared" si="17"/>
        <v/>
      </c>
      <c r="P110" s="106">
        <f t="shared" si="18"/>
        <v>2041364839.9011302</v>
      </c>
      <c r="Q110" s="104"/>
      <c r="R110" s="104"/>
      <c r="S110" s="104"/>
      <c r="T110" s="104"/>
      <c r="U110" s="104"/>
      <c r="V110" s="106">
        <f t="shared" si="19"/>
        <v>2041364839.9011302</v>
      </c>
      <c r="W110" s="104"/>
      <c r="X110" s="104"/>
      <c r="Y110" s="104" t="s">
        <v>1171</v>
      </c>
      <c r="Z110" s="56"/>
    </row>
    <row r="111" spans="1:27">
      <c r="A111">
        <v>3008</v>
      </c>
      <c r="B111" s="104" t="s">
        <v>152</v>
      </c>
      <c r="C111" s="104" t="s">
        <v>150</v>
      </c>
      <c r="D111" s="104" t="s">
        <v>73</v>
      </c>
      <c r="E111" s="104" t="s">
        <v>33</v>
      </c>
      <c r="F111" s="104" t="s">
        <v>85</v>
      </c>
      <c r="G111" s="104" t="s">
        <v>75</v>
      </c>
      <c r="H111" s="104" t="s">
        <v>229</v>
      </c>
      <c r="I111" s="105" t="s">
        <v>279</v>
      </c>
      <c r="J111" s="104" t="s">
        <v>1170</v>
      </c>
      <c r="K111" s="104"/>
      <c r="L111" s="106">
        <f>IF(K111="mineral",(IFERROR(VLOOKUP($A111,'Singular Minerals'!$B$12:$U$500,19,FALSE),IFERROR(VLOOKUP($A111,'Multiple Minerals'!$B$26:$U$309,19,FALSE),VLOOKUP($A111,'Aggregate Minerals'!$B$19:$N$300,13,FALSE)))),(IFERROR(VLOOKUP($A111,'Singular Minerals'!$B$12:$U$500,20,FALSE),IFERROR(VLOOKUP($A111,'Multiple Minerals'!$B$26:$U$309,20,FALSE),VLOOKUP($A111,'Aggregate Minerals'!$B$19:$N$300,13,FALSE)))))</f>
        <v>2041364839.9011302</v>
      </c>
      <c r="M111" s="106">
        <v>2500000000</v>
      </c>
      <c r="N111" s="311"/>
      <c r="O111" s="106" t="str">
        <f t="shared" si="17"/>
        <v/>
      </c>
      <c r="P111" s="106">
        <f t="shared" si="18"/>
        <v>2041364839.9011302</v>
      </c>
      <c r="Q111" s="104"/>
      <c r="R111" s="104"/>
      <c r="S111" s="104"/>
      <c r="T111" s="104"/>
      <c r="U111" s="104"/>
      <c r="V111" s="106">
        <f t="shared" si="19"/>
        <v>2041364839.9011302</v>
      </c>
      <c r="W111" s="104"/>
      <c r="X111" s="104"/>
      <c r="Y111" s="104" t="s">
        <v>1172</v>
      </c>
      <c r="Z111" s="56"/>
    </row>
    <row r="112" spans="1:27">
      <c r="A112">
        <v>3001</v>
      </c>
      <c r="B112" s="104" t="str">
        <f>CONCATENATE("Dolomite; {", J112, "}; ", Z112,"in ground")</f>
        <v>Dolomite; {CaMg(CO3)2}; in ground</v>
      </c>
      <c r="C112" s="104" t="s">
        <v>150</v>
      </c>
      <c r="D112" s="104" t="s">
        <v>73</v>
      </c>
      <c r="E112" s="104" t="s">
        <v>33</v>
      </c>
      <c r="F112" s="104" t="s">
        <v>85</v>
      </c>
      <c r="G112" s="104" t="s">
        <v>75</v>
      </c>
      <c r="H112" s="104"/>
      <c r="I112" s="105" t="s">
        <v>279</v>
      </c>
      <c r="J112" s="104" t="s">
        <v>155</v>
      </c>
      <c r="K112" s="104"/>
      <c r="L112" s="106">
        <f>IF(K112="mineral",(IFERROR(VLOOKUP($A112,'Singular Minerals'!$B$12:$U$500,19,FALSE),IFERROR(VLOOKUP($A112,'Multiple Minerals'!$B$26:$U$309,19,FALSE),VLOOKUP($A112,'Aggregate Minerals'!$B$19:$N$300,13,FALSE)))),(IFERROR(VLOOKUP($A112,'Singular Minerals'!$B$12:$U$500,20,FALSE),IFERROR(VLOOKUP($A112,'Multiple Minerals'!$B$26:$U$309,20,FALSE),VLOOKUP($A112,'Aggregate Minerals'!$B$19:$N$300,13,FALSE)))))</f>
        <v>5926382251.1680193</v>
      </c>
      <c r="M112" s="106">
        <v>2500000000</v>
      </c>
      <c r="N112" s="311"/>
      <c r="O112" s="106" t="str">
        <f t="shared" si="17"/>
        <v/>
      </c>
      <c r="P112" s="106">
        <f t="shared" si="18"/>
        <v>5926382251.1680193</v>
      </c>
      <c r="Q112" s="104"/>
      <c r="R112" s="104"/>
      <c r="S112" s="104"/>
      <c r="T112" s="104"/>
      <c r="U112" s="104"/>
      <c r="V112" s="106">
        <f t="shared" si="19"/>
        <v>5926382251.1680193</v>
      </c>
      <c r="W112" s="104"/>
      <c r="X112" s="104"/>
      <c r="Y112" s="104" t="s">
        <v>1242</v>
      </c>
      <c r="Z112" s="56"/>
    </row>
    <row r="113" spans="1:33">
      <c r="A113">
        <v>3003</v>
      </c>
      <c r="B113" s="104" t="s">
        <v>156</v>
      </c>
      <c r="C113" s="104" t="s">
        <v>150</v>
      </c>
      <c r="D113" s="104" t="s">
        <v>73</v>
      </c>
      <c r="E113" s="104" t="s">
        <v>33</v>
      </c>
      <c r="F113" s="104" t="s">
        <v>85</v>
      </c>
      <c r="G113" s="104" t="s">
        <v>75</v>
      </c>
      <c r="H113" s="104" t="s">
        <v>229</v>
      </c>
      <c r="I113" s="105" t="s">
        <v>279</v>
      </c>
      <c r="J113" s="104" t="s">
        <v>1170</v>
      </c>
      <c r="K113" s="104"/>
      <c r="L113" s="106">
        <f>IF(K113="mineral",(IFERROR(VLOOKUP($A113,'Singular Minerals'!$B$12:$U$500,19,FALSE),IFERROR(VLOOKUP($A113,'Multiple Minerals'!$B$26:$U$309,19,FALSE),VLOOKUP($A113,'Aggregate Minerals'!$B$19:$N$300,13,FALSE)))),(IFERROR(VLOOKUP($A113,'Singular Minerals'!$B$12:$U$500,20,FALSE),IFERROR(VLOOKUP($A113,'Multiple Minerals'!$B$26:$U$309,20,FALSE),VLOOKUP($A113,'Aggregate Minerals'!$B$19:$N$300,13,FALSE)))))</f>
        <v>1623359000.2483101</v>
      </c>
      <c r="M113" s="106">
        <v>2500000000</v>
      </c>
      <c r="N113" s="311"/>
      <c r="O113" s="106" t="str">
        <f t="shared" si="17"/>
        <v/>
      </c>
      <c r="P113" s="106">
        <f t="shared" si="18"/>
        <v>1623359000.2483101</v>
      </c>
      <c r="Q113" s="104"/>
      <c r="R113" s="104"/>
      <c r="S113" s="104"/>
      <c r="T113" s="104"/>
      <c r="U113" s="104"/>
      <c r="V113" s="106">
        <f t="shared" si="19"/>
        <v>1623359000.2483101</v>
      </c>
      <c r="W113" s="104"/>
      <c r="X113" s="104"/>
      <c r="Y113" s="104" t="s">
        <v>230</v>
      </c>
      <c r="Z113" s="56"/>
    </row>
    <row r="114" spans="1:33">
      <c r="A114">
        <v>3003</v>
      </c>
      <c r="B114" s="104" t="s">
        <v>157</v>
      </c>
      <c r="C114" s="104" t="s">
        <v>150</v>
      </c>
      <c r="D114" s="104" t="s">
        <v>73</v>
      </c>
      <c r="E114" s="104" t="s">
        <v>33</v>
      </c>
      <c r="F114" s="104" t="s">
        <v>85</v>
      </c>
      <c r="G114" s="104" t="s">
        <v>75</v>
      </c>
      <c r="H114" s="104" t="s">
        <v>229</v>
      </c>
      <c r="I114" s="105" t="s">
        <v>279</v>
      </c>
      <c r="J114" s="104" t="s">
        <v>1170</v>
      </c>
      <c r="K114" s="104"/>
      <c r="L114" s="106">
        <f>IF(K114="mineral",(IFERROR(VLOOKUP($A114,'Singular Minerals'!$B$12:$U$500,19,FALSE),IFERROR(VLOOKUP($A114,'Multiple Minerals'!$B$26:$U$309,19,FALSE),VLOOKUP($A114,'Aggregate Minerals'!$B$19:$N$300,13,FALSE)))),(IFERROR(VLOOKUP($A114,'Singular Minerals'!$B$12:$U$500,20,FALSE),IFERROR(VLOOKUP($A114,'Multiple Minerals'!$B$26:$U$309,20,FALSE),VLOOKUP($A114,'Aggregate Minerals'!$B$19:$N$300,13,FALSE)))))</f>
        <v>1623359000.2483101</v>
      </c>
      <c r="M114" s="106">
        <v>2500000000</v>
      </c>
      <c r="N114" s="311"/>
      <c r="O114" s="106" t="str">
        <f t="shared" si="17"/>
        <v/>
      </c>
      <c r="P114" s="106">
        <f t="shared" si="18"/>
        <v>1623359000.2483101</v>
      </c>
      <c r="Q114" s="104"/>
      <c r="R114" s="104"/>
      <c r="S114" s="104"/>
      <c r="T114" s="104"/>
      <c r="U114" s="104"/>
      <c r="V114" s="106">
        <f t="shared" si="19"/>
        <v>1623359000.2483101</v>
      </c>
      <c r="W114" s="104"/>
      <c r="X114" s="104"/>
      <c r="Y114" s="104" t="s">
        <v>230</v>
      </c>
      <c r="Z114" s="56"/>
    </row>
    <row r="115" spans="1:33">
      <c r="A115">
        <v>3004</v>
      </c>
      <c r="B115" s="104" t="s">
        <v>123</v>
      </c>
      <c r="C115" s="104" t="s">
        <v>150</v>
      </c>
      <c r="D115" s="104" t="s">
        <v>73</v>
      </c>
      <c r="E115" s="104" t="s">
        <v>33</v>
      </c>
      <c r="F115" s="104" t="s">
        <v>85</v>
      </c>
      <c r="G115" s="104" t="s">
        <v>75</v>
      </c>
      <c r="H115" s="104" t="s">
        <v>229</v>
      </c>
      <c r="I115" s="105" t="s">
        <v>279</v>
      </c>
      <c r="J115" s="104" t="s">
        <v>1170</v>
      </c>
      <c r="K115" s="104"/>
      <c r="L115" s="106">
        <f>IF(K115="mineral",(IFERROR(VLOOKUP($A115,'Singular Minerals'!$B$12:$U$500,19,FALSE),IFERROR(VLOOKUP($A115,'Multiple Minerals'!$B$26:$U$309,19,FALSE),VLOOKUP($A115,'Aggregate Minerals'!$B$19:$N$300,13,FALSE)))),(IFERROR(VLOOKUP($A115,'Singular Minerals'!$B$12:$U$500,20,FALSE),IFERROR(VLOOKUP($A115,'Multiple Minerals'!$B$26:$U$309,20,FALSE),VLOOKUP($A115,'Aggregate Minerals'!$B$19:$N$300,13,FALSE)))))</f>
        <v>1649230763.6992123</v>
      </c>
      <c r="M115" s="106">
        <v>2500000000</v>
      </c>
      <c r="N115" s="311"/>
      <c r="O115" s="106" t="str">
        <f t="shared" si="17"/>
        <v/>
      </c>
      <c r="P115" s="106">
        <f t="shared" si="18"/>
        <v>1649230763.6992123</v>
      </c>
      <c r="Q115" s="104"/>
      <c r="R115" s="104"/>
      <c r="S115" s="104"/>
      <c r="T115" s="104"/>
      <c r="U115" s="104"/>
      <c r="V115" s="106">
        <f t="shared" si="19"/>
        <v>1649230763.6992123</v>
      </c>
      <c r="W115" s="104"/>
      <c r="X115" s="104"/>
      <c r="Y115" s="104"/>
      <c r="Z115" s="56"/>
      <c r="AA115"/>
      <c r="AB115"/>
      <c r="AC115"/>
      <c r="AD115"/>
      <c r="AE115"/>
      <c r="AF115"/>
      <c r="AG115"/>
    </row>
    <row r="116" spans="1:33">
      <c r="A116">
        <v>3005</v>
      </c>
      <c r="B116" s="104" t="s">
        <v>158</v>
      </c>
      <c r="C116" s="104" t="s">
        <v>150</v>
      </c>
      <c r="D116" s="104" t="s">
        <v>73</v>
      </c>
      <c r="E116" s="104" t="s">
        <v>33</v>
      </c>
      <c r="F116" s="104" t="s">
        <v>85</v>
      </c>
      <c r="G116" s="104" t="s">
        <v>75</v>
      </c>
      <c r="H116" s="104" t="s">
        <v>229</v>
      </c>
      <c r="I116" s="105" t="s">
        <v>279</v>
      </c>
      <c r="J116" s="104" t="s">
        <v>1170</v>
      </c>
      <c r="K116" s="104"/>
      <c r="L116" s="106">
        <f>IF(K116="mineral",(IFERROR(VLOOKUP($A116,'Singular Minerals'!$B$12:$U$500,19,FALSE),IFERROR(VLOOKUP($A116,'Multiple Minerals'!$B$26:$U$309,19,FALSE),VLOOKUP($A116,'Aggregate Minerals'!$B$19:$N$300,13,FALSE)))),(IFERROR(VLOOKUP($A116,'Singular Minerals'!$B$12:$U$500,20,FALSE),IFERROR(VLOOKUP($A116,'Multiple Minerals'!$B$26:$U$309,20,FALSE),VLOOKUP($A116,'Aggregate Minerals'!$B$19:$N$300,13,FALSE)))))</f>
        <v>1621905351.7156353</v>
      </c>
      <c r="M116" s="106">
        <v>2500000000</v>
      </c>
      <c r="N116" s="311"/>
      <c r="O116" s="106" t="str">
        <f t="shared" si="17"/>
        <v/>
      </c>
      <c r="P116" s="106">
        <f t="shared" si="18"/>
        <v>1621905351.7156353</v>
      </c>
      <c r="Q116" s="104"/>
      <c r="R116" s="104"/>
      <c r="S116" s="104"/>
      <c r="T116" s="104"/>
      <c r="U116" s="104"/>
      <c r="V116" s="106">
        <f t="shared" si="19"/>
        <v>1621905351.7156353</v>
      </c>
      <c r="W116" s="104"/>
      <c r="X116" s="104"/>
      <c r="Y116" s="104"/>
      <c r="Z116" s="56"/>
    </row>
    <row r="117" spans="1:33">
      <c r="A117">
        <v>3003</v>
      </c>
      <c r="B117" s="104" t="s">
        <v>159</v>
      </c>
      <c r="C117" s="104" t="s">
        <v>150</v>
      </c>
      <c r="D117" s="104" t="s">
        <v>73</v>
      </c>
      <c r="E117" s="104" t="s">
        <v>33</v>
      </c>
      <c r="F117" s="104" t="s">
        <v>85</v>
      </c>
      <c r="G117" s="104" t="s">
        <v>75</v>
      </c>
      <c r="H117" s="104"/>
      <c r="I117" s="105" t="s">
        <v>279</v>
      </c>
      <c r="J117" s="104" t="s">
        <v>1170</v>
      </c>
      <c r="K117" s="104"/>
      <c r="L117" s="106">
        <f>IF(K117="mineral",(IFERROR(VLOOKUP($A117,'Singular Minerals'!$B$12:$U$500,19,FALSE),IFERROR(VLOOKUP($A117,'Multiple Minerals'!$B$26:$U$309,19,FALSE),VLOOKUP($A117,'Aggregate Minerals'!$B$19:$N$300,13,FALSE)))),(IFERROR(VLOOKUP($A117,'Singular Minerals'!$B$12:$U$500,20,FALSE),IFERROR(VLOOKUP($A117,'Multiple Minerals'!$B$26:$U$309,20,FALSE),VLOOKUP($A117,'Aggregate Minerals'!$B$19:$N$300,13,FALSE)))))</f>
        <v>1623359000.2483101</v>
      </c>
      <c r="M117" s="106">
        <v>2500000000</v>
      </c>
      <c r="N117" s="311"/>
      <c r="O117" s="106" t="str">
        <f t="shared" si="17"/>
        <v/>
      </c>
      <c r="P117" s="106">
        <f t="shared" si="18"/>
        <v>1623359000.2483101</v>
      </c>
      <c r="Q117" s="104"/>
      <c r="R117" s="104"/>
      <c r="S117" s="104"/>
      <c r="T117" s="104"/>
      <c r="U117" s="104"/>
      <c r="V117" s="106">
        <f t="shared" si="19"/>
        <v>1623359000.2483101</v>
      </c>
      <c r="W117" s="104"/>
      <c r="X117" s="104"/>
      <c r="Y117" s="104" t="s">
        <v>1234</v>
      </c>
      <c r="Z117" s="56"/>
    </row>
    <row r="118" spans="1:33">
      <c r="A118">
        <v>1239</v>
      </c>
      <c r="B118" s="104" t="s">
        <v>160</v>
      </c>
      <c r="C118" s="104" t="s">
        <v>150</v>
      </c>
      <c r="D118" s="104" t="s">
        <v>73</v>
      </c>
      <c r="E118" s="104" t="s">
        <v>33</v>
      </c>
      <c r="F118" s="104" t="s">
        <v>85</v>
      </c>
      <c r="G118" s="104" t="s">
        <v>75</v>
      </c>
      <c r="H118" s="104" t="s">
        <v>229</v>
      </c>
      <c r="I118" s="105" t="s">
        <v>279</v>
      </c>
      <c r="J118" s="104" t="s">
        <v>1170</v>
      </c>
      <c r="K118" s="104" t="s">
        <v>1773</v>
      </c>
      <c r="L118" s="106">
        <f>IF(K118="mineral",(IFERROR(VLOOKUP($A118,'Singular Minerals'!$B$12:$U$500,19,FALSE),IFERROR(VLOOKUP($A118,'Multiple Minerals'!$B$26:$U$309,19,FALSE),VLOOKUP($A118,'Aggregate Minerals'!$B$19:$N$300,13,FALSE)))),(IFERROR(VLOOKUP($A118,'Singular Minerals'!$B$12:$U$500,20,FALSE),IFERROR(VLOOKUP($A118,'Multiple Minerals'!$B$26:$U$309,20,FALSE),VLOOKUP($A118,'Aggregate Minerals'!$B$19:$N$300,13,FALSE)))))</f>
        <v>3243440349.2055173</v>
      </c>
      <c r="M118" s="106">
        <v>2500000000</v>
      </c>
      <c r="N118" s="311"/>
      <c r="O118" s="106" t="str">
        <f t="shared" si="17"/>
        <v/>
      </c>
      <c r="P118" s="106">
        <f t="shared" si="18"/>
        <v>3243440349.2055173</v>
      </c>
      <c r="Q118" s="104"/>
      <c r="R118" s="104"/>
      <c r="S118" s="104"/>
      <c r="T118" s="104"/>
      <c r="U118" s="104"/>
      <c r="V118" s="106">
        <f t="shared" si="19"/>
        <v>3243440349.2055173</v>
      </c>
      <c r="W118" s="104"/>
      <c r="X118" s="104"/>
      <c r="Y118" s="104" t="s">
        <v>231</v>
      </c>
      <c r="Z118" s="56"/>
    </row>
    <row r="119" spans="1:33">
      <c r="A119">
        <v>1239</v>
      </c>
      <c r="B119" s="104" t="s">
        <v>162</v>
      </c>
      <c r="C119" s="104" t="s">
        <v>150</v>
      </c>
      <c r="D119" s="104" t="s">
        <v>73</v>
      </c>
      <c r="E119" s="104" t="s">
        <v>33</v>
      </c>
      <c r="F119" s="104" t="s">
        <v>85</v>
      </c>
      <c r="G119" s="104" t="s">
        <v>75</v>
      </c>
      <c r="H119" s="104" t="s">
        <v>229</v>
      </c>
      <c r="I119" s="105" t="s">
        <v>279</v>
      </c>
      <c r="J119" s="104" t="s">
        <v>1170</v>
      </c>
      <c r="K119" s="104" t="s">
        <v>1773</v>
      </c>
      <c r="L119" s="106">
        <f>IF(K119="mineral",(IFERROR(VLOOKUP($A119,'Singular Minerals'!$B$12:$U$500,19,FALSE),IFERROR(VLOOKUP($A119,'Multiple Minerals'!$B$26:$U$309,19,FALSE),VLOOKUP($A119,'Aggregate Minerals'!$B$19:$N$300,13,FALSE)))),(IFERROR(VLOOKUP($A119,'Singular Minerals'!$B$12:$U$500,20,FALSE),IFERROR(VLOOKUP($A119,'Multiple Minerals'!$B$26:$U$309,20,FALSE),VLOOKUP($A119,'Aggregate Minerals'!$B$19:$N$300,13,FALSE)))))</f>
        <v>3243440349.2055173</v>
      </c>
      <c r="M119" s="106">
        <v>2500000000</v>
      </c>
      <c r="N119" s="311"/>
      <c r="O119" s="106" t="str">
        <f t="shared" si="17"/>
        <v/>
      </c>
      <c r="P119" s="106">
        <f t="shared" si="18"/>
        <v>3243440349.2055173</v>
      </c>
      <c r="Q119" s="104"/>
      <c r="R119" s="104"/>
      <c r="S119" s="104"/>
      <c r="T119" s="104"/>
      <c r="U119" s="104"/>
      <c r="V119" s="106">
        <f t="shared" si="19"/>
        <v>3243440349.2055173</v>
      </c>
      <c r="W119" s="104"/>
      <c r="X119" s="104"/>
      <c r="Y119" s="104" t="s">
        <v>231</v>
      </c>
      <c r="Z119" s="56"/>
    </row>
    <row r="120" spans="1:33">
      <c r="A120">
        <v>3007</v>
      </c>
      <c r="B120" s="104" t="s">
        <v>163</v>
      </c>
      <c r="C120" s="104" t="s">
        <v>150</v>
      </c>
      <c r="D120" s="104" t="s">
        <v>73</v>
      </c>
      <c r="E120" s="104" t="s">
        <v>33</v>
      </c>
      <c r="F120" s="104" t="s">
        <v>85</v>
      </c>
      <c r="G120" s="104" t="s">
        <v>75</v>
      </c>
      <c r="H120" s="104" t="s">
        <v>229</v>
      </c>
      <c r="I120" s="105" t="s">
        <v>279</v>
      </c>
      <c r="J120" s="104" t="s">
        <v>1170</v>
      </c>
      <c r="K120" s="104"/>
      <c r="L120" s="106">
        <f>IF(K120="mineral",(IFERROR(VLOOKUP($A120,'Singular Minerals'!$B$12:$U$500,19,FALSE),IFERROR(VLOOKUP($A120,'Multiple Minerals'!$B$26:$U$309,19,FALSE),VLOOKUP($A120,'Aggregate Minerals'!$B$19:$N$300,13,FALSE)))),(IFERROR(VLOOKUP($A120,'Singular Minerals'!$B$12:$U$500,20,FALSE),IFERROR(VLOOKUP($A120,'Multiple Minerals'!$B$26:$U$309,20,FALSE),VLOOKUP($A120,'Aggregate Minerals'!$B$19:$N$300,13,FALSE)))))</f>
        <v>1626595416.0354307</v>
      </c>
      <c r="M120" s="106">
        <v>2500000000</v>
      </c>
      <c r="N120" s="311"/>
      <c r="O120" s="106" t="str">
        <f t="shared" si="17"/>
        <v/>
      </c>
      <c r="P120" s="106">
        <f t="shared" si="18"/>
        <v>1626595416.0354307</v>
      </c>
      <c r="Q120" s="104"/>
      <c r="R120" s="104"/>
      <c r="S120" s="104"/>
      <c r="T120" s="104"/>
      <c r="U120" s="104"/>
      <c r="V120" s="106">
        <f t="shared" si="19"/>
        <v>1626595416.0354307</v>
      </c>
      <c r="W120" s="104"/>
      <c r="X120" s="104"/>
      <c r="Y120" s="104"/>
      <c r="Z120" s="56"/>
    </row>
    <row r="121" spans="1:33" s="262" customFormat="1" ht="26.25" customHeight="1">
      <c r="B121" s="262" t="s">
        <v>1876</v>
      </c>
      <c r="I121" s="263"/>
      <c r="L121" s="264"/>
      <c r="M121" s="264"/>
      <c r="N121" s="312"/>
      <c r="O121" s="264"/>
      <c r="P121" s="264"/>
      <c r="V121" s="264"/>
      <c r="Z121" s="265"/>
      <c r="AA121" s="266"/>
      <c r="AB121" s="263"/>
      <c r="AC121" s="267"/>
      <c r="AD121" s="266"/>
      <c r="AE121" s="267"/>
      <c r="AF121" s="267"/>
      <c r="AG121" s="268"/>
    </row>
    <row r="122" spans="1:33">
      <c r="B122" s="632" t="str">
        <f>CONCATENATE("Sodium chloride; {", J122, "}; ", Z122," g/g in water")</f>
        <v>Sodium chloride; {NaCl}; 0.0159809065321587 g/g in water</v>
      </c>
      <c r="C122" s="632" t="s">
        <v>84</v>
      </c>
      <c r="D122" s="632" t="s">
        <v>164</v>
      </c>
      <c r="E122" s="632" t="s">
        <v>33</v>
      </c>
      <c r="F122" s="632" t="s">
        <v>85</v>
      </c>
      <c r="G122" s="632" t="s">
        <v>75</v>
      </c>
      <c r="H122" s="632"/>
      <c r="I122" s="633" t="s">
        <v>279</v>
      </c>
      <c r="J122" s="632" t="s">
        <v>134</v>
      </c>
      <c r="K122" s="632"/>
      <c r="L122" s="634">
        <f>'Ocean Ions'!Q4</f>
        <v>860115312.84023845</v>
      </c>
      <c r="M122" s="634">
        <v>2500000000</v>
      </c>
      <c r="N122" s="635"/>
      <c r="O122" s="634" t="str">
        <f>IF(M122&lt;=renewable_cutoff,L122,"")</f>
        <v/>
      </c>
      <c r="P122" s="634">
        <f>IF(M122&gt;renewable_cutoff,L122,"")</f>
        <v>860115312.84023845</v>
      </c>
      <c r="Q122" s="632"/>
      <c r="R122" s="632"/>
      <c r="S122" s="632"/>
      <c r="T122" s="632"/>
      <c r="U122" s="632"/>
      <c r="V122" s="634">
        <f>L122</f>
        <v>860115312.84023845</v>
      </c>
      <c r="W122" s="632"/>
      <c r="X122" s="632"/>
      <c r="Y122" s="632" t="s">
        <v>1434</v>
      </c>
      <c r="Z122" s="636">
        <f>'Ocean Ions'!P4</f>
        <v>1.5980906532158723E-2</v>
      </c>
    </row>
    <row r="123" spans="1:33">
      <c r="B123" s="632" t="str">
        <f>CONCATENATE("Bromine; {", J123, "}; ", Z123," g/g in water")</f>
        <v>Bromine; {Br}; 6.70414048780488E-05 g/g in water</v>
      </c>
      <c r="C123" s="632" t="s">
        <v>84</v>
      </c>
      <c r="D123" s="632" t="s">
        <v>164</v>
      </c>
      <c r="E123" s="632" t="s">
        <v>33</v>
      </c>
      <c r="F123" s="632" t="s">
        <v>85</v>
      </c>
      <c r="G123" s="632" t="s">
        <v>75</v>
      </c>
      <c r="H123" s="632"/>
      <c r="I123" s="633" t="s">
        <v>279</v>
      </c>
      <c r="J123" s="632" t="s">
        <v>89</v>
      </c>
      <c r="K123" s="632"/>
      <c r="L123" s="634">
        <f>'Ocean Ions'!Q5</f>
        <v>335606441448.86609</v>
      </c>
      <c r="M123" s="634">
        <v>2500000000</v>
      </c>
      <c r="N123" s="635"/>
      <c r="O123" s="634" t="str">
        <f>IF(M123&lt;=renewable_cutoff,L123,"")</f>
        <v/>
      </c>
      <c r="P123" s="634">
        <f>IF(M123&gt;renewable_cutoff,L123,"")</f>
        <v>335606441448.86609</v>
      </c>
      <c r="Q123" s="632"/>
      <c r="R123" s="632"/>
      <c r="S123" s="632"/>
      <c r="T123" s="632"/>
      <c r="U123" s="632"/>
      <c r="V123" s="634">
        <f>L123</f>
        <v>335606441448.86609</v>
      </c>
      <c r="W123" s="632"/>
      <c r="X123" s="632"/>
      <c r="Y123" s="632"/>
      <c r="Z123" s="636">
        <f>'Ocean Ions'!P5</f>
        <v>6.7041404878048782E-5</v>
      </c>
    </row>
    <row r="124" spans="1:33">
      <c r="B124" s="632" t="str">
        <f>CONCATENATE("Calcium chloride; {", J124, "}; ", Z124," g/g in water")</f>
        <v>Calcium chloride; {CaCl2}; 0.0125136969885401 g/g in water</v>
      </c>
      <c r="C124" s="632" t="s">
        <v>84</v>
      </c>
      <c r="D124" s="632" t="s">
        <v>164</v>
      </c>
      <c r="E124" s="632" t="s">
        <v>33</v>
      </c>
      <c r="F124" s="632" t="s">
        <v>85</v>
      </c>
      <c r="G124" s="632" t="s">
        <v>75</v>
      </c>
      <c r="H124" s="632"/>
      <c r="I124" s="633" t="s">
        <v>279</v>
      </c>
      <c r="J124" s="632" t="s">
        <v>92</v>
      </c>
      <c r="K124" s="632"/>
      <c r="L124" s="634">
        <f>'Ocean Ions'!Q6</f>
        <v>688402240.08575165</v>
      </c>
      <c r="M124" s="634">
        <v>2500000000</v>
      </c>
      <c r="N124" s="635"/>
      <c r="O124" s="634" t="str">
        <f>IF(M124&lt;=renewable_cutoff,L124,"")</f>
        <v/>
      </c>
      <c r="P124" s="634">
        <f>IF(M124&gt;renewable_cutoff,L124,"")</f>
        <v>688402240.08575165</v>
      </c>
      <c r="Q124" s="632"/>
      <c r="R124" s="632"/>
      <c r="S124" s="632"/>
      <c r="T124" s="632"/>
      <c r="U124" s="632"/>
      <c r="V124" s="634">
        <f>L124</f>
        <v>688402240.08575165</v>
      </c>
      <c r="W124" s="632"/>
      <c r="X124" s="632"/>
      <c r="Y124" s="632" t="s">
        <v>1435</v>
      </c>
      <c r="Z124" s="636">
        <f>'Ocean Ions'!P6</f>
        <v>1.2513696988540065E-2</v>
      </c>
    </row>
    <row r="125" spans="1:33">
      <c r="B125" s="632" t="str">
        <f>CONCATENATE("Iodine; {", J125, "}; ", Z125," g/g in water")</f>
        <v>Iodine; {I}; 5.94263414634146E-08 g/g in water</v>
      </c>
      <c r="C125" s="632" t="s">
        <v>84</v>
      </c>
      <c r="D125" s="632" t="s">
        <v>73</v>
      </c>
      <c r="E125" s="632" t="s">
        <v>33</v>
      </c>
      <c r="F125" s="632" t="s">
        <v>85</v>
      </c>
      <c r="G125" s="632" t="s">
        <v>75</v>
      </c>
      <c r="H125" s="632"/>
      <c r="I125" s="633" t="s">
        <v>279</v>
      </c>
      <c r="J125" s="632" t="s">
        <v>105</v>
      </c>
      <c r="K125" s="632"/>
      <c r="L125" s="634">
        <f>'Ocean Ions'!Q7</f>
        <v>3352284917399.6997</v>
      </c>
      <c r="M125" s="634">
        <v>2500000000</v>
      </c>
      <c r="N125" s="635"/>
      <c r="O125" s="634" t="str">
        <f>IF(M125&lt;=renewable_cutoff,L125,"")</f>
        <v/>
      </c>
      <c r="P125" s="634">
        <f>IF(M125&gt;renewable_cutoff,L125,"")</f>
        <v>3352284917399.6997</v>
      </c>
      <c r="Q125" s="632"/>
      <c r="R125" s="632"/>
      <c r="S125" s="632"/>
      <c r="T125" s="632"/>
      <c r="U125" s="632"/>
      <c r="V125" s="634">
        <f>L125</f>
        <v>3352284917399.6997</v>
      </c>
      <c r="W125" s="632"/>
      <c r="X125" s="632"/>
      <c r="Y125" s="632"/>
      <c r="Z125" s="636">
        <f>'Ocean Ions'!P7</f>
        <v>5.9426341463414636E-8</v>
      </c>
    </row>
    <row r="126" spans="1:33">
      <c r="B126" s="632" t="str">
        <f>CONCATENATE("Magnesium; {", J126, "}; ", Z126," g/g in ground")</f>
        <v>Magnesium; {Mg}; 0.00117509268292683 g/g in ground</v>
      </c>
      <c r="C126" s="632" t="s">
        <v>84</v>
      </c>
      <c r="D126" s="632" t="s">
        <v>73</v>
      </c>
      <c r="E126" s="632" t="s">
        <v>33</v>
      </c>
      <c r="F126" s="632" t="s">
        <v>85</v>
      </c>
      <c r="G126" s="632" t="s">
        <v>75</v>
      </c>
      <c r="H126" s="632"/>
      <c r="I126" s="633" t="s">
        <v>279</v>
      </c>
      <c r="J126" s="632" t="s">
        <v>114</v>
      </c>
      <c r="K126" s="632"/>
      <c r="L126" s="634">
        <f>'Ocean Ions'!Q8</f>
        <v>1866432551.6649444</v>
      </c>
      <c r="M126" s="634">
        <v>2500000000</v>
      </c>
      <c r="N126" s="635"/>
      <c r="O126" s="634" t="str">
        <f>IF(M126&lt;=renewable_cutoff,L126,"")</f>
        <v/>
      </c>
      <c r="P126" s="634">
        <f>IF(M126&gt;renewable_cutoff,L126,"")</f>
        <v>1866432551.6649444</v>
      </c>
      <c r="Q126" s="632"/>
      <c r="R126" s="632"/>
      <c r="S126" s="632"/>
      <c r="T126" s="632"/>
      <c r="U126" s="632"/>
      <c r="V126" s="634">
        <f>L126</f>
        <v>1866432551.6649444</v>
      </c>
      <c r="W126" s="632"/>
      <c r="X126" s="632"/>
      <c r="Y126" s="632"/>
      <c r="Z126" s="636">
        <f>'Ocean Ions'!P8</f>
        <v>1.1750926829268292E-3</v>
      </c>
    </row>
    <row r="127" spans="1:33" ht="26.25" customHeight="1">
      <c r="B127" s="262" t="s">
        <v>1376</v>
      </c>
      <c r="M127" s="3"/>
      <c r="O127" s="3"/>
      <c r="P127" s="3"/>
      <c r="V127" s="3"/>
      <c r="Z127" s="258"/>
    </row>
    <row r="128" spans="1:33">
      <c r="B128" s="112" t="str">
        <f>CONCATENATE("Air; {", J128, "}; ", Z128," g/g in air")</f>
        <v>Air; {};  g/g in air</v>
      </c>
      <c r="C128" s="112" t="s">
        <v>968</v>
      </c>
      <c r="D128" s="112" t="s">
        <v>32</v>
      </c>
      <c r="E128" s="112" t="s">
        <v>33</v>
      </c>
      <c r="F128" s="112" t="s">
        <v>34</v>
      </c>
      <c r="G128" s="112" t="s">
        <v>35</v>
      </c>
      <c r="H128" s="112"/>
      <c r="I128" s="113" t="s">
        <v>279</v>
      </c>
      <c r="J128" s="112"/>
      <c r="K128" s="112"/>
      <c r="L128" s="114">
        <f>'Atmospheric Gases'!O19</f>
        <v>20359.416150168065</v>
      </c>
      <c r="M128" s="114">
        <f>'Atmospheric Gases'!G19</f>
        <v>18741107.977146123</v>
      </c>
      <c r="N128" s="313"/>
      <c r="O128" s="114" t="str">
        <f t="shared" ref="O128:O134" si="20">IF(M128&lt;=renewable_cutoff,L128,"")</f>
        <v/>
      </c>
      <c r="P128" s="114">
        <f t="shared" ref="P128:P134" si="21">IF(M128&gt;renewable_cutoff,L128,"")</f>
        <v>20359.416150168065</v>
      </c>
      <c r="Q128" s="114">
        <f t="shared" ref="Q128:Q134" si="22">L128</f>
        <v>20359.416150168065</v>
      </c>
      <c r="R128" s="112"/>
      <c r="S128" s="112"/>
      <c r="T128" s="112"/>
      <c r="U128" s="112"/>
      <c r="V128" s="112"/>
      <c r="W128" s="112"/>
      <c r="X128" s="112"/>
      <c r="Y128" s="112"/>
      <c r="Z128" s="49"/>
    </row>
    <row r="129" spans="2:26">
      <c r="B129" s="49" t="str">
        <f>CONCATENATE("Carbon dioxide; {", J129, "}; ", Z129," g/g in air")</f>
        <v>Carbon dioxide; {CO2}; 0.1 g/g in air</v>
      </c>
      <c r="C129" s="112" t="s">
        <v>968</v>
      </c>
      <c r="D129" s="112" t="s">
        <v>32</v>
      </c>
      <c r="E129" s="112" t="s">
        <v>33</v>
      </c>
      <c r="F129" s="112" t="s">
        <v>34</v>
      </c>
      <c r="G129" s="112" t="s">
        <v>35</v>
      </c>
      <c r="H129" s="112"/>
      <c r="I129" s="113" t="s">
        <v>279</v>
      </c>
      <c r="J129" s="112" t="s">
        <v>38</v>
      </c>
      <c r="K129" s="112"/>
      <c r="L129" s="114">
        <f>'Atmospheric Gases'!O8</f>
        <v>14202.563539169058</v>
      </c>
      <c r="M129" s="114">
        <f>'Atmospheric Gases'!G8</f>
        <v>200</v>
      </c>
      <c r="N129" s="313"/>
      <c r="O129" s="114" t="str">
        <f t="shared" si="20"/>
        <v/>
      </c>
      <c r="P129" s="114">
        <f t="shared" si="21"/>
        <v>14202.563539169058</v>
      </c>
      <c r="Q129" s="114">
        <f t="shared" si="22"/>
        <v>14202.563539169058</v>
      </c>
      <c r="R129" s="112"/>
      <c r="S129" s="112"/>
      <c r="T129" s="112"/>
      <c r="U129" s="112"/>
      <c r="V129" s="112"/>
      <c r="W129" s="112"/>
      <c r="X129" s="112"/>
      <c r="Y129" s="112"/>
      <c r="Z129" s="49">
        <f t="shared" ref="Z129:Z134" si="23">0.1</f>
        <v>0.1</v>
      </c>
    </row>
    <row r="130" spans="2:26">
      <c r="B130" s="112" t="str">
        <f>CONCATENATE("Methane; {", J130, "}; ", Z130," g/g in air")</f>
        <v>Methane; {CH4}; 0.1 g/g in air</v>
      </c>
      <c r="C130" s="112" t="s">
        <v>968</v>
      </c>
      <c r="D130" s="112" t="s">
        <v>32</v>
      </c>
      <c r="E130" s="112" t="s">
        <v>33</v>
      </c>
      <c r="F130" s="112" t="s">
        <v>34</v>
      </c>
      <c r="G130" s="112" t="s">
        <v>35</v>
      </c>
      <c r="H130" s="112"/>
      <c r="I130" s="113" t="s">
        <v>279</v>
      </c>
      <c r="J130" s="112" t="s">
        <v>40</v>
      </c>
      <c r="K130" s="112"/>
      <c r="L130" s="114">
        <f>'Atmospheric Gases'!O11</f>
        <v>88626.479617433637</v>
      </c>
      <c r="M130" s="114">
        <f>'Atmospheric Gases'!G11</f>
        <v>8</v>
      </c>
      <c r="N130" s="313"/>
      <c r="O130" s="114">
        <f t="shared" si="20"/>
        <v>88626.479617433637</v>
      </c>
      <c r="P130" s="114" t="str">
        <f t="shared" si="21"/>
        <v/>
      </c>
      <c r="Q130" s="114">
        <f t="shared" si="22"/>
        <v>88626.479617433637</v>
      </c>
      <c r="R130" s="112"/>
      <c r="S130" s="112"/>
      <c r="T130" s="112"/>
      <c r="U130" s="112"/>
      <c r="V130" s="112"/>
      <c r="W130" s="112"/>
      <c r="X130" s="112"/>
      <c r="Y130" s="112"/>
      <c r="Z130" s="49">
        <f t="shared" si="23"/>
        <v>0.1</v>
      </c>
    </row>
    <row r="131" spans="2:26">
      <c r="B131" s="112" t="str">
        <f>CONCATENATE("Krypton; {", J131, "}; ", Z131," g/g in air")</f>
        <v>Krypton; {Kr}; 0.1 g/g in air</v>
      </c>
      <c r="C131" s="112" t="s">
        <v>968</v>
      </c>
      <c r="D131" s="112" t="s">
        <v>32</v>
      </c>
      <c r="E131" s="112" t="s">
        <v>33</v>
      </c>
      <c r="F131" s="112" t="s">
        <v>34</v>
      </c>
      <c r="G131" s="112" t="s">
        <v>35</v>
      </c>
      <c r="H131" s="112"/>
      <c r="I131" s="113" t="s">
        <v>279</v>
      </c>
      <c r="J131" s="112" t="s">
        <v>42</v>
      </c>
      <c r="K131" s="112"/>
      <c r="L131" s="114">
        <f>'Atmospheric Gases'!O12</f>
        <v>10049.17662536864</v>
      </c>
      <c r="M131" s="114"/>
      <c r="N131" s="313"/>
      <c r="O131" s="114">
        <f t="shared" si="20"/>
        <v>10049.17662536864</v>
      </c>
      <c r="P131" s="114" t="str">
        <f t="shared" si="21"/>
        <v/>
      </c>
      <c r="Q131" s="114">
        <f t="shared" si="22"/>
        <v>10049.17662536864</v>
      </c>
      <c r="R131" s="112"/>
      <c r="S131" s="112"/>
      <c r="T131" s="112"/>
      <c r="U131" s="112"/>
      <c r="V131" s="112"/>
      <c r="W131" s="112"/>
      <c r="X131" s="112"/>
      <c r="Y131" s="112"/>
      <c r="Z131" s="49">
        <f t="shared" si="23"/>
        <v>0.1</v>
      </c>
    </row>
    <row r="132" spans="2:26">
      <c r="B132" s="112" t="str">
        <f>CONCATENATE("Nitrogen; {", J132, "}; ", Z132," g/g in air")</f>
        <v>Nitrogen; {N}; 0.1 g/g in air</v>
      </c>
      <c r="C132" s="112" t="s">
        <v>968</v>
      </c>
      <c r="D132" s="112" t="s">
        <v>32</v>
      </c>
      <c r="E132" s="112" t="s">
        <v>33</v>
      </c>
      <c r="F132" s="112" t="s">
        <v>34</v>
      </c>
      <c r="G132" s="112" t="s">
        <v>35</v>
      </c>
      <c r="H132" s="112"/>
      <c r="I132" s="113" t="s">
        <v>279</v>
      </c>
      <c r="J132" s="112" t="s">
        <v>44</v>
      </c>
      <c r="K132" s="112"/>
      <c r="L132" s="114" t="str">
        <f>IF('Atmospheric Gases'!O4="","",1000*'Atmospheric Gases'!O4)</f>
        <v/>
      </c>
      <c r="M132" s="114">
        <f>'Atmospheric Gases'!G4</f>
        <v>24000000</v>
      </c>
      <c r="N132" s="313"/>
      <c r="O132" s="114" t="str">
        <f t="shared" si="20"/>
        <v/>
      </c>
      <c r="P132" s="114" t="str">
        <f t="shared" si="21"/>
        <v/>
      </c>
      <c r="Q132" s="114" t="str">
        <f t="shared" si="22"/>
        <v/>
      </c>
      <c r="R132" s="112"/>
      <c r="S132" s="112"/>
      <c r="T132" s="112"/>
      <c r="U132" s="112"/>
      <c r="V132" s="112"/>
      <c r="W132" s="112"/>
      <c r="X132" s="112"/>
      <c r="Y132" s="112"/>
      <c r="Z132" s="49">
        <f t="shared" si="23"/>
        <v>0.1</v>
      </c>
    </row>
    <row r="133" spans="2:26">
      <c r="B133" s="112" t="str">
        <f>CONCATENATE("Oxygen; {", J133, "}; ", Z133," g/g in air")</f>
        <v>Oxygen; {O2}; 0.1 g/g in air</v>
      </c>
      <c r="C133" s="112" t="s">
        <v>968</v>
      </c>
      <c r="D133" s="112" t="s">
        <v>32</v>
      </c>
      <c r="E133" s="112" t="s">
        <v>33</v>
      </c>
      <c r="F133" s="112" t="s">
        <v>34</v>
      </c>
      <c r="G133" s="112" t="s">
        <v>35</v>
      </c>
      <c r="H133" s="112"/>
      <c r="I133" s="113" t="s">
        <v>279</v>
      </c>
      <c r="J133" s="112" t="s">
        <v>46</v>
      </c>
      <c r="K133" s="112"/>
      <c r="L133" s="114">
        <f>'Atmospheric Gases'!O5</f>
        <v>4651.9518533350547</v>
      </c>
      <c r="M133" s="114">
        <f>'Atmospheric Gases'!G5</f>
        <v>4500</v>
      </c>
      <c r="N133" s="313"/>
      <c r="O133" s="114" t="str">
        <f t="shared" si="20"/>
        <v/>
      </c>
      <c r="P133" s="114">
        <f t="shared" si="21"/>
        <v>4651.9518533350547</v>
      </c>
      <c r="Q133" s="114">
        <f t="shared" si="22"/>
        <v>4651.9518533350547</v>
      </c>
      <c r="R133" s="112"/>
      <c r="S133" s="112"/>
      <c r="T133" s="112"/>
      <c r="U133" s="112"/>
      <c r="V133" s="112"/>
      <c r="W133" s="112"/>
      <c r="X133" s="112"/>
      <c r="Y133" s="112"/>
      <c r="Z133" s="49">
        <f t="shared" si="23"/>
        <v>0.1</v>
      </c>
    </row>
    <row r="134" spans="2:26">
      <c r="B134" s="112" t="str">
        <f>CONCATENATE("Xenon; {", J134, "}; ", Z134," g/g in air")</f>
        <v>Xenon; {Xe}; 0.1 g/g in air</v>
      </c>
      <c r="C134" s="112" t="s">
        <v>968</v>
      </c>
      <c r="D134" s="112" t="s">
        <v>32</v>
      </c>
      <c r="E134" s="112" t="s">
        <v>33</v>
      </c>
      <c r="F134" s="112" t="s">
        <v>34</v>
      </c>
      <c r="G134" s="112" t="s">
        <v>35</v>
      </c>
      <c r="H134" s="112"/>
      <c r="I134" s="113" t="s">
        <v>279</v>
      </c>
      <c r="J134" s="112" t="s">
        <v>48</v>
      </c>
      <c r="K134" s="112"/>
      <c r="L134" s="114">
        <f>'Atmospheric Gases'!O17</f>
        <v>17560.873018566006</v>
      </c>
      <c r="M134" s="114"/>
      <c r="N134" s="313"/>
      <c r="O134" s="114">
        <f t="shared" si="20"/>
        <v>17560.873018566006</v>
      </c>
      <c r="P134" s="114" t="str">
        <f t="shared" si="21"/>
        <v/>
      </c>
      <c r="Q134" s="114">
        <f t="shared" si="22"/>
        <v>17560.873018566006</v>
      </c>
      <c r="R134" s="112"/>
      <c r="S134" s="112"/>
      <c r="T134" s="112"/>
      <c r="U134" s="112"/>
      <c r="V134" s="112"/>
      <c r="W134" s="112"/>
      <c r="X134" s="112"/>
      <c r="Y134" s="112"/>
      <c r="Z134" s="49">
        <f t="shared" si="23"/>
        <v>0.1</v>
      </c>
    </row>
    <row r="135" spans="2:26" ht="25" customHeight="1">
      <c r="B135" s="262" t="s">
        <v>30</v>
      </c>
      <c r="O135" s="3"/>
      <c r="P135" s="3"/>
      <c r="Q135" s="3"/>
      <c r="Z135" s="258"/>
    </row>
    <row r="136" spans="2:26" ht="15.5">
      <c r="B136" s="637" t="s">
        <v>1787</v>
      </c>
      <c r="C136" s="90" t="s">
        <v>81</v>
      </c>
      <c r="D136" s="90" t="s">
        <v>81</v>
      </c>
      <c r="E136" s="90" t="s">
        <v>66</v>
      </c>
      <c r="F136" s="90" t="s">
        <v>67</v>
      </c>
      <c r="G136" s="90" t="s">
        <v>83</v>
      </c>
      <c r="H136" s="90" t="s">
        <v>1896</v>
      </c>
      <c r="I136" s="91" t="s">
        <v>82</v>
      </c>
      <c r="J136" s="90"/>
      <c r="K136" s="90"/>
      <c r="L136" s="92">
        <f>'Land, Biomass &amp; Soil'!M44</f>
        <v>228693119515.08514</v>
      </c>
      <c r="M136" s="90">
        <v>1</v>
      </c>
      <c r="N136" s="314"/>
      <c r="O136" s="92">
        <f t="shared" ref="O136:O156" si="24">IF(M136&lt;=renewable_cutoff,L136,"")</f>
        <v>228693119515.08514</v>
      </c>
      <c r="P136" s="92" t="str">
        <f t="shared" ref="P136:P155" si="25">IF(M136&gt;renewable_cutoff,L136,"")</f>
        <v/>
      </c>
      <c r="Q136" s="90"/>
      <c r="R136" s="90"/>
      <c r="S136" s="90"/>
      <c r="T136" s="90"/>
      <c r="U136" s="92">
        <f t="shared" ref="U136:U156" si="26">L136</f>
        <v>228693119515.08514</v>
      </c>
      <c r="V136" s="90"/>
      <c r="W136" s="90"/>
      <c r="X136" s="90"/>
      <c r="Y136" s="90"/>
      <c r="Z136" s="54"/>
    </row>
    <row r="137" spans="2:26" ht="15.5">
      <c r="B137" s="637" t="s">
        <v>1788</v>
      </c>
      <c r="C137" s="90" t="s">
        <v>81</v>
      </c>
      <c r="D137" s="90" t="s">
        <v>81</v>
      </c>
      <c r="E137" s="90" t="s">
        <v>66</v>
      </c>
      <c r="F137" s="90" t="s">
        <v>67</v>
      </c>
      <c r="G137" s="90" t="s">
        <v>83</v>
      </c>
      <c r="H137" s="90" t="s">
        <v>1896</v>
      </c>
      <c r="I137" s="91" t="s">
        <v>82</v>
      </c>
      <c r="J137" s="90"/>
      <c r="K137" s="90"/>
      <c r="L137" s="92">
        <f>'Land, Biomass &amp; Soil'!M45</f>
        <v>133283654906.37402</v>
      </c>
      <c r="M137" s="90">
        <v>1</v>
      </c>
      <c r="N137" s="314"/>
      <c r="O137" s="92">
        <f t="shared" si="24"/>
        <v>133283654906.37402</v>
      </c>
      <c r="P137" s="92"/>
      <c r="Q137" s="90"/>
      <c r="R137" s="90"/>
      <c r="S137" s="90"/>
      <c r="T137" s="90"/>
      <c r="U137" s="92">
        <f t="shared" si="26"/>
        <v>133283654906.37402</v>
      </c>
      <c r="V137" s="90"/>
      <c r="W137" s="90"/>
      <c r="X137" s="90"/>
      <c r="Y137" s="90"/>
      <c r="Z137" s="54"/>
    </row>
    <row r="138" spans="2:26" ht="15.5">
      <c r="B138" s="637" t="s">
        <v>1789</v>
      </c>
      <c r="C138" s="90" t="s">
        <v>81</v>
      </c>
      <c r="D138" s="90" t="s">
        <v>81</v>
      </c>
      <c r="E138" s="90" t="s">
        <v>66</v>
      </c>
      <c r="F138" s="90" t="s">
        <v>67</v>
      </c>
      <c r="G138" s="90" t="s">
        <v>83</v>
      </c>
      <c r="H138" s="90" t="s">
        <v>1896</v>
      </c>
      <c r="I138" s="91" t="s">
        <v>82</v>
      </c>
      <c r="J138" s="90"/>
      <c r="K138" s="90"/>
      <c r="L138" s="92">
        <f>'Land, Biomass &amp; Soil'!M46</f>
        <v>124491362905.18344</v>
      </c>
      <c r="M138" s="90">
        <v>1</v>
      </c>
      <c r="N138" s="314"/>
      <c r="O138" s="92">
        <f t="shared" si="24"/>
        <v>124491362905.18344</v>
      </c>
      <c r="P138" s="92"/>
      <c r="Q138" s="90"/>
      <c r="R138" s="90"/>
      <c r="S138" s="90"/>
      <c r="T138" s="90"/>
      <c r="U138" s="92">
        <f t="shared" si="26"/>
        <v>124491362905.18344</v>
      </c>
      <c r="V138" s="90"/>
      <c r="W138" s="90"/>
      <c r="X138" s="90"/>
      <c r="Y138" s="90"/>
      <c r="Z138" s="54"/>
    </row>
    <row r="139" spans="2:26" ht="15.5">
      <c r="B139" s="637" t="s">
        <v>1790</v>
      </c>
      <c r="C139" s="90" t="s">
        <v>81</v>
      </c>
      <c r="D139" s="90" t="s">
        <v>81</v>
      </c>
      <c r="E139" s="90" t="s">
        <v>66</v>
      </c>
      <c r="F139" s="90" t="s">
        <v>67</v>
      </c>
      <c r="G139" s="90" t="s">
        <v>83</v>
      </c>
      <c r="H139" s="90" t="s">
        <v>1896</v>
      </c>
      <c r="I139" s="91" t="s">
        <v>82</v>
      </c>
      <c r="J139" s="90"/>
      <c r="K139" s="90"/>
      <c r="L139" s="92">
        <f>'Land, Biomass &amp; Soil'!M47</f>
        <v>98045686803.29425</v>
      </c>
      <c r="M139" s="90">
        <v>1</v>
      </c>
      <c r="N139" s="314"/>
      <c r="O139" s="92">
        <f t="shared" si="24"/>
        <v>98045686803.29425</v>
      </c>
      <c r="P139" s="92"/>
      <c r="Q139" s="90"/>
      <c r="R139" s="90"/>
      <c r="S139" s="90"/>
      <c r="T139" s="90"/>
      <c r="U139" s="92">
        <f t="shared" si="26"/>
        <v>98045686803.29425</v>
      </c>
      <c r="V139" s="90"/>
      <c r="W139" s="90"/>
      <c r="X139" s="90"/>
      <c r="Y139" s="90"/>
      <c r="Z139" s="54"/>
    </row>
    <row r="140" spans="2:26" ht="15.5">
      <c r="B140" s="637" t="s">
        <v>1791</v>
      </c>
      <c r="C140" s="90" t="s">
        <v>81</v>
      </c>
      <c r="D140" s="90" t="s">
        <v>81</v>
      </c>
      <c r="E140" s="90" t="s">
        <v>66</v>
      </c>
      <c r="F140" s="90" t="s">
        <v>67</v>
      </c>
      <c r="G140" s="90" t="s">
        <v>83</v>
      </c>
      <c r="H140" s="90" t="s">
        <v>1896</v>
      </c>
      <c r="I140" s="91" t="s">
        <v>82</v>
      </c>
      <c r="J140" s="90"/>
      <c r="K140" s="90"/>
      <c r="L140" s="92">
        <f>'Land, Biomass &amp; Soil'!M48</f>
        <v>94864997796.33136</v>
      </c>
      <c r="M140" s="90">
        <v>1</v>
      </c>
      <c r="N140" s="314"/>
      <c r="O140" s="92">
        <f t="shared" si="24"/>
        <v>94864997796.33136</v>
      </c>
      <c r="P140" s="92"/>
      <c r="Q140" s="90"/>
      <c r="R140" s="90"/>
      <c r="S140" s="90"/>
      <c r="T140" s="90"/>
      <c r="U140" s="92">
        <f t="shared" si="26"/>
        <v>94864997796.33136</v>
      </c>
      <c r="V140" s="90"/>
      <c r="W140" s="90"/>
      <c r="X140" s="90"/>
      <c r="Y140" s="90"/>
      <c r="Z140" s="54"/>
    </row>
    <row r="141" spans="2:26" ht="15.5">
      <c r="B141" s="637" t="s">
        <v>1792</v>
      </c>
      <c r="C141" s="90" t="s">
        <v>81</v>
      </c>
      <c r="D141" s="90" t="s">
        <v>81</v>
      </c>
      <c r="E141" s="90" t="s">
        <v>66</v>
      </c>
      <c r="F141" s="90" t="s">
        <v>67</v>
      </c>
      <c r="G141" s="90" t="s">
        <v>83</v>
      </c>
      <c r="H141" s="90" t="s">
        <v>1896</v>
      </c>
      <c r="I141" s="91" t="s">
        <v>82</v>
      </c>
      <c r="J141" s="90"/>
      <c r="K141" s="90"/>
      <c r="L141" s="92">
        <f>'Land, Biomass &amp; Soil'!M49</f>
        <v>57566813471.336029</v>
      </c>
      <c r="M141" s="90">
        <v>1</v>
      </c>
      <c r="N141" s="314"/>
      <c r="O141" s="92">
        <f t="shared" si="24"/>
        <v>57566813471.336029</v>
      </c>
      <c r="P141" s="92"/>
      <c r="Q141" s="90"/>
      <c r="R141" s="90"/>
      <c r="S141" s="90"/>
      <c r="T141" s="90"/>
      <c r="U141" s="92">
        <f t="shared" si="26"/>
        <v>57566813471.336029</v>
      </c>
      <c r="V141" s="90"/>
      <c r="W141" s="90"/>
      <c r="X141" s="90"/>
      <c r="Y141" s="90"/>
      <c r="Z141" s="54"/>
    </row>
    <row r="142" spans="2:26" ht="15.5">
      <c r="B142" s="637" t="s">
        <v>1793</v>
      </c>
      <c r="C142" s="90" t="s">
        <v>81</v>
      </c>
      <c r="D142" s="90" t="s">
        <v>81</v>
      </c>
      <c r="E142" s="90" t="s">
        <v>66</v>
      </c>
      <c r="F142" s="90" t="s">
        <v>67</v>
      </c>
      <c r="G142" s="90" t="s">
        <v>83</v>
      </c>
      <c r="H142" s="90" t="s">
        <v>1896</v>
      </c>
      <c r="I142" s="91" t="s">
        <v>82</v>
      </c>
      <c r="J142" s="90"/>
      <c r="K142" s="90"/>
      <c r="L142" s="92">
        <f>'Land, Biomass &amp; Soil'!M50</f>
        <v>103714851046.65143</v>
      </c>
      <c r="M142" s="90">
        <v>1</v>
      </c>
      <c r="N142" s="315"/>
      <c r="O142" s="92">
        <f t="shared" si="24"/>
        <v>103714851046.65143</v>
      </c>
      <c r="P142" s="92" t="str">
        <f t="shared" si="25"/>
        <v/>
      </c>
      <c r="Q142" s="90"/>
      <c r="R142" s="90"/>
      <c r="S142" s="90"/>
      <c r="T142" s="90"/>
      <c r="U142" s="92">
        <f t="shared" si="26"/>
        <v>103714851046.65143</v>
      </c>
      <c r="V142" s="90"/>
      <c r="W142" s="90"/>
      <c r="X142" s="90"/>
      <c r="Y142" s="90"/>
      <c r="Z142" s="54"/>
    </row>
    <row r="143" spans="2:26" ht="15.5">
      <c r="B143" s="637" t="s">
        <v>1794</v>
      </c>
      <c r="C143" s="90" t="s">
        <v>81</v>
      </c>
      <c r="D143" s="90" t="s">
        <v>81</v>
      </c>
      <c r="E143" s="90" t="s">
        <v>66</v>
      </c>
      <c r="F143" s="90" t="s">
        <v>67</v>
      </c>
      <c r="G143" s="90" t="s">
        <v>83</v>
      </c>
      <c r="H143" s="90" t="s">
        <v>1896</v>
      </c>
      <c r="I143" s="91" t="s">
        <v>82</v>
      </c>
      <c r="J143" s="90"/>
      <c r="K143" s="90"/>
      <c r="L143" s="92">
        <f>'Land, Biomass &amp; Soil'!M51</f>
        <v>51180121431.476196</v>
      </c>
      <c r="M143" s="90">
        <v>1</v>
      </c>
      <c r="N143" s="315"/>
      <c r="O143" s="92">
        <f t="shared" si="24"/>
        <v>51180121431.476196</v>
      </c>
      <c r="P143" s="92" t="str">
        <f t="shared" si="25"/>
        <v/>
      </c>
      <c r="Q143" s="90"/>
      <c r="R143" s="90"/>
      <c r="S143" s="90"/>
      <c r="T143" s="90"/>
      <c r="U143" s="92">
        <f t="shared" si="26"/>
        <v>51180121431.476196</v>
      </c>
      <c r="V143" s="90"/>
      <c r="W143" s="90"/>
      <c r="X143" s="90"/>
      <c r="Y143" s="90"/>
      <c r="Z143" s="54"/>
    </row>
    <row r="144" spans="2:26" ht="15.5">
      <c r="B144" s="637" t="s">
        <v>1795</v>
      </c>
      <c r="C144" s="90" t="s">
        <v>81</v>
      </c>
      <c r="D144" s="90" t="s">
        <v>81</v>
      </c>
      <c r="E144" s="90" t="s">
        <v>66</v>
      </c>
      <c r="F144" s="90" t="s">
        <v>67</v>
      </c>
      <c r="G144" s="90" t="s">
        <v>83</v>
      </c>
      <c r="H144" s="90" t="s">
        <v>1896</v>
      </c>
      <c r="I144" s="91" t="s">
        <v>82</v>
      </c>
      <c r="J144" s="90"/>
      <c r="K144" s="90"/>
      <c r="L144" s="92">
        <f>'Land, Biomass &amp; Soil'!M52</f>
        <v>87716587659.255112</v>
      </c>
      <c r="M144" s="90">
        <v>1</v>
      </c>
      <c r="N144" s="315"/>
      <c r="O144" s="92">
        <f t="shared" si="24"/>
        <v>87716587659.255112</v>
      </c>
      <c r="P144" s="92" t="str">
        <f t="shared" si="25"/>
        <v/>
      </c>
      <c r="Q144" s="90"/>
      <c r="R144" s="90"/>
      <c r="S144" s="90"/>
      <c r="T144" s="90"/>
      <c r="U144" s="92">
        <f t="shared" si="26"/>
        <v>87716587659.255112</v>
      </c>
      <c r="V144" s="90"/>
      <c r="W144" s="90"/>
      <c r="X144" s="90"/>
      <c r="Y144" s="90"/>
      <c r="Z144" s="54"/>
    </row>
    <row r="145" spans="2:33" ht="15.5">
      <c r="B145" s="637" t="s">
        <v>1796</v>
      </c>
      <c r="C145" s="90" t="s">
        <v>81</v>
      </c>
      <c r="D145" s="90" t="s">
        <v>81</v>
      </c>
      <c r="E145" s="90" t="s">
        <v>66</v>
      </c>
      <c r="F145" s="90" t="s">
        <v>67</v>
      </c>
      <c r="G145" s="90" t="s">
        <v>83</v>
      </c>
      <c r="H145" s="90" t="s">
        <v>1896</v>
      </c>
      <c r="I145" s="91" t="s">
        <v>82</v>
      </c>
      <c r="J145" s="90"/>
      <c r="K145" s="90"/>
      <c r="L145" s="92">
        <f>'Land, Biomass &amp; Soil'!M53</f>
        <v>52516344424.098022</v>
      </c>
      <c r="M145" s="90">
        <v>1</v>
      </c>
      <c r="N145" s="315"/>
      <c r="O145" s="92">
        <f t="shared" si="24"/>
        <v>52516344424.098022</v>
      </c>
      <c r="P145" s="92" t="str">
        <f t="shared" si="25"/>
        <v/>
      </c>
      <c r="Q145" s="90"/>
      <c r="R145" s="90"/>
      <c r="S145" s="90"/>
      <c r="T145" s="90"/>
      <c r="U145" s="92">
        <f t="shared" si="26"/>
        <v>52516344424.098022</v>
      </c>
      <c r="V145" s="90"/>
      <c r="W145" s="90"/>
      <c r="X145" s="90"/>
      <c r="Y145" s="90"/>
      <c r="Z145" s="54"/>
    </row>
    <row r="146" spans="2:33" ht="15.5">
      <c r="B146" s="637" t="s">
        <v>1797</v>
      </c>
      <c r="C146" s="90" t="s">
        <v>81</v>
      </c>
      <c r="D146" s="90" t="s">
        <v>81</v>
      </c>
      <c r="E146" s="90" t="s">
        <v>66</v>
      </c>
      <c r="F146" s="90" t="s">
        <v>67</v>
      </c>
      <c r="G146" s="90" t="s">
        <v>83</v>
      </c>
      <c r="H146" s="90" t="s">
        <v>1896</v>
      </c>
      <c r="I146" s="91" t="s">
        <v>82</v>
      </c>
      <c r="J146" s="90"/>
      <c r="K146" s="90"/>
      <c r="L146" s="92">
        <f>'Land, Biomass &amp; Soil'!M54</f>
        <v>63449076242.17086</v>
      </c>
      <c r="M146" s="90">
        <v>1</v>
      </c>
      <c r="N146" s="315"/>
      <c r="O146" s="92">
        <f t="shared" si="24"/>
        <v>63449076242.17086</v>
      </c>
      <c r="P146" s="92" t="str">
        <f t="shared" si="25"/>
        <v/>
      </c>
      <c r="Q146" s="90"/>
      <c r="R146" s="90"/>
      <c r="S146" s="90"/>
      <c r="T146" s="90"/>
      <c r="U146" s="92">
        <f t="shared" si="26"/>
        <v>63449076242.17086</v>
      </c>
      <c r="V146" s="90"/>
      <c r="W146" s="90"/>
      <c r="X146" s="90"/>
      <c r="Y146" s="90"/>
      <c r="Z146" s="54"/>
    </row>
    <row r="147" spans="2:33" ht="15.5">
      <c r="B147" s="637" t="s">
        <v>1798</v>
      </c>
      <c r="C147" s="90" t="s">
        <v>81</v>
      </c>
      <c r="D147" s="90" t="s">
        <v>81</v>
      </c>
      <c r="E147" s="90" t="s">
        <v>66</v>
      </c>
      <c r="F147" s="90" t="s">
        <v>67</v>
      </c>
      <c r="G147" s="90" t="s">
        <v>83</v>
      </c>
      <c r="H147" s="90" t="s">
        <v>1896</v>
      </c>
      <c r="I147" s="91" t="s">
        <v>82</v>
      </c>
      <c r="J147" s="90"/>
      <c r="K147" s="90"/>
      <c r="L147" s="92">
        <f>'Land, Biomass &amp; Soil'!M55</f>
        <v>54039559828.012833</v>
      </c>
      <c r="M147" s="90">
        <v>1</v>
      </c>
      <c r="N147" s="315"/>
      <c r="O147" s="92">
        <f>IF(M147&lt;=renewable_cutoff,L147,"")</f>
        <v>54039559828.012833</v>
      </c>
      <c r="P147" s="92" t="str">
        <f t="shared" si="25"/>
        <v/>
      </c>
      <c r="Q147" s="90"/>
      <c r="R147" s="90"/>
      <c r="S147" s="90"/>
      <c r="T147" s="90"/>
      <c r="U147" s="92">
        <f t="shared" si="26"/>
        <v>54039559828.012833</v>
      </c>
      <c r="V147" s="90"/>
      <c r="W147" s="90"/>
      <c r="X147" s="90"/>
      <c r="Y147" s="90"/>
      <c r="Z147" s="54"/>
    </row>
    <row r="148" spans="2:33" ht="15.5">
      <c r="B148" s="637" t="s">
        <v>1799</v>
      </c>
      <c r="C148" s="90" t="s">
        <v>81</v>
      </c>
      <c r="D148" s="90" t="s">
        <v>81</v>
      </c>
      <c r="E148" s="90" t="s">
        <v>66</v>
      </c>
      <c r="F148" s="90" t="s">
        <v>67</v>
      </c>
      <c r="G148" s="90" t="s">
        <v>83</v>
      </c>
      <c r="H148" s="90" t="s">
        <v>1896</v>
      </c>
      <c r="I148" s="91" t="s">
        <v>82</v>
      </c>
      <c r="J148" s="90"/>
      <c r="K148" s="90"/>
      <c r="L148" s="92">
        <f>'Land, Biomass &amp; Soil'!M56</f>
        <v>32565421510.224709</v>
      </c>
      <c r="M148" s="90">
        <v>1</v>
      </c>
      <c r="N148" s="315"/>
      <c r="O148" s="92">
        <f t="shared" si="24"/>
        <v>32565421510.224709</v>
      </c>
      <c r="P148" s="92" t="str">
        <f t="shared" si="25"/>
        <v/>
      </c>
      <c r="Q148" s="90"/>
      <c r="R148" s="90"/>
      <c r="S148" s="90"/>
      <c r="T148" s="90"/>
      <c r="U148" s="92">
        <f t="shared" si="26"/>
        <v>32565421510.224709</v>
      </c>
      <c r="V148" s="90"/>
      <c r="W148" s="90"/>
      <c r="X148" s="90"/>
      <c r="Y148" s="90"/>
      <c r="Z148" s="54"/>
    </row>
    <row r="149" spans="2:33" ht="15.5">
      <c r="B149" s="637" t="s">
        <v>1800</v>
      </c>
      <c r="C149" s="90" t="s">
        <v>81</v>
      </c>
      <c r="D149" s="90" t="s">
        <v>81</v>
      </c>
      <c r="E149" s="90" t="s">
        <v>66</v>
      </c>
      <c r="F149" s="90" t="s">
        <v>67</v>
      </c>
      <c r="G149" s="90" t="s">
        <v>83</v>
      </c>
      <c r="H149" s="90" t="s">
        <v>1896</v>
      </c>
      <c r="I149" s="91" t="s">
        <v>82</v>
      </c>
      <c r="J149" s="90"/>
      <c r="K149" s="90"/>
      <c r="L149" s="92">
        <f>'Land, Biomass &amp; Soil'!M57</f>
        <v>289942311307.89014</v>
      </c>
      <c r="M149" s="90">
        <v>1</v>
      </c>
      <c r="N149" s="315"/>
      <c r="O149" s="92">
        <f t="shared" si="24"/>
        <v>289942311307.89014</v>
      </c>
      <c r="P149" s="92" t="str">
        <f t="shared" si="25"/>
        <v/>
      </c>
      <c r="Q149" s="90"/>
      <c r="R149" s="90"/>
      <c r="S149" s="90"/>
      <c r="T149" s="90"/>
      <c r="U149" s="92">
        <f t="shared" si="26"/>
        <v>289942311307.89014</v>
      </c>
      <c r="V149" s="90"/>
      <c r="W149" s="90"/>
      <c r="X149" s="90"/>
      <c r="Y149" s="90"/>
      <c r="Z149" s="54"/>
    </row>
    <row r="150" spans="2:33" ht="15.5">
      <c r="B150" s="637" t="s">
        <v>1801</v>
      </c>
      <c r="C150" s="90" t="s">
        <v>81</v>
      </c>
      <c r="D150" s="90" t="s">
        <v>81</v>
      </c>
      <c r="E150" s="90" t="s">
        <v>66</v>
      </c>
      <c r="F150" s="90" t="s">
        <v>67</v>
      </c>
      <c r="G150" s="90" t="s">
        <v>83</v>
      </c>
      <c r="H150" s="90" t="s">
        <v>1896</v>
      </c>
      <c r="I150" s="91" t="s">
        <v>82</v>
      </c>
      <c r="J150" s="90"/>
      <c r="K150" s="90"/>
      <c r="L150" s="92">
        <f>'Land, Biomass &amp; Soil'!M58</f>
        <v>1157332214018.4319</v>
      </c>
      <c r="M150" s="90">
        <v>1</v>
      </c>
      <c r="N150" s="315"/>
      <c r="O150" s="92">
        <f t="shared" si="24"/>
        <v>1157332214018.4319</v>
      </c>
      <c r="P150" s="92"/>
      <c r="Q150" s="90"/>
      <c r="R150" s="90"/>
      <c r="S150" s="90"/>
      <c r="T150" s="90"/>
      <c r="U150" s="92">
        <f t="shared" si="26"/>
        <v>1157332214018.4319</v>
      </c>
      <c r="V150" s="90"/>
      <c r="W150" s="90"/>
      <c r="X150" s="90"/>
      <c r="Y150" s="90"/>
      <c r="Z150" s="54"/>
    </row>
    <row r="151" spans="2:33" ht="15.5">
      <c r="B151" s="637" t="s">
        <v>1802</v>
      </c>
      <c r="C151" s="90" t="s">
        <v>81</v>
      </c>
      <c r="D151" s="90" t="s">
        <v>81</v>
      </c>
      <c r="E151" s="90" t="s">
        <v>66</v>
      </c>
      <c r="F151" s="90" t="s">
        <v>67</v>
      </c>
      <c r="G151" s="90" t="s">
        <v>83</v>
      </c>
      <c r="H151" s="90" t="s">
        <v>1896</v>
      </c>
      <c r="I151" s="91" t="s">
        <v>82</v>
      </c>
      <c r="J151" s="90"/>
      <c r="K151" s="90"/>
      <c r="L151" s="92">
        <f>'Land, Biomass &amp; Soil'!M59</f>
        <v>66116018970.00441</v>
      </c>
      <c r="M151" s="90">
        <v>1</v>
      </c>
      <c r="N151" s="315"/>
      <c r="O151" s="92">
        <f t="shared" si="24"/>
        <v>66116018970.00441</v>
      </c>
      <c r="P151" s="92"/>
      <c r="Q151" s="90"/>
      <c r="R151" s="90"/>
      <c r="S151" s="90"/>
      <c r="T151" s="90"/>
      <c r="U151" s="92">
        <f t="shared" si="26"/>
        <v>66116018970.00441</v>
      </c>
      <c r="V151" s="90"/>
      <c r="W151" s="90"/>
      <c r="X151" s="90"/>
      <c r="Y151" s="90"/>
      <c r="Z151" s="54"/>
    </row>
    <row r="152" spans="2:33" ht="15.5">
      <c r="B152" s="637" t="s">
        <v>1803</v>
      </c>
      <c r="C152" s="90" t="s">
        <v>81</v>
      </c>
      <c r="D152" s="90" t="s">
        <v>81</v>
      </c>
      <c r="E152" s="90" t="s">
        <v>66</v>
      </c>
      <c r="F152" s="90" t="s">
        <v>67</v>
      </c>
      <c r="G152" s="90" t="s">
        <v>83</v>
      </c>
      <c r="H152" s="90" t="s">
        <v>1896</v>
      </c>
      <c r="I152" s="91" t="s">
        <v>82</v>
      </c>
      <c r="J152" s="90"/>
      <c r="K152" s="90"/>
      <c r="L152" s="92">
        <f>'Land, Biomass &amp; Soil'!M60</f>
        <v>88074359154.767731</v>
      </c>
      <c r="M152" s="90">
        <v>1</v>
      </c>
      <c r="N152" s="315"/>
      <c r="O152" s="92">
        <f t="shared" si="24"/>
        <v>88074359154.767731</v>
      </c>
      <c r="P152" s="92"/>
      <c r="Q152" s="90"/>
      <c r="R152" s="90"/>
      <c r="S152" s="90"/>
      <c r="T152" s="90"/>
      <c r="U152" s="92">
        <f t="shared" si="26"/>
        <v>88074359154.767731</v>
      </c>
      <c r="V152" s="90"/>
      <c r="W152" s="90"/>
      <c r="X152" s="90"/>
      <c r="Y152" s="90"/>
      <c r="Z152" s="54"/>
    </row>
    <row r="153" spans="2:33" ht="15.5">
      <c r="B153" s="637" t="s">
        <v>1804</v>
      </c>
      <c r="C153" s="90" t="s">
        <v>81</v>
      </c>
      <c r="D153" s="90" t="s">
        <v>81</v>
      </c>
      <c r="E153" s="90" t="s">
        <v>66</v>
      </c>
      <c r="F153" s="90" t="s">
        <v>67</v>
      </c>
      <c r="G153" s="90" t="s">
        <v>83</v>
      </c>
      <c r="H153" s="90" t="s">
        <v>1896</v>
      </c>
      <c r="I153" s="91" t="s">
        <v>82</v>
      </c>
      <c r="J153" s="90"/>
      <c r="K153" s="90"/>
      <c r="L153" s="92">
        <f>'Land, Biomass &amp; Soil'!M63</f>
        <v>37982417326489.945</v>
      </c>
      <c r="M153" s="90">
        <v>1</v>
      </c>
      <c r="N153" s="315"/>
      <c r="O153" s="92">
        <f t="shared" si="24"/>
        <v>37982417326489.945</v>
      </c>
      <c r="P153" s="92" t="str">
        <f t="shared" si="25"/>
        <v/>
      </c>
      <c r="Q153" s="90"/>
      <c r="R153" s="90"/>
      <c r="S153" s="90"/>
      <c r="T153" s="90"/>
      <c r="U153" s="92">
        <f t="shared" si="26"/>
        <v>37982417326489.945</v>
      </c>
      <c r="V153" s="90"/>
      <c r="W153" s="90"/>
      <c r="X153" s="90"/>
      <c r="Y153" s="90"/>
      <c r="Z153" s="54"/>
    </row>
    <row r="154" spans="2:33" ht="15.5">
      <c r="B154" s="637" t="s">
        <v>1906</v>
      </c>
      <c r="C154" s="90" t="s">
        <v>81</v>
      </c>
      <c r="D154" s="90" t="s">
        <v>81</v>
      </c>
      <c r="E154" s="90" t="s">
        <v>66</v>
      </c>
      <c r="F154" s="90" t="s">
        <v>67</v>
      </c>
      <c r="G154" s="90" t="s">
        <v>80</v>
      </c>
      <c r="H154" s="90" t="s">
        <v>1896</v>
      </c>
      <c r="I154" s="91" t="s">
        <v>82</v>
      </c>
      <c r="J154" s="90"/>
      <c r="K154" s="90"/>
      <c r="L154" s="92">
        <f>'Land, Biomass &amp; Soil'!P44</f>
        <v>113808234346.6647</v>
      </c>
      <c r="M154" s="90">
        <v>1</v>
      </c>
      <c r="N154" s="315"/>
      <c r="O154" s="92">
        <f t="shared" si="24"/>
        <v>113808234346.6647</v>
      </c>
      <c r="P154" s="92"/>
      <c r="Q154" s="90"/>
      <c r="R154" s="90"/>
      <c r="S154" s="90"/>
      <c r="T154" s="90"/>
      <c r="U154" s="92">
        <f t="shared" si="26"/>
        <v>113808234346.6647</v>
      </c>
      <c r="V154" s="90"/>
      <c r="W154" s="90"/>
      <c r="X154" s="90"/>
      <c r="Y154" s="90" t="s">
        <v>1811</v>
      </c>
      <c r="Z154" s="54"/>
    </row>
    <row r="155" spans="2:33" ht="15.5">
      <c r="B155" s="637" t="s">
        <v>1805</v>
      </c>
      <c r="C155" s="90" t="s">
        <v>81</v>
      </c>
      <c r="D155" s="90" t="s">
        <v>81</v>
      </c>
      <c r="E155" s="90" t="s">
        <v>66</v>
      </c>
      <c r="F155" s="90" t="s">
        <v>67</v>
      </c>
      <c r="G155" s="90" t="s">
        <v>80</v>
      </c>
      <c r="H155" s="90" t="s">
        <v>1896</v>
      </c>
      <c r="I155" s="91" t="s">
        <v>82</v>
      </c>
      <c r="J155" s="90"/>
      <c r="K155" s="90"/>
      <c r="L155" s="92">
        <f>'Land, Biomass &amp; Soil'!P45</f>
        <v>113808234346.6647</v>
      </c>
      <c r="M155" s="90">
        <v>1</v>
      </c>
      <c r="N155" s="314"/>
      <c r="O155" s="92">
        <f t="shared" si="24"/>
        <v>113808234346.6647</v>
      </c>
      <c r="P155" s="92" t="str">
        <f t="shared" si="25"/>
        <v/>
      </c>
      <c r="Q155" s="90"/>
      <c r="R155" s="90"/>
      <c r="S155" s="90"/>
      <c r="T155" s="90"/>
      <c r="U155" s="92">
        <f t="shared" si="26"/>
        <v>113808234346.6647</v>
      </c>
      <c r="V155" s="90"/>
      <c r="W155" s="90"/>
      <c r="X155" s="90"/>
      <c r="Y155" s="90" t="s">
        <v>1811</v>
      </c>
      <c r="Z155" s="54"/>
    </row>
    <row r="156" spans="2:33" ht="15.5">
      <c r="B156" s="637" t="s">
        <v>1895</v>
      </c>
      <c r="C156" s="90" t="s">
        <v>81</v>
      </c>
      <c r="D156" s="90" t="s">
        <v>81</v>
      </c>
      <c r="E156" s="90" t="s">
        <v>66</v>
      </c>
      <c r="F156" s="90" t="s">
        <v>67</v>
      </c>
      <c r="G156" s="90" t="s">
        <v>80</v>
      </c>
      <c r="H156" s="90" t="s">
        <v>1896</v>
      </c>
      <c r="I156" s="91" t="s">
        <v>82</v>
      </c>
      <c r="J156" s="90"/>
      <c r="K156" s="90"/>
      <c r="L156" s="92">
        <f>'Land, Biomass &amp; Soil'!P46</f>
        <v>113808234346.6647</v>
      </c>
      <c r="M156" s="90">
        <v>1</v>
      </c>
      <c r="N156" s="314"/>
      <c r="O156" s="92">
        <f t="shared" si="24"/>
        <v>113808234346.6647</v>
      </c>
      <c r="P156" s="92"/>
      <c r="Q156" s="90"/>
      <c r="R156" s="90"/>
      <c r="S156" s="90"/>
      <c r="T156" s="90"/>
      <c r="U156" s="92">
        <f t="shared" si="26"/>
        <v>113808234346.6647</v>
      </c>
      <c r="V156" s="90"/>
      <c r="W156" s="90"/>
      <c r="X156" s="90"/>
      <c r="Y156" s="90" t="s">
        <v>1811</v>
      </c>
      <c r="Z156" s="54"/>
    </row>
    <row r="157" spans="2:33" ht="26.25" customHeight="1">
      <c r="B157" s="262" t="s">
        <v>1379</v>
      </c>
      <c r="O157" s="3"/>
      <c r="P157" s="3"/>
      <c r="U157" s="3"/>
      <c r="Z157" s="258"/>
    </row>
    <row r="158" spans="2:33" s="326" customFormat="1" ht="15" customHeight="1">
      <c r="B158" s="445" t="s">
        <v>1684</v>
      </c>
      <c r="H158" s="326" t="s">
        <v>1701</v>
      </c>
      <c r="I158" s="340" t="s">
        <v>1700</v>
      </c>
      <c r="L158" s="344">
        <f>'Land, Biomass &amp; Soil'!O74</f>
        <v>975757309.9310385</v>
      </c>
      <c r="N158" s="446"/>
      <c r="O158" s="344">
        <f t="shared" ref="O158:O176" si="27">L158</f>
        <v>975757309.9310385</v>
      </c>
      <c r="P158" s="344"/>
      <c r="U158" s="344"/>
      <c r="Z158" s="447"/>
      <c r="AA158" s="448"/>
      <c r="AB158" s="340"/>
      <c r="AC158" s="449"/>
      <c r="AD158" s="448"/>
      <c r="AE158" s="449"/>
      <c r="AF158" s="449"/>
      <c r="AG158" s="450"/>
    </row>
    <row r="159" spans="2:33" s="326" customFormat="1" ht="15" customHeight="1">
      <c r="B159" s="445" t="s">
        <v>1685</v>
      </c>
      <c r="H159" s="326" t="s">
        <v>1701</v>
      </c>
      <c r="I159" s="340" t="s">
        <v>1700</v>
      </c>
      <c r="L159" s="344">
        <f>'Land, Biomass &amp; Soil'!O75</f>
        <v>824137266.17108512</v>
      </c>
      <c r="N159" s="446"/>
      <c r="O159" s="344">
        <f t="shared" si="27"/>
        <v>824137266.17108512</v>
      </c>
      <c r="P159" s="344"/>
      <c r="U159" s="344"/>
      <c r="Z159" s="447"/>
      <c r="AA159" s="448"/>
      <c r="AB159" s="340"/>
      <c r="AC159" s="449"/>
      <c r="AD159" s="448"/>
      <c r="AE159" s="449"/>
      <c r="AF159" s="449"/>
      <c r="AG159" s="450"/>
    </row>
    <row r="160" spans="2:33" s="326" customFormat="1" ht="15" customHeight="1">
      <c r="B160" s="445" t="s">
        <v>1686</v>
      </c>
      <c r="H160" s="326" t="s">
        <v>1701</v>
      </c>
      <c r="I160" s="340" t="s">
        <v>1700</v>
      </c>
      <c r="L160" s="344">
        <f>'Land, Biomass &amp; Soil'!O76</f>
        <v>875589252.4331181</v>
      </c>
      <c r="N160" s="446"/>
      <c r="O160" s="344">
        <f t="shared" si="27"/>
        <v>875589252.4331181</v>
      </c>
      <c r="P160" s="344"/>
      <c r="U160" s="344"/>
      <c r="Z160" s="447"/>
      <c r="AA160" s="448"/>
      <c r="AB160" s="340"/>
      <c r="AC160" s="449"/>
      <c r="AD160" s="448"/>
      <c r="AE160" s="449"/>
      <c r="AF160" s="449"/>
      <c r="AG160" s="450"/>
    </row>
    <row r="161" spans="2:33" s="326" customFormat="1" ht="15" customHeight="1">
      <c r="B161" s="445" t="s">
        <v>1687</v>
      </c>
      <c r="H161" s="326" t="s">
        <v>1701</v>
      </c>
      <c r="I161" s="340" t="s">
        <v>1700</v>
      </c>
      <c r="L161" s="344">
        <f>'Land, Biomass &amp; Soil'!O77</f>
        <v>654727308.54200459</v>
      </c>
      <c r="N161" s="446"/>
      <c r="O161" s="344">
        <f t="shared" si="27"/>
        <v>654727308.54200459</v>
      </c>
      <c r="P161" s="344"/>
      <c r="U161" s="344"/>
      <c r="Z161" s="447"/>
      <c r="AA161" s="448"/>
      <c r="AB161" s="340"/>
      <c r="AC161" s="449"/>
      <c r="AD161" s="448"/>
      <c r="AE161" s="449"/>
      <c r="AF161" s="449"/>
      <c r="AG161" s="450"/>
    </row>
    <row r="162" spans="2:33" s="326" customFormat="1" ht="15" customHeight="1">
      <c r="B162" s="445" t="s">
        <v>1688</v>
      </c>
      <c r="H162" s="326" t="s">
        <v>1701</v>
      </c>
      <c r="I162" s="340" t="s">
        <v>1700</v>
      </c>
      <c r="L162" s="344">
        <f>'Land, Biomass &amp; Soil'!O78</f>
        <v>880055287.24902427</v>
      </c>
      <c r="N162" s="446"/>
      <c r="O162" s="344">
        <f t="shared" si="27"/>
        <v>880055287.24902427</v>
      </c>
      <c r="P162" s="344"/>
      <c r="U162" s="344"/>
      <c r="Z162" s="447"/>
      <c r="AA162" s="448"/>
      <c r="AB162" s="340"/>
      <c r="AC162" s="449"/>
      <c r="AD162" s="448"/>
      <c r="AE162" s="449"/>
      <c r="AF162" s="449"/>
      <c r="AG162" s="450"/>
    </row>
    <row r="163" spans="2:33" s="326" customFormat="1" ht="15" customHeight="1">
      <c r="B163" s="445" t="s">
        <v>1689</v>
      </c>
      <c r="H163" s="326" t="s">
        <v>1701</v>
      </c>
      <c r="I163" s="340" t="s">
        <v>1700</v>
      </c>
      <c r="L163" s="344">
        <f>'Land, Biomass &amp; Soil'!O79</f>
        <v>831429263.13599813</v>
      </c>
      <c r="N163" s="446"/>
      <c r="O163" s="344">
        <f t="shared" si="27"/>
        <v>831429263.13599813</v>
      </c>
      <c r="P163" s="344"/>
      <c r="U163" s="344"/>
      <c r="Z163" s="447"/>
      <c r="AA163" s="448"/>
      <c r="AB163" s="340"/>
      <c r="AC163" s="449"/>
      <c r="AD163" s="448"/>
      <c r="AE163" s="449"/>
      <c r="AF163" s="449"/>
      <c r="AG163" s="450"/>
    </row>
    <row r="164" spans="2:33" s="326" customFormat="1" ht="15" customHeight="1">
      <c r="B164" s="445" t="s">
        <v>1690</v>
      </c>
      <c r="H164" s="326" t="s">
        <v>1701</v>
      </c>
      <c r="I164" s="340" t="s">
        <v>1700</v>
      </c>
      <c r="L164" s="344">
        <f>'Land, Biomass &amp; Soil'!O80</f>
        <v>1267625957.2368481</v>
      </c>
      <c r="N164" s="446"/>
      <c r="O164" s="344">
        <f t="shared" si="27"/>
        <v>1267625957.2368481</v>
      </c>
      <c r="P164" s="344"/>
      <c r="U164" s="344"/>
      <c r="Z164" s="447"/>
      <c r="AA164" s="448"/>
      <c r="AB164" s="340"/>
      <c r="AC164" s="449"/>
      <c r="AD164" s="448"/>
      <c r="AE164" s="449"/>
      <c r="AF164" s="449"/>
      <c r="AG164" s="450"/>
    </row>
    <row r="165" spans="2:33" s="326" customFormat="1" ht="15" customHeight="1">
      <c r="B165" s="445" t="s">
        <v>1691</v>
      </c>
      <c r="H165" s="326" t="s">
        <v>1701</v>
      </c>
      <c r="I165" s="340" t="s">
        <v>1700</v>
      </c>
      <c r="L165" s="344">
        <f>'Land, Biomass &amp; Soil'!O81</f>
        <v>1040662469.1066821</v>
      </c>
      <c r="N165" s="446"/>
      <c r="O165" s="344">
        <f t="shared" si="27"/>
        <v>1040662469.1066821</v>
      </c>
      <c r="P165" s="344"/>
      <c r="U165" s="344"/>
      <c r="Z165" s="447"/>
      <c r="AA165" s="448"/>
      <c r="AB165" s="340"/>
      <c r="AC165" s="449"/>
      <c r="AD165" s="448"/>
      <c r="AE165" s="449"/>
      <c r="AF165" s="449"/>
      <c r="AG165" s="450"/>
    </row>
    <row r="166" spans="2:33" s="326" customFormat="1" ht="15" customHeight="1">
      <c r="B166" s="445" t="s">
        <v>1692</v>
      </c>
      <c r="H166" s="326" t="s">
        <v>1701</v>
      </c>
      <c r="I166" s="340" t="s">
        <v>1700</v>
      </c>
      <c r="L166" s="344">
        <f>'Land, Biomass &amp; Soil'!O82</f>
        <v>1131543980.8043952</v>
      </c>
      <c r="N166" s="446"/>
      <c r="O166" s="344">
        <f t="shared" si="27"/>
        <v>1131543980.8043952</v>
      </c>
      <c r="P166" s="344"/>
      <c r="U166" s="344"/>
      <c r="Z166" s="447"/>
      <c r="AA166" s="448"/>
      <c r="AB166" s="340"/>
      <c r="AC166" s="449"/>
      <c r="AD166" s="448"/>
      <c r="AE166" s="449"/>
      <c r="AF166" s="449"/>
      <c r="AG166" s="450"/>
    </row>
    <row r="167" spans="2:33" s="326" customFormat="1" ht="15" customHeight="1">
      <c r="B167" s="445" t="s">
        <v>1693</v>
      </c>
      <c r="H167" s="326" t="s">
        <v>1701</v>
      </c>
      <c r="I167" s="340" t="s">
        <v>1700</v>
      </c>
      <c r="L167" s="344">
        <f>'Land, Biomass &amp; Soil'!O83</f>
        <v>2573300876.7808242</v>
      </c>
      <c r="N167" s="446"/>
      <c r="O167" s="344">
        <f t="shared" si="27"/>
        <v>2573300876.7808242</v>
      </c>
      <c r="P167" s="344"/>
      <c r="U167" s="344"/>
      <c r="Z167" s="447"/>
      <c r="AA167" s="448"/>
      <c r="AB167" s="340"/>
      <c r="AC167" s="449"/>
      <c r="AD167" s="448"/>
      <c r="AE167" s="449"/>
      <c r="AF167" s="449"/>
      <c r="AG167" s="450"/>
    </row>
    <row r="168" spans="2:33" s="326" customFormat="1" ht="15" customHeight="1">
      <c r="B168" s="445" t="s">
        <v>1694</v>
      </c>
      <c r="H168" s="326" t="s">
        <v>1701</v>
      </c>
      <c r="I168" s="340" t="s">
        <v>1700</v>
      </c>
      <c r="L168" s="344">
        <f>'Land, Biomass &amp; Soil'!O84</f>
        <v>3641976976.3006248</v>
      </c>
      <c r="N168" s="446"/>
      <c r="O168" s="344">
        <f t="shared" si="27"/>
        <v>3641976976.3006248</v>
      </c>
      <c r="P168" s="344"/>
      <c r="U168" s="344"/>
      <c r="Z168" s="447"/>
      <c r="AA168" s="448"/>
      <c r="AB168" s="340"/>
      <c r="AC168" s="449"/>
      <c r="AD168" s="448"/>
      <c r="AE168" s="449"/>
      <c r="AF168" s="449"/>
      <c r="AG168" s="450"/>
    </row>
    <row r="169" spans="2:33" s="326" customFormat="1" ht="15" customHeight="1">
      <c r="B169" s="445" t="s">
        <v>1695</v>
      </c>
      <c r="H169" s="326" t="s">
        <v>1701</v>
      </c>
      <c r="I169" s="340" t="s">
        <v>1700</v>
      </c>
      <c r="L169" s="344">
        <f>'Land, Biomass &amp; Soil'!O85</f>
        <v>803388122.77646399</v>
      </c>
      <c r="N169" s="446"/>
      <c r="O169" s="344">
        <f t="shared" si="27"/>
        <v>803388122.77646399</v>
      </c>
      <c r="P169" s="344"/>
      <c r="U169" s="344"/>
      <c r="Z169" s="447"/>
      <c r="AA169" s="448"/>
      <c r="AB169" s="340"/>
      <c r="AC169" s="449"/>
      <c r="AD169" s="448"/>
      <c r="AE169" s="449"/>
      <c r="AF169" s="449"/>
      <c r="AG169" s="450"/>
    </row>
    <row r="170" spans="2:33" s="326" customFormat="1" ht="15" customHeight="1">
      <c r="B170" s="445" t="s">
        <v>1696</v>
      </c>
      <c r="H170" s="326" t="s">
        <v>1701</v>
      </c>
      <c r="I170" s="340" t="s">
        <v>1700</v>
      </c>
      <c r="L170" s="344">
        <f>'Land, Biomass &amp; Soil'!O86</f>
        <v>4993364631.567831</v>
      </c>
      <c r="N170" s="446"/>
      <c r="O170" s="344">
        <f t="shared" si="27"/>
        <v>4993364631.567831</v>
      </c>
      <c r="P170" s="344"/>
      <c r="U170" s="344"/>
      <c r="Z170" s="447"/>
      <c r="AA170" s="448"/>
      <c r="AB170" s="340"/>
      <c r="AC170" s="449"/>
      <c r="AD170" s="448"/>
      <c r="AE170" s="449"/>
      <c r="AF170" s="449"/>
      <c r="AG170" s="450"/>
    </row>
    <row r="171" spans="2:33" s="326" customFormat="1" ht="15" customHeight="1">
      <c r="B171" s="445" t="s">
        <v>1697</v>
      </c>
      <c r="H171" s="326" t="s">
        <v>1701</v>
      </c>
      <c r="I171" s="340" t="s">
        <v>1700</v>
      </c>
      <c r="L171" s="344">
        <f>'Land, Biomass &amp; Soil'!O87</f>
        <v>2162486405.1713276</v>
      </c>
      <c r="N171" s="446"/>
      <c r="O171" s="344">
        <f t="shared" si="27"/>
        <v>2162486405.1713276</v>
      </c>
      <c r="P171" s="344"/>
      <c r="U171" s="344"/>
      <c r="Z171" s="447"/>
      <c r="AA171" s="448"/>
      <c r="AB171" s="340"/>
      <c r="AC171" s="449"/>
      <c r="AD171" s="448"/>
      <c r="AE171" s="449"/>
      <c r="AF171" s="449"/>
      <c r="AG171" s="450"/>
    </row>
    <row r="172" spans="2:33" s="326" customFormat="1" ht="15" customHeight="1">
      <c r="B172" s="445" t="s">
        <v>1806</v>
      </c>
      <c r="H172" s="326" t="s">
        <v>1701</v>
      </c>
      <c r="I172" s="340" t="s">
        <v>1700</v>
      </c>
      <c r="L172" s="344">
        <f>'Land, Biomass &amp; Soil'!O88</f>
        <v>69439932841.105911</v>
      </c>
      <c r="N172" s="446"/>
      <c r="O172" s="344">
        <f t="shared" si="27"/>
        <v>69439932841.105911</v>
      </c>
      <c r="P172" s="344"/>
      <c r="U172" s="344"/>
      <c r="Z172" s="447"/>
      <c r="AA172" s="448"/>
      <c r="AB172" s="340"/>
      <c r="AC172" s="449"/>
      <c r="AD172" s="448"/>
      <c r="AE172" s="449"/>
      <c r="AF172" s="449"/>
      <c r="AG172" s="450"/>
    </row>
    <row r="173" spans="2:33" s="326" customFormat="1" ht="15" customHeight="1">
      <c r="B173" s="445" t="s">
        <v>1807</v>
      </c>
      <c r="H173" s="326" t="s">
        <v>1701</v>
      </c>
      <c r="I173" s="340" t="s">
        <v>1700</v>
      </c>
      <c r="L173" s="344">
        <f>'Land, Biomass &amp; Soil'!O89</f>
        <v>3966961138.2002645</v>
      </c>
      <c r="N173" s="446"/>
      <c r="O173" s="344">
        <f t="shared" si="27"/>
        <v>3966961138.2002645</v>
      </c>
      <c r="P173" s="344"/>
      <c r="U173" s="344"/>
      <c r="Z173" s="447"/>
      <c r="AA173" s="448"/>
      <c r="AB173" s="340"/>
      <c r="AC173" s="449"/>
      <c r="AD173" s="448"/>
      <c r="AE173" s="449"/>
      <c r="AF173" s="449"/>
      <c r="AG173" s="450"/>
    </row>
    <row r="174" spans="2:33" s="326" customFormat="1" ht="15" customHeight="1">
      <c r="B174" s="445" t="s">
        <v>1808</v>
      </c>
      <c r="H174" s="326" t="s">
        <v>1701</v>
      </c>
      <c r="I174" s="340" t="s">
        <v>1700</v>
      </c>
      <c r="L174" s="344">
        <f>'Land, Biomass &amp; Soil'!O90</f>
        <v>120661872042.03151</v>
      </c>
      <c r="N174" s="446"/>
      <c r="O174" s="344">
        <f t="shared" si="27"/>
        <v>120661872042.03151</v>
      </c>
      <c r="P174" s="344"/>
      <c r="U174" s="344"/>
      <c r="Z174" s="447"/>
      <c r="AA174" s="448"/>
      <c r="AB174" s="340"/>
      <c r="AC174" s="449"/>
      <c r="AD174" s="448"/>
      <c r="AE174" s="449"/>
      <c r="AF174" s="449"/>
      <c r="AG174" s="450"/>
    </row>
    <row r="175" spans="2:33" s="326" customFormat="1" ht="15" customHeight="1">
      <c r="B175" s="445" t="s">
        <v>1809</v>
      </c>
      <c r="H175" s="326" t="s">
        <v>1701</v>
      </c>
      <c r="I175" s="340" t="s">
        <v>1700</v>
      </c>
      <c r="L175" s="344">
        <f>'Land, Biomass &amp; Soil'!O93</f>
        <v>175868334805.35339</v>
      </c>
      <c r="N175" s="446"/>
      <c r="O175" s="344">
        <f t="shared" si="27"/>
        <v>175868334805.35339</v>
      </c>
      <c r="P175" s="344"/>
      <c r="U175" s="344"/>
      <c r="Z175" s="447"/>
      <c r="AA175" s="448"/>
      <c r="AB175" s="340"/>
      <c r="AC175" s="449"/>
      <c r="AD175" s="448"/>
      <c r="AE175" s="449"/>
      <c r="AF175" s="449"/>
      <c r="AG175" s="450"/>
    </row>
    <row r="176" spans="2:33" s="326" customFormat="1" ht="15" customHeight="1">
      <c r="B176" s="445" t="s">
        <v>1905</v>
      </c>
      <c r="H176" s="326" t="s">
        <v>1701</v>
      </c>
      <c r="I176" s="340" t="s">
        <v>1700</v>
      </c>
      <c r="L176" s="344">
        <f>'Land, Biomass &amp; Soil'!S74</f>
        <v>1010281881.5697173</v>
      </c>
      <c r="N176" s="446"/>
      <c r="O176" s="344">
        <f t="shared" si="27"/>
        <v>1010281881.5697173</v>
      </c>
      <c r="P176" s="344"/>
      <c r="U176" s="344"/>
      <c r="Y176" s="326" t="s">
        <v>1702</v>
      </c>
      <c r="Z176" s="447"/>
      <c r="AA176" s="448"/>
      <c r="AB176" s="340"/>
      <c r="AC176" s="449"/>
      <c r="AD176" s="448"/>
      <c r="AE176" s="449"/>
      <c r="AF176" s="449"/>
      <c r="AG176" s="450"/>
    </row>
    <row r="177" spans="2:26" ht="25" customHeight="1">
      <c r="B177" s="262" t="s">
        <v>1380</v>
      </c>
      <c r="O177" s="3"/>
      <c r="P177" s="3"/>
      <c r="R177" s="3"/>
      <c r="Z177" s="258"/>
    </row>
    <row r="178" spans="2:26" ht="15.5">
      <c r="B178" s="638" t="s">
        <v>1812</v>
      </c>
      <c r="C178" s="93" t="s">
        <v>49</v>
      </c>
      <c r="D178" s="93" t="s">
        <v>50</v>
      </c>
      <c r="E178" s="93" t="s">
        <v>33</v>
      </c>
      <c r="F178" s="93" t="s">
        <v>51</v>
      </c>
      <c r="G178" s="93" t="s">
        <v>52</v>
      </c>
      <c r="H178" s="93" t="s">
        <v>1701</v>
      </c>
      <c r="I178" s="94" t="s">
        <v>1700</v>
      </c>
      <c r="J178" s="93" t="s">
        <v>168</v>
      </c>
      <c r="K178" s="93"/>
      <c r="L178" s="95">
        <f>'Land, Biomass &amp; Soil'!J100</f>
        <v>741034043.9167794</v>
      </c>
      <c r="M178" s="639">
        <f>'Land, Biomass &amp; Soil'!H100</f>
        <v>38</v>
      </c>
      <c r="N178" s="316"/>
      <c r="O178" s="95">
        <f t="shared" ref="O178:O197" si="28">IF(M178&lt;=renewable_cutoff,L178,"")</f>
        <v>741034043.9167794</v>
      </c>
      <c r="P178" s="95" t="str">
        <f>IF(M178&gt;renewable_cutoff,L178,"")</f>
        <v/>
      </c>
      <c r="Q178" s="93"/>
      <c r="R178" s="95">
        <f>L178</f>
        <v>741034043.9167794</v>
      </c>
      <c r="S178" s="93"/>
      <c r="T178" s="93"/>
      <c r="U178" s="93"/>
      <c r="V178" s="93"/>
      <c r="W178" s="93"/>
      <c r="X178" s="93"/>
      <c r="Y178" s="93"/>
      <c r="Z178" s="51"/>
    </row>
    <row r="179" spans="2:26" ht="15.5">
      <c r="B179" s="638" t="s">
        <v>1813</v>
      </c>
      <c r="C179" s="93" t="s">
        <v>49</v>
      </c>
      <c r="D179" s="93" t="s">
        <v>50</v>
      </c>
      <c r="E179" s="93" t="s">
        <v>33</v>
      </c>
      <c r="F179" s="93" t="s">
        <v>51</v>
      </c>
      <c r="G179" s="93" t="s">
        <v>52</v>
      </c>
      <c r="H179" s="93" t="s">
        <v>1701</v>
      </c>
      <c r="I179" s="94" t="s">
        <v>1700</v>
      </c>
      <c r="J179" s="93" t="s">
        <v>168</v>
      </c>
      <c r="K179" s="93"/>
      <c r="L179" s="95">
        <f>'Land, Biomass &amp; Soil'!J101</f>
        <v>462804812.44813728</v>
      </c>
      <c r="M179" s="639">
        <f>'Land, Biomass &amp; Soil'!H101</f>
        <v>38</v>
      </c>
      <c r="N179" s="316"/>
      <c r="O179" s="95">
        <f t="shared" si="28"/>
        <v>462804812.44813728</v>
      </c>
      <c r="P179" s="95" t="str">
        <f t="shared" ref="P179:P194" si="29">IF(M179&gt;renewable_cutoff,L179,"")</f>
        <v/>
      </c>
      <c r="Q179" s="93"/>
      <c r="R179" s="95">
        <f t="shared" ref="R179:R193" si="30">L179</f>
        <v>462804812.44813728</v>
      </c>
      <c r="S179" s="93"/>
      <c r="T179" s="93"/>
      <c r="U179" s="93"/>
      <c r="V179" s="93"/>
      <c r="W179" s="93"/>
      <c r="X179" s="93"/>
      <c r="Y179" s="93"/>
      <c r="Z179" s="51"/>
    </row>
    <row r="180" spans="2:26" ht="15.5">
      <c r="B180" s="638" t="s">
        <v>1814</v>
      </c>
      <c r="C180" s="93" t="s">
        <v>49</v>
      </c>
      <c r="D180" s="93" t="s">
        <v>50</v>
      </c>
      <c r="E180" s="93" t="s">
        <v>33</v>
      </c>
      <c r="F180" s="93" t="s">
        <v>51</v>
      </c>
      <c r="G180" s="93" t="s">
        <v>52</v>
      </c>
      <c r="H180" s="93" t="s">
        <v>1701</v>
      </c>
      <c r="I180" s="94" t="s">
        <v>1700</v>
      </c>
      <c r="J180" s="93" t="s">
        <v>168</v>
      </c>
      <c r="K180" s="93"/>
      <c r="L180" s="95">
        <f>'Land, Biomass &amp; Soil'!J102</f>
        <v>362392856.56623608</v>
      </c>
      <c r="M180" s="639">
        <f>'Land, Biomass &amp; Soil'!H102</f>
        <v>38</v>
      </c>
      <c r="N180" s="316"/>
      <c r="O180" s="95">
        <f t="shared" si="28"/>
        <v>362392856.56623608</v>
      </c>
      <c r="P180" s="95" t="str">
        <f t="shared" si="29"/>
        <v/>
      </c>
      <c r="Q180" s="93"/>
      <c r="R180" s="95">
        <f t="shared" si="30"/>
        <v>362392856.56623608</v>
      </c>
      <c r="S180" s="93"/>
      <c r="T180" s="93"/>
      <c r="U180" s="93"/>
      <c r="V180" s="93"/>
      <c r="W180" s="93"/>
      <c r="X180" s="93"/>
      <c r="Y180" s="93"/>
      <c r="Z180" s="51"/>
    </row>
    <row r="181" spans="2:26" ht="15.5">
      <c r="B181" s="638" t="s">
        <v>1815</v>
      </c>
      <c r="C181" s="93" t="s">
        <v>49</v>
      </c>
      <c r="D181" s="93" t="s">
        <v>50</v>
      </c>
      <c r="E181" s="93" t="s">
        <v>33</v>
      </c>
      <c r="F181" s="93" t="s">
        <v>51</v>
      </c>
      <c r="G181" s="93" t="s">
        <v>52</v>
      </c>
      <c r="H181" s="93" t="s">
        <v>1701</v>
      </c>
      <c r="I181" s="94" t="s">
        <v>1700</v>
      </c>
      <c r="J181" s="93" t="s">
        <v>168</v>
      </c>
      <c r="K181" s="93"/>
      <c r="L181" s="95">
        <f>'Land, Biomass &amp; Soil'!J103</f>
        <v>219455652.51653051</v>
      </c>
      <c r="M181" s="639">
        <f>'Land, Biomass &amp; Soil'!H103</f>
        <v>29</v>
      </c>
      <c r="N181" s="316"/>
      <c r="O181" s="95">
        <f t="shared" si="28"/>
        <v>219455652.51653051</v>
      </c>
      <c r="P181" s="95" t="str">
        <f t="shared" si="29"/>
        <v/>
      </c>
      <c r="Q181" s="93"/>
      <c r="R181" s="95">
        <f t="shared" si="30"/>
        <v>219455652.51653051</v>
      </c>
      <c r="S181" s="93"/>
      <c r="T181" s="93"/>
      <c r="U181" s="93"/>
      <c r="V181" s="93"/>
      <c r="W181" s="93"/>
      <c r="X181" s="93"/>
      <c r="Y181" s="93"/>
      <c r="Z181" s="51"/>
    </row>
    <row r="182" spans="2:26" ht="15.5">
      <c r="B182" s="638" t="s">
        <v>1816</v>
      </c>
      <c r="C182" s="93" t="s">
        <v>49</v>
      </c>
      <c r="D182" s="93" t="s">
        <v>50</v>
      </c>
      <c r="E182" s="93" t="s">
        <v>33</v>
      </c>
      <c r="F182" s="93" t="s">
        <v>51</v>
      </c>
      <c r="G182" s="93" t="s">
        <v>52</v>
      </c>
      <c r="H182" s="93" t="s">
        <v>1701</v>
      </c>
      <c r="I182" s="94" t="s">
        <v>1700</v>
      </c>
      <c r="J182" s="93" t="s">
        <v>168</v>
      </c>
      <c r="K182" s="93"/>
      <c r="L182" s="95">
        <f>'Land, Biomass &amp; Soil'!J104</f>
        <v>202655026.18774971</v>
      </c>
      <c r="M182" s="639">
        <f>'Land, Biomass &amp; Soil'!H104</f>
        <v>29</v>
      </c>
      <c r="N182" s="316"/>
      <c r="O182" s="95">
        <f t="shared" si="28"/>
        <v>202655026.18774971</v>
      </c>
      <c r="P182" s="95" t="str">
        <f t="shared" si="29"/>
        <v/>
      </c>
      <c r="Q182" s="93"/>
      <c r="R182" s="95">
        <f t="shared" si="30"/>
        <v>202655026.18774971</v>
      </c>
      <c r="S182" s="93"/>
      <c r="T182" s="93"/>
      <c r="U182" s="93"/>
      <c r="V182" s="93"/>
      <c r="W182" s="93"/>
      <c r="X182" s="93"/>
      <c r="Y182" s="93"/>
      <c r="Z182" s="51"/>
    </row>
    <row r="183" spans="2:26" ht="15.5">
      <c r="B183" s="638" t="s">
        <v>1817</v>
      </c>
      <c r="C183" s="93" t="s">
        <v>49</v>
      </c>
      <c r="D183" s="93" t="s">
        <v>50</v>
      </c>
      <c r="E183" s="93" t="s">
        <v>33</v>
      </c>
      <c r="F183" s="93" t="s">
        <v>51</v>
      </c>
      <c r="G183" s="93" t="s">
        <v>52</v>
      </c>
      <c r="H183" s="93" t="s">
        <v>1701</v>
      </c>
      <c r="I183" s="94" t="s">
        <v>1700</v>
      </c>
      <c r="J183" s="93" t="s">
        <v>168</v>
      </c>
      <c r="K183" s="93"/>
      <c r="L183" s="95">
        <f>'Land, Biomass &amp; Soil'!J105</f>
        <v>222497983.03308082</v>
      </c>
      <c r="M183" s="639">
        <f>'Land, Biomass &amp; Soil'!H105</f>
        <v>91</v>
      </c>
      <c r="N183" s="316"/>
      <c r="O183" s="95">
        <f t="shared" si="28"/>
        <v>222497983.03308082</v>
      </c>
      <c r="P183" s="95" t="str">
        <f t="shared" si="29"/>
        <v/>
      </c>
      <c r="Q183" s="93"/>
      <c r="R183" s="95">
        <f t="shared" si="30"/>
        <v>222497983.03308082</v>
      </c>
      <c r="S183" s="93"/>
      <c r="T183" s="93"/>
      <c r="U183" s="93"/>
      <c r="V183" s="93"/>
      <c r="W183" s="93"/>
      <c r="X183" s="93"/>
      <c r="Y183" s="93"/>
      <c r="Z183" s="51"/>
    </row>
    <row r="184" spans="2:26" ht="15.5">
      <c r="B184" s="638" t="s">
        <v>1818</v>
      </c>
      <c r="C184" s="93" t="s">
        <v>49</v>
      </c>
      <c r="D184" s="93" t="s">
        <v>50</v>
      </c>
      <c r="E184" s="93" t="s">
        <v>33</v>
      </c>
      <c r="F184" s="93" t="s">
        <v>51</v>
      </c>
      <c r="G184" s="93" t="s">
        <v>52</v>
      </c>
      <c r="H184" s="93" t="s">
        <v>1701</v>
      </c>
      <c r="I184" s="94" t="s">
        <v>1700</v>
      </c>
      <c r="J184" s="93" t="s">
        <v>168</v>
      </c>
      <c r="K184" s="93"/>
      <c r="L184" s="95">
        <f>'Land, Biomass &amp; Soil'!J106</f>
        <v>122814410.99925618</v>
      </c>
      <c r="M184" s="639">
        <f>'Land, Biomass &amp; Soil'!H106</f>
        <v>10</v>
      </c>
      <c r="N184" s="316"/>
      <c r="O184" s="95">
        <f t="shared" si="28"/>
        <v>122814410.99925618</v>
      </c>
      <c r="P184" s="95" t="str">
        <f t="shared" si="29"/>
        <v/>
      </c>
      <c r="Q184" s="93"/>
      <c r="R184" s="95">
        <f t="shared" si="30"/>
        <v>122814410.99925618</v>
      </c>
      <c r="S184" s="93"/>
      <c r="T184" s="93"/>
      <c r="U184" s="93"/>
      <c r="V184" s="93"/>
      <c r="W184" s="93"/>
      <c r="X184" s="93"/>
      <c r="Y184" s="93"/>
      <c r="Z184" s="51"/>
    </row>
    <row r="185" spans="2:26" ht="15.5">
      <c r="B185" s="638" t="s">
        <v>1819</v>
      </c>
      <c r="C185" s="93" t="s">
        <v>49</v>
      </c>
      <c r="D185" s="93" t="s">
        <v>50</v>
      </c>
      <c r="E185" s="93" t="s">
        <v>33</v>
      </c>
      <c r="F185" s="93" t="s">
        <v>51</v>
      </c>
      <c r="G185" s="93" t="s">
        <v>52</v>
      </c>
      <c r="H185" s="93" t="s">
        <v>1701</v>
      </c>
      <c r="I185" s="94" t="s">
        <v>1700</v>
      </c>
      <c r="J185" s="93" t="s">
        <v>168</v>
      </c>
      <c r="K185" s="93"/>
      <c r="L185" s="95">
        <f>'Land, Biomass &amp; Soil'!J107</f>
        <v>276594636.38350856</v>
      </c>
      <c r="M185" s="639">
        <f>'Land, Biomass &amp; Soil'!H107</f>
        <v>61</v>
      </c>
      <c r="N185" s="316"/>
      <c r="O185" s="95">
        <f t="shared" si="28"/>
        <v>276594636.38350856</v>
      </c>
      <c r="P185" s="95" t="str">
        <f t="shared" si="29"/>
        <v/>
      </c>
      <c r="Q185" s="93"/>
      <c r="R185" s="95">
        <f t="shared" si="30"/>
        <v>276594636.38350856</v>
      </c>
      <c r="S185" s="93"/>
      <c r="T185" s="93"/>
      <c r="U185" s="93"/>
      <c r="V185" s="93"/>
      <c r="W185" s="93"/>
      <c r="X185" s="93"/>
      <c r="Y185" s="93"/>
      <c r="Z185" s="51"/>
    </row>
    <row r="186" spans="2:26" ht="15.5">
      <c r="B186" s="638" t="s">
        <v>1820</v>
      </c>
      <c r="C186" s="93" t="s">
        <v>49</v>
      </c>
      <c r="D186" s="93" t="s">
        <v>50</v>
      </c>
      <c r="E186" s="93" t="s">
        <v>33</v>
      </c>
      <c r="F186" s="93" t="s">
        <v>51</v>
      </c>
      <c r="G186" s="93" t="s">
        <v>52</v>
      </c>
      <c r="H186" s="93" t="s">
        <v>1701</v>
      </c>
      <c r="I186" s="94" t="s">
        <v>1700</v>
      </c>
      <c r="J186" s="93" t="s">
        <v>168</v>
      </c>
      <c r="K186" s="93"/>
      <c r="L186" s="95">
        <f>'Land, Biomass &amp; Soil'!J108</f>
        <v>3610915019.0079517</v>
      </c>
      <c r="M186" s="639">
        <f>'Land, Biomass &amp; Soil'!H108</f>
        <v>520</v>
      </c>
      <c r="N186" s="316"/>
      <c r="O186" s="95" t="str">
        <f t="shared" si="28"/>
        <v/>
      </c>
      <c r="P186" s="95">
        <f t="shared" si="29"/>
        <v>3610915019.0079517</v>
      </c>
      <c r="Q186" s="93"/>
      <c r="R186" s="95">
        <f t="shared" si="30"/>
        <v>3610915019.0079517</v>
      </c>
      <c r="S186" s="93"/>
      <c r="T186" s="93"/>
      <c r="U186" s="93"/>
      <c r="V186" s="93"/>
      <c r="W186" s="93"/>
      <c r="X186" s="93"/>
      <c r="Y186" s="93"/>
      <c r="Z186" s="51"/>
    </row>
    <row r="187" spans="2:26" ht="15.5">
      <c r="B187" s="638" t="s">
        <v>1821</v>
      </c>
      <c r="C187" s="93" t="s">
        <v>49</v>
      </c>
      <c r="D187" s="93" t="s">
        <v>50</v>
      </c>
      <c r="E187" s="93" t="s">
        <v>33</v>
      </c>
      <c r="F187" s="93" t="s">
        <v>51</v>
      </c>
      <c r="G187" s="93" t="s">
        <v>52</v>
      </c>
      <c r="H187" s="93" t="s">
        <v>1701</v>
      </c>
      <c r="I187" s="94" t="s">
        <v>1700</v>
      </c>
      <c r="J187" s="93" t="s">
        <v>168</v>
      </c>
      <c r="K187" s="93"/>
      <c r="L187" s="95">
        <f>'Land, Biomass &amp; Soil'!J109</f>
        <v>320798918.0886814</v>
      </c>
      <c r="M187" s="639">
        <f>'Land, Biomass &amp; Soil'!H109</f>
        <v>61</v>
      </c>
      <c r="N187" s="316"/>
      <c r="O187" s="95">
        <f t="shared" si="28"/>
        <v>320798918.0886814</v>
      </c>
      <c r="P187" s="95" t="str">
        <f t="shared" si="29"/>
        <v/>
      </c>
      <c r="Q187" s="93"/>
      <c r="R187" s="95">
        <f t="shared" si="30"/>
        <v>320798918.0886814</v>
      </c>
      <c r="S187" s="93"/>
      <c r="T187" s="93"/>
      <c r="U187" s="93"/>
      <c r="V187" s="93"/>
      <c r="W187" s="93"/>
      <c r="X187" s="93"/>
      <c r="Y187" s="93"/>
      <c r="Z187" s="51"/>
    </row>
    <row r="188" spans="2:26" ht="15.5">
      <c r="B188" s="638" t="s">
        <v>1822</v>
      </c>
      <c r="C188" s="93" t="s">
        <v>49</v>
      </c>
      <c r="D188" s="93" t="s">
        <v>50</v>
      </c>
      <c r="E188" s="93" t="s">
        <v>33</v>
      </c>
      <c r="F188" s="93" t="s">
        <v>51</v>
      </c>
      <c r="G188" s="93" t="s">
        <v>52</v>
      </c>
      <c r="H188" s="93" t="s">
        <v>1701</v>
      </c>
      <c r="I188" s="94" t="s">
        <v>1700</v>
      </c>
      <c r="J188" s="93" t="s">
        <v>168</v>
      </c>
      <c r="K188" s="93"/>
      <c r="L188" s="95">
        <f>'Land, Biomass &amp; Soil'!J110</f>
        <v>2384713597.3345747</v>
      </c>
      <c r="M188" s="639">
        <f>'Land, Biomass &amp; Soil'!H110</f>
        <v>490</v>
      </c>
      <c r="N188" s="316"/>
      <c r="O188" s="95" t="str">
        <f t="shared" si="28"/>
        <v/>
      </c>
      <c r="P188" s="95">
        <f t="shared" si="29"/>
        <v>2384713597.3345747</v>
      </c>
      <c r="Q188" s="93"/>
      <c r="R188" s="95">
        <f t="shared" si="30"/>
        <v>2384713597.3345747</v>
      </c>
      <c r="S188" s="93"/>
      <c r="T188" s="93"/>
      <c r="U188" s="93"/>
      <c r="V188" s="93"/>
      <c r="W188" s="93"/>
      <c r="X188" s="93"/>
      <c r="Y188" s="93"/>
      <c r="Z188" s="51"/>
    </row>
    <row r="189" spans="2:26" ht="15.5">
      <c r="B189" s="638" t="s">
        <v>1823</v>
      </c>
      <c r="C189" s="93" t="s">
        <v>49</v>
      </c>
      <c r="D189" s="93" t="s">
        <v>50</v>
      </c>
      <c r="E189" s="93" t="s">
        <v>33</v>
      </c>
      <c r="F189" s="93" t="s">
        <v>51</v>
      </c>
      <c r="G189" s="93" t="s">
        <v>52</v>
      </c>
      <c r="H189" s="93" t="s">
        <v>1701</v>
      </c>
      <c r="I189" s="94" t="s">
        <v>1700</v>
      </c>
      <c r="J189" s="93" t="s">
        <v>168</v>
      </c>
      <c r="K189" s="93"/>
      <c r="L189" s="95">
        <f>'Land, Biomass &amp; Soil'!J111</f>
        <v>79177871.02668786</v>
      </c>
      <c r="M189" s="639">
        <f>'Land, Biomass &amp; Soil'!H111</f>
        <v>14</v>
      </c>
      <c r="N189" s="316"/>
      <c r="O189" s="95">
        <f t="shared" si="28"/>
        <v>79177871.02668786</v>
      </c>
      <c r="P189" s="95" t="str">
        <f t="shared" si="29"/>
        <v/>
      </c>
      <c r="Q189" s="93"/>
      <c r="R189" s="95">
        <f t="shared" si="30"/>
        <v>79177871.02668786</v>
      </c>
      <c r="S189" s="93"/>
      <c r="T189" s="93"/>
      <c r="U189" s="93"/>
      <c r="V189" s="93"/>
      <c r="W189" s="93"/>
      <c r="X189" s="93"/>
      <c r="Y189" s="93"/>
      <c r="Z189" s="51"/>
    </row>
    <row r="190" spans="2:26" ht="15.5">
      <c r="B190" s="638" t="s">
        <v>1824</v>
      </c>
      <c r="C190" s="93" t="s">
        <v>49</v>
      </c>
      <c r="D190" s="93" t="s">
        <v>50</v>
      </c>
      <c r="E190" s="93" t="s">
        <v>33</v>
      </c>
      <c r="F190" s="93" t="s">
        <v>51</v>
      </c>
      <c r="G190" s="93" t="s">
        <v>52</v>
      </c>
      <c r="H190" s="93" t="s">
        <v>1701</v>
      </c>
      <c r="I190" s="94" t="s">
        <v>1700</v>
      </c>
      <c r="J190" s="93" t="s">
        <v>168</v>
      </c>
      <c r="K190" s="93"/>
      <c r="L190" s="95">
        <f>'Land, Biomass &amp; Soil'!J112</f>
        <v>215332981.03564388</v>
      </c>
      <c r="M190" s="639">
        <f>'Land, Biomass &amp; Soil'!H112</f>
        <v>37</v>
      </c>
      <c r="N190" s="316"/>
      <c r="O190" s="95">
        <f t="shared" si="28"/>
        <v>215332981.03564388</v>
      </c>
      <c r="P190" s="95" t="str">
        <f t="shared" si="29"/>
        <v/>
      </c>
      <c r="Q190" s="93"/>
      <c r="R190" s="95">
        <f t="shared" si="30"/>
        <v>215332981.03564388</v>
      </c>
      <c r="S190" s="93"/>
      <c r="T190" s="93"/>
      <c r="U190" s="93"/>
      <c r="V190" s="93"/>
      <c r="W190" s="93"/>
      <c r="X190" s="93"/>
      <c r="Y190" s="93"/>
      <c r="Z190" s="51"/>
    </row>
    <row r="191" spans="2:26" ht="15.5">
      <c r="B191" s="638" t="s">
        <v>1825</v>
      </c>
      <c r="C191" s="93" t="s">
        <v>49</v>
      </c>
      <c r="D191" s="93" t="s">
        <v>50</v>
      </c>
      <c r="E191" s="93" t="s">
        <v>33</v>
      </c>
      <c r="F191" s="93" t="s">
        <v>51</v>
      </c>
      <c r="G191" s="93" t="s">
        <v>52</v>
      </c>
      <c r="H191" s="93" t="s">
        <v>1701</v>
      </c>
      <c r="I191" s="94" t="s">
        <v>1700</v>
      </c>
      <c r="J191" s="93" t="s">
        <v>168</v>
      </c>
      <c r="K191" s="93"/>
      <c r="L191" s="95">
        <f>'Land, Biomass &amp; Soil'!J113</f>
        <v>7579841088.9201555</v>
      </c>
      <c r="M191" s="639">
        <f>'Land, Biomass &amp; Soil'!H113</f>
        <v>520</v>
      </c>
      <c r="N191" s="316"/>
      <c r="O191" s="95" t="str">
        <f t="shared" si="28"/>
        <v/>
      </c>
      <c r="P191" s="95">
        <f t="shared" si="29"/>
        <v>7579841088.9201555</v>
      </c>
      <c r="Q191" s="93"/>
      <c r="R191" s="95">
        <f t="shared" si="30"/>
        <v>7579841088.9201555</v>
      </c>
      <c r="S191" s="93"/>
      <c r="T191" s="93"/>
      <c r="U191" s="93"/>
      <c r="V191" s="93"/>
      <c r="W191" s="93"/>
      <c r="X191" s="93"/>
      <c r="Y191" s="93"/>
      <c r="Z191" s="51"/>
    </row>
    <row r="192" spans="2:26" ht="15.5">
      <c r="B192" s="638" t="s">
        <v>1907</v>
      </c>
      <c r="C192" s="93" t="s">
        <v>49</v>
      </c>
      <c r="D192" s="93" t="s">
        <v>50</v>
      </c>
      <c r="E192" s="93" t="s">
        <v>33</v>
      </c>
      <c r="F192" s="93" t="s">
        <v>51</v>
      </c>
      <c r="G192" s="93" t="s">
        <v>52</v>
      </c>
      <c r="H192" s="93" t="s">
        <v>1701</v>
      </c>
      <c r="I192" s="94" t="s">
        <v>1700</v>
      </c>
      <c r="J192" s="93" t="s">
        <v>168</v>
      </c>
      <c r="K192" s="93"/>
      <c r="L192" s="95">
        <f>'Land, Biomass &amp; Soil'!M100</f>
        <v>569285231.56600964</v>
      </c>
      <c r="M192" s="639">
        <f>'Land, Biomass &amp; Soil'!N100</f>
        <v>98.667856647248627</v>
      </c>
      <c r="N192" s="316"/>
      <c r="O192" s="95">
        <f t="shared" si="28"/>
        <v>569285231.56600964</v>
      </c>
      <c r="P192" s="95" t="str">
        <f t="shared" si="29"/>
        <v/>
      </c>
      <c r="Q192" s="93"/>
      <c r="R192" s="95">
        <f t="shared" si="30"/>
        <v>569285231.56600964</v>
      </c>
      <c r="S192" s="93"/>
      <c r="T192" s="93"/>
      <c r="U192" s="93"/>
      <c r="V192" s="93"/>
      <c r="W192" s="93"/>
      <c r="X192" s="93"/>
      <c r="Y192" s="93"/>
      <c r="Z192" s="51"/>
    </row>
    <row r="193" spans="2:26" ht="15.5">
      <c r="B193" s="638" t="s">
        <v>1826</v>
      </c>
      <c r="C193" s="93" t="s">
        <v>49</v>
      </c>
      <c r="D193" s="93" t="s">
        <v>50</v>
      </c>
      <c r="E193" s="93" t="s">
        <v>33</v>
      </c>
      <c r="F193" s="93" t="s">
        <v>51</v>
      </c>
      <c r="G193" s="93" t="s">
        <v>52</v>
      </c>
      <c r="H193" s="93" t="s">
        <v>1908</v>
      </c>
      <c r="I193" s="94" t="s">
        <v>1700</v>
      </c>
      <c r="J193" s="93" t="s">
        <v>168</v>
      </c>
      <c r="K193" s="93"/>
      <c r="L193" s="95">
        <f>'Land, Biomass &amp; Soil'!M101</f>
        <v>108635132.78545268</v>
      </c>
      <c r="M193" s="639">
        <f>'Land, Biomass &amp; Soil'!N101</f>
        <v>21</v>
      </c>
      <c r="N193" s="316"/>
      <c r="O193" s="95">
        <f t="shared" si="28"/>
        <v>108635132.78545268</v>
      </c>
      <c r="P193" s="95" t="str">
        <f t="shared" si="29"/>
        <v/>
      </c>
      <c r="Q193" s="93"/>
      <c r="R193" s="95">
        <f t="shared" si="30"/>
        <v>108635132.78545268</v>
      </c>
      <c r="S193" s="93"/>
      <c r="T193" s="93"/>
      <c r="U193" s="93"/>
      <c r="V193" s="93"/>
      <c r="W193" s="93"/>
      <c r="X193" s="93"/>
      <c r="Y193" s="93"/>
      <c r="Z193" s="51"/>
    </row>
    <row r="194" spans="2:26" ht="15.5">
      <c r="B194" s="738" t="s">
        <v>1911</v>
      </c>
      <c r="C194" s="107" t="s">
        <v>49</v>
      </c>
      <c r="D194" s="107" t="s">
        <v>50</v>
      </c>
      <c r="E194" s="107" t="s">
        <v>33</v>
      </c>
      <c r="F194" s="107" t="s">
        <v>51</v>
      </c>
      <c r="G194" s="107" t="s">
        <v>52</v>
      </c>
      <c r="H194" s="107"/>
      <c r="I194" s="108" t="s">
        <v>36</v>
      </c>
      <c r="J194" s="107"/>
      <c r="K194" s="107"/>
      <c r="L194" s="109">
        <f>(Z194*'Land, Biomass &amp; Soil'!J106*1000)+((1-Z194)*'Aggregate Minerals'!N111*2*1000)</f>
        <v>3096672011017.2808</v>
      </c>
      <c r="M194" s="739">
        <f>M196</f>
        <v>1000</v>
      </c>
      <c r="N194" s="309"/>
      <c r="O194" s="109" t="str">
        <f>IF(M194&lt;=renewable_cutoff,L194,"")</f>
        <v/>
      </c>
      <c r="P194" s="109">
        <f t="shared" si="29"/>
        <v>3096672011017.2808</v>
      </c>
      <c r="Q194" s="107"/>
      <c r="R194" s="109" t="str">
        <f>O194</f>
        <v/>
      </c>
      <c r="S194" s="107"/>
      <c r="T194" s="107"/>
      <c r="U194" s="107"/>
      <c r="V194" s="107"/>
      <c r="W194" s="107"/>
      <c r="X194" s="107"/>
      <c r="Y194" s="107" t="s">
        <v>1912</v>
      </c>
      <c r="Z194" s="83">
        <v>0.05</v>
      </c>
    </row>
    <row r="195" spans="2:26">
      <c r="B195" s="107" t="s">
        <v>1237</v>
      </c>
      <c r="C195" s="107" t="s">
        <v>84</v>
      </c>
      <c r="D195" s="107" t="s">
        <v>73</v>
      </c>
      <c r="E195" s="107" t="s">
        <v>33</v>
      </c>
      <c r="F195" s="107" t="s">
        <v>85</v>
      </c>
      <c r="G195" s="107" t="s">
        <v>75</v>
      </c>
      <c r="H195" s="107"/>
      <c r="I195" s="108" t="s">
        <v>36</v>
      </c>
      <c r="J195" s="107" t="s">
        <v>44</v>
      </c>
      <c r="K195" s="107"/>
      <c r="L195" s="109">
        <f>GEB/((190+140+29.4)*10^9)</f>
        <v>33388981636060.098</v>
      </c>
      <c r="M195" s="110">
        <f>(1500+1690)/(190+140+29.4)</f>
        <v>8.8759042849193097</v>
      </c>
      <c r="N195" s="309"/>
      <c r="O195" s="109">
        <f t="shared" si="28"/>
        <v>33388981636060.098</v>
      </c>
      <c r="P195" s="109" t="str">
        <f>IF(M195&gt;renewable_cutoff,L195,"")</f>
        <v/>
      </c>
      <c r="Q195" s="107"/>
      <c r="R195" s="109">
        <f>O195</f>
        <v>33388981636060.098</v>
      </c>
      <c r="S195" s="107"/>
      <c r="T195" s="107"/>
      <c r="U195" s="107"/>
      <c r="V195" s="107"/>
      <c r="W195" s="107"/>
      <c r="X195" s="107"/>
      <c r="Y195" s="111" t="s">
        <v>977</v>
      </c>
      <c r="Z195" s="83"/>
    </row>
    <row r="196" spans="2:26">
      <c r="B196" s="107" t="s">
        <v>54</v>
      </c>
      <c r="C196" s="107" t="s">
        <v>49</v>
      </c>
      <c r="D196" s="107" t="s">
        <v>50</v>
      </c>
      <c r="E196" s="107" t="s">
        <v>33</v>
      </c>
      <c r="F196" s="107" t="s">
        <v>51</v>
      </c>
      <c r="G196" s="107" t="s">
        <v>52</v>
      </c>
      <c r="H196" s="107"/>
      <c r="I196" s="108" t="s">
        <v>36</v>
      </c>
      <c r="J196" s="107"/>
      <c r="K196" s="107"/>
      <c r="L196" s="109">
        <f>'Aggregate Minerals'!N111*2*1000</f>
        <v>3253190832070.8613</v>
      </c>
      <c r="M196" s="107">
        <v>1000</v>
      </c>
      <c r="N196" s="309"/>
      <c r="O196" s="109" t="str">
        <f t="shared" si="28"/>
        <v/>
      </c>
      <c r="P196" s="109">
        <f>IF(M196&gt;renewable_cutoff,L196,"")</f>
        <v>3253190832070.8613</v>
      </c>
      <c r="Q196" s="107"/>
      <c r="R196" s="109">
        <f>L196</f>
        <v>3253190832070.8613</v>
      </c>
      <c r="S196" s="107"/>
      <c r="T196" s="107"/>
      <c r="U196" s="107"/>
      <c r="V196" s="107"/>
      <c r="W196" s="107"/>
      <c r="X196" s="107"/>
      <c r="Y196" s="107" t="s">
        <v>1236</v>
      </c>
      <c r="Z196" s="83"/>
    </row>
    <row r="197" spans="2:26">
      <c r="B197" s="107" t="str">
        <f>CONCATENATE("Sulfur; {", J197, "}; ", Z197," g/g in soil")</f>
        <v>Sulfur; {S8}; 0.005 g/g in soil</v>
      </c>
      <c r="C197" s="107" t="s">
        <v>84</v>
      </c>
      <c r="D197" s="107" t="s">
        <v>73</v>
      </c>
      <c r="E197" s="107" t="s">
        <v>33</v>
      </c>
      <c r="F197" s="107" t="s">
        <v>85</v>
      </c>
      <c r="G197" s="107" t="s">
        <v>75</v>
      </c>
      <c r="H197" s="107"/>
      <c r="I197" s="108" t="s">
        <v>36</v>
      </c>
      <c r="J197" s="107" t="s">
        <v>507</v>
      </c>
      <c r="K197" s="107"/>
      <c r="L197" s="109">
        <f>1000*'Singular Minerals'!S284</f>
        <v>4947462077382.0146</v>
      </c>
      <c r="M197" s="107">
        <v>100</v>
      </c>
      <c r="N197" s="309"/>
      <c r="O197" s="109">
        <f t="shared" si="28"/>
        <v>4947462077382.0146</v>
      </c>
      <c r="P197" s="109" t="str">
        <f>IF(M197&gt;renewable_cutoff,L197,"")</f>
        <v/>
      </c>
      <c r="Q197" s="107"/>
      <c r="R197" s="109">
        <f>L197</f>
        <v>4947462077382.0146</v>
      </c>
      <c r="S197" s="107"/>
      <c r="T197" s="107"/>
      <c r="U197" s="107"/>
      <c r="V197" s="107"/>
      <c r="W197" s="107"/>
      <c r="X197" s="107"/>
      <c r="Y197" s="107" t="s">
        <v>1245</v>
      </c>
      <c r="Z197" s="118">
        <v>5.0000000000000001E-3</v>
      </c>
    </row>
    <row r="198" spans="2:26" ht="25" customHeight="1">
      <c r="B198" s="262" t="s">
        <v>1381</v>
      </c>
      <c r="O198" s="3"/>
      <c r="P198" s="3"/>
      <c r="R198" s="3"/>
      <c r="Z198" s="258"/>
    </row>
    <row r="199" spans="2:26">
      <c r="B199" s="93" t="s">
        <v>58</v>
      </c>
      <c r="C199" s="93" t="s">
        <v>49</v>
      </c>
      <c r="D199" s="93" t="s">
        <v>55</v>
      </c>
      <c r="E199" s="93" t="s">
        <v>33</v>
      </c>
      <c r="F199" s="93" t="s">
        <v>56</v>
      </c>
      <c r="G199" s="93" t="s">
        <v>59</v>
      </c>
      <c r="H199" s="93" t="s">
        <v>938</v>
      </c>
      <c r="I199" s="94" t="s">
        <v>36</v>
      </c>
      <c r="J199" s="93"/>
      <c r="K199" s="93"/>
      <c r="L199" s="95">
        <f>Wood!E34</f>
        <v>39932812082.501678</v>
      </c>
      <c r="M199" s="93"/>
      <c r="N199" s="316" t="s">
        <v>57</v>
      </c>
      <c r="O199" s="95">
        <f t="shared" ref="O199:O205" si="31">IF(M199&lt;=renewable_cutoff,L199,"")</f>
        <v>39932812082.501678</v>
      </c>
      <c r="P199" s="95" t="str">
        <f t="shared" ref="P199:P205" si="32">IF(M199&gt;renewable_cutoff,L199,"")</f>
        <v/>
      </c>
      <c r="Q199" s="93"/>
      <c r="R199" s="95">
        <f t="shared" ref="R199:R205" si="33">L199</f>
        <v>39932812082.501678</v>
      </c>
      <c r="S199" s="93"/>
      <c r="T199" s="93"/>
      <c r="U199" s="93"/>
      <c r="V199" s="93"/>
      <c r="W199" s="93"/>
      <c r="X199" s="93"/>
      <c r="Y199" s="93" t="str">
        <f>Wood!B25</f>
        <v>Table 3. Southern mixed hardwood forest (Florida); table 14 Folio 3; data from Orrell (1998).</v>
      </c>
      <c r="Z199" s="51"/>
    </row>
    <row r="200" spans="2:26">
      <c r="B200" s="93" t="s">
        <v>60</v>
      </c>
      <c r="C200" s="93" t="s">
        <v>49</v>
      </c>
      <c r="D200" s="93" t="s">
        <v>55</v>
      </c>
      <c r="E200" s="93" t="s">
        <v>33</v>
      </c>
      <c r="F200" s="93" t="s">
        <v>56</v>
      </c>
      <c r="G200" s="93" t="s">
        <v>59</v>
      </c>
      <c r="H200" s="93" t="s">
        <v>938</v>
      </c>
      <c r="I200" s="94" t="s">
        <v>36</v>
      </c>
      <c r="J200" s="93"/>
      <c r="K200" s="93"/>
      <c r="L200" s="95">
        <f>Wood!E47</f>
        <v>31631885883.70932</v>
      </c>
      <c r="M200" s="93"/>
      <c r="N200" s="316" t="s">
        <v>57</v>
      </c>
      <c r="O200" s="95">
        <f t="shared" si="31"/>
        <v>31631885883.70932</v>
      </c>
      <c r="P200" s="95" t="str">
        <f t="shared" si="32"/>
        <v/>
      </c>
      <c r="Q200" s="93"/>
      <c r="R200" s="95">
        <f t="shared" si="33"/>
        <v>31631885883.70932</v>
      </c>
      <c r="S200" s="93"/>
      <c r="T200" s="93"/>
      <c r="U200" s="93"/>
      <c r="V200" s="93"/>
      <c r="W200" s="93"/>
      <c r="X200" s="93"/>
      <c r="Y200" s="93" t="s">
        <v>939</v>
      </c>
      <c r="Z200" s="51"/>
    </row>
    <row r="201" spans="2:26">
      <c r="B201" s="93" t="s">
        <v>61</v>
      </c>
      <c r="C201" s="93" t="s">
        <v>49</v>
      </c>
      <c r="D201" s="93" t="s">
        <v>55</v>
      </c>
      <c r="E201" s="93" t="s">
        <v>33</v>
      </c>
      <c r="F201" s="93" t="s">
        <v>56</v>
      </c>
      <c r="G201" s="93" t="s">
        <v>59</v>
      </c>
      <c r="H201" s="93"/>
      <c r="I201" s="94" t="s">
        <v>36</v>
      </c>
      <c r="J201" s="93"/>
      <c r="K201" s="93"/>
      <c r="L201" s="95">
        <f>MIN(L199:L200,L202:L203)</f>
        <v>31631885883.70932</v>
      </c>
      <c r="M201" s="93"/>
      <c r="N201" s="316" t="s">
        <v>57</v>
      </c>
      <c r="O201" s="95">
        <f t="shared" si="31"/>
        <v>31631885883.70932</v>
      </c>
      <c r="P201" s="95" t="str">
        <f t="shared" si="32"/>
        <v/>
      </c>
      <c r="Q201" s="93"/>
      <c r="R201" s="95">
        <f t="shared" si="33"/>
        <v>31631885883.70932</v>
      </c>
      <c r="S201" s="93"/>
      <c r="T201" s="93"/>
      <c r="U201" s="93"/>
      <c r="V201" s="93"/>
      <c r="W201" s="93"/>
      <c r="X201" s="93"/>
      <c r="Y201" s="93" t="s">
        <v>937</v>
      </c>
      <c r="Z201" s="51"/>
    </row>
    <row r="202" spans="2:26">
      <c r="B202" s="93" t="s">
        <v>62</v>
      </c>
      <c r="C202" s="93" t="s">
        <v>49</v>
      </c>
      <c r="D202" s="93" t="s">
        <v>55</v>
      </c>
      <c r="E202" s="93" t="s">
        <v>33</v>
      </c>
      <c r="F202" s="93" t="s">
        <v>56</v>
      </c>
      <c r="G202" s="93" t="s">
        <v>59</v>
      </c>
      <c r="H202" s="93" t="s">
        <v>935</v>
      </c>
      <c r="I202" s="94" t="s">
        <v>36</v>
      </c>
      <c r="J202" s="93"/>
      <c r="K202" s="93"/>
      <c r="L202" s="95">
        <f>Wood!E89</f>
        <v>544190680133.33331</v>
      </c>
      <c r="M202" s="93">
        <v>26</v>
      </c>
      <c r="N202" s="316" t="s">
        <v>57</v>
      </c>
      <c r="O202" s="95">
        <f t="shared" si="31"/>
        <v>544190680133.33331</v>
      </c>
      <c r="P202" s="95" t="str">
        <f t="shared" si="32"/>
        <v/>
      </c>
      <c r="Q202" s="93"/>
      <c r="R202" s="95">
        <f t="shared" si="33"/>
        <v>544190680133.33331</v>
      </c>
      <c r="S202" s="93"/>
      <c r="T202" s="93"/>
      <c r="U202" s="93"/>
      <c r="V202" s="93"/>
      <c r="W202" s="93"/>
      <c r="X202" s="93"/>
      <c r="Y202" s="93" t="s">
        <v>936</v>
      </c>
      <c r="Z202" s="51"/>
    </row>
    <row r="203" spans="2:26">
      <c r="B203" s="93" t="s">
        <v>63</v>
      </c>
      <c r="C203" s="93" t="s">
        <v>49</v>
      </c>
      <c r="D203" s="93" t="s">
        <v>55</v>
      </c>
      <c r="E203" s="93" t="s">
        <v>33</v>
      </c>
      <c r="F203" s="93" t="s">
        <v>56</v>
      </c>
      <c r="G203" s="93" t="s">
        <v>59</v>
      </c>
      <c r="H203" s="93" t="s">
        <v>934</v>
      </c>
      <c r="I203" s="94" t="s">
        <v>36</v>
      </c>
      <c r="J203" s="93"/>
      <c r="K203" s="93"/>
      <c r="L203" s="95">
        <f>Wood!D4</f>
        <v>234999969858.80432</v>
      </c>
      <c r="M203" s="93">
        <v>80</v>
      </c>
      <c r="N203" s="316" t="s">
        <v>57</v>
      </c>
      <c r="O203" s="95">
        <f t="shared" si="31"/>
        <v>234999969858.80432</v>
      </c>
      <c r="P203" s="95" t="str">
        <f t="shared" si="32"/>
        <v/>
      </c>
      <c r="Q203" s="93"/>
      <c r="R203" s="95">
        <f t="shared" si="33"/>
        <v>234999969858.80432</v>
      </c>
      <c r="S203" s="93"/>
      <c r="T203" s="93"/>
      <c r="U203" s="93"/>
      <c r="V203" s="93"/>
      <c r="W203" s="93"/>
      <c r="X203" s="93"/>
      <c r="Y203" s="93" t="s">
        <v>960</v>
      </c>
      <c r="Z203" s="51"/>
    </row>
    <row r="204" spans="2:26">
      <c r="B204" s="93" t="s">
        <v>64</v>
      </c>
      <c r="C204" s="93" t="s">
        <v>49</v>
      </c>
      <c r="D204" s="93" t="s">
        <v>55</v>
      </c>
      <c r="E204" s="93" t="s">
        <v>33</v>
      </c>
      <c r="F204" s="93" t="s">
        <v>56</v>
      </c>
      <c r="G204" s="93" t="s">
        <v>59</v>
      </c>
      <c r="H204" s="93" t="s">
        <v>953</v>
      </c>
      <c r="I204" s="94" t="s">
        <v>36</v>
      </c>
      <c r="J204" s="93"/>
      <c r="K204" s="93"/>
      <c r="L204" s="95">
        <f>Wood!E116</f>
        <v>4647922297297.2969</v>
      </c>
      <c r="M204" s="93">
        <v>250</v>
      </c>
      <c r="N204" s="316" t="s">
        <v>57</v>
      </c>
      <c r="O204" s="95" t="str">
        <f t="shared" si="31"/>
        <v/>
      </c>
      <c r="P204" s="95">
        <f t="shared" si="32"/>
        <v>4647922297297.2969</v>
      </c>
      <c r="Q204" s="93"/>
      <c r="R204" s="95">
        <f t="shared" si="33"/>
        <v>4647922297297.2969</v>
      </c>
      <c r="S204" s="93"/>
      <c r="T204" s="93"/>
      <c r="U204" s="93"/>
      <c r="V204" s="93"/>
      <c r="W204" s="93"/>
      <c r="X204" s="93"/>
      <c r="Y204" s="93" t="s">
        <v>949</v>
      </c>
      <c r="Z204" s="51"/>
    </row>
    <row r="205" spans="2:26">
      <c r="B205" s="93" t="s">
        <v>65</v>
      </c>
      <c r="C205" s="93" t="s">
        <v>49</v>
      </c>
      <c r="D205" s="93" t="s">
        <v>55</v>
      </c>
      <c r="E205" s="93" t="s">
        <v>33</v>
      </c>
      <c r="F205" s="93" t="s">
        <v>56</v>
      </c>
      <c r="G205" s="93" t="s">
        <v>59</v>
      </c>
      <c r="H205" s="93" t="s">
        <v>954</v>
      </c>
      <c r="I205" s="94" t="s">
        <v>36</v>
      </c>
      <c r="J205" s="93"/>
      <c r="K205" s="93"/>
      <c r="L205" s="95">
        <f>Wood!D10</f>
        <v>1767940855860.2922</v>
      </c>
      <c r="M205" s="93">
        <v>125</v>
      </c>
      <c r="N205" s="316" t="s">
        <v>57</v>
      </c>
      <c r="O205" s="95" t="str">
        <f t="shared" si="31"/>
        <v/>
      </c>
      <c r="P205" s="95">
        <f t="shared" si="32"/>
        <v>1767940855860.2922</v>
      </c>
      <c r="Q205" s="93"/>
      <c r="R205" s="95">
        <f t="shared" si="33"/>
        <v>1767940855860.2922</v>
      </c>
      <c r="S205" s="93"/>
      <c r="T205" s="93"/>
      <c r="U205" s="93"/>
      <c r="V205" s="93"/>
      <c r="W205" s="93"/>
      <c r="X205" s="93"/>
      <c r="Y205" s="93" t="str">
        <f>Wood!B51</f>
        <v>Table 5. Cypress dominated floodplain wetland (central Florida); table 17 Folio 3; after Weber (1994)</v>
      </c>
      <c r="Z205" s="51"/>
    </row>
    <row r="206" spans="2:26" ht="25" customHeight="1">
      <c r="B206" s="262" t="s">
        <v>1382</v>
      </c>
      <c r="O206" s="3"/>
      <c r="P206" s="3"/>
      <c r="Q206" s="3"/>
      <c r="Z206" s="258"/>
    </row>
    <row r="207" spans="2:26">
      <c r="B207" s="115" t="s">
        <v>1913</v>
      </c>
      <c r="C207" s="115" t="s">
        <v>1914</v>
      </c>
      <c r="D207" s="115" t="s">
        <v>73</v>
      </c>
      <c r="E207" s="115" t="s">
        <v>33</v>
      </c>
      <c r="F207" s="115" t="s">
        <v>74</v>
      </c>
      <c r="G207" s="115" t="s">
        <v>75</v>
      </c>
      <c r="H207" s="115" t="s">
        <v>1701</v>
      </c>
      <c r="I207" s="116" t="s">
        <v>36</v>
      </c>
      <c r="J207" s="115"/>
      <c r="K207" s="115"/>
      <c r="L207" s="117">
        <f>L186*1000/0.5</f>
        <v>7221830038015.9033</v>
      </c>
      <c r="M207" s="117">
        <f>M186</f>
        <v>520</v>
      </c>
      <c r="N207" s="317" t="s">
        <v>36</v>
      </c>
      <c r="O207" s="117" t="str">
        <f>IF(M207&lt;=renewable_cutoff,L207,"")</f>
        <v/>
      </c>
      <c r="P207" s="117">
        <f>IF(M207&gt;renewable_cutoff,L207,"")</f>
        <v>7221830038015.9033</v>
      </c>
      <c r="Q207" s="115"/>
      <c r="R207" s="115"/>
      <c r="S207" s="117">
        <f>L207</f>
        <v>7221830038015.9033</v>
      </c>
      <c r="T207" s="117"/>
      <c r="U207" s="117"/>
      <c r="V207" s="115"/>
      <c r="W207" s="115"/>
      <c r="X207" s="115"/>
      <c r="Y207" s="115" t="s">
        <v>76</v>
      </c>
      <c r="Z207" s="53"/>
    </row>
    <row r="208" spans="2:26">
      <c r="B208" s="115" t="s">
        <v>496</v>
      </c>
      <c r="C208" s="115" t="s">
        <v>72</v>
      </c>
      <c r="D208" s="115" t="s">
        <v>73</v>
      </c>
      <c r="E208" s="115" t="s">
        <v>33</v>
      </c>
      <c r="F208" s="115" t="s">
        <v>74</v>
      </c>
      <c r="G208" s="115" t="s">
        <v>75</v>
      </c>
      <c r="H208" s="115" t="s">
        <v>909</v>
      </c>
      <c r="I208" s="116" t="s">
        <v>69</v>
      </c>
      <c r="J208" s="115"/>
      <c r="K208" s="115"/>
      <c r="L208" s="117">
        <f>Coal!K29*1000000</f>
        <v>38921458563.572197</v>
      </c>
      <c r="M208" s="117">
        <v>20000000</v>
      </c>
      <c r="N208" s="317" t="s">
        <v>36</v>
      </c>
      <c r="O208" s="117" t="str">
        <f t="shared" ref="O208:O214" si="34">IF(M208&lt;=renewable_cutoff,L208,"")</f>
        <v/>
      </c>
      <c r="P208" s="117">
        <f t="shared" ref="P208:P214" si="35">IF(M208&gt;renewable_cutoff,L208,"")</f>
        <v>38921458563.572197</v>
      </c>
      <c r="Q208" s="115"/>
      <c r="R208" s="115"/>
      <c r="S208" s="117">
        <f t="shared" ref="S208:S214" si="36">L208</f>
        <v>38921458563.572197</v>
      </c>
      <c r="T208" s="117"/>
      <c r="U208" s="117"/>
      <c r="V208" s="115"/>
      <c r="W208" s="115"/>
      <c r="X208" s="115"/>
      <c r="Y208" s="115" t="s">
        <v>76</v>
      </c>
      <c r="Z208" s="53"/>
    </row>
    <row r="209" spans="2:26">
      <c r="B209" s="115" t="s">
        <v>497</v>
      </c>
      <c r="C209" s="115" t="s">
        <v>72</v>
      </c>
      <c r="D209" s="115" t="s">
        <v>73</v>
      </c>
      <c r="E209" s="115" t="s">
        <v>33</v>
      </c>
      <c r="F209" s="115" t="s">
        <v>74</v>
      </c>
      <c r="G209" s="115" t="s">
        <v>75</v>
      </c>
      <c r="H209" s="115" t="s">
        <v>909</v>
      </c>
      <c r="I209" s="116" t="s">
        <v>69</v>
      </c>
      <c r="J209" s="115"/>
      <c r="K209" s="115"/>
      <c r="L209" s="117">
        <f>Coal!K29*1000000</f>
        <v>38921458563.572197</v>
      </c>
      <c r="M209" s="117">
        <v>20000000</v>
      </c>
      <c r="N209" s="317" t="s">
        <v>36</v>
      </c>
      <c r="O209" s="117" t="str">
        <f t="shared" si="34"/>
        <v/>
      </c>
      <c r="P209" s="117">
        <f t="shared" si="35"/>
        <v>38921458563.572197</v>
      </c>
      <c r="Q209" s="115"/>
      <c r="R209" s="115"/>
      <c r="S209" s="117">
        <f t="shared" si="36"/>
        <v>38921458563.572197</v>
      </c>
      <c r="T209" s="117"/>
      <c r="U209" s="117"/>
      <c r="V209" s="115"/>
      <c r="W209" s="115"/>
      <c r="X209" s="115"/>
      <c r="Y209" s="115" t="s">
        <v>77</v>
      </c>
      <c r="Z209" s="53"/>
    </row>
    <row r="210" spans="2:26">
      <c r="B210" s="115" t="s">
        <v>498</v>
      </c>
      <c r="C210" s="115" t="s">
        <v>72</v>
      </c>
      <c r="D210" s="115" t="s">
        <v>73</v>
      </c>
      <c r="E210" s="115" t="s">
        <v>33</v>
      </c>
      <c r="F210" s="115" t="s">
        <v>74</v>
      </c>
      <c r="G210" s="115" t="s">
        <v>75</v>
      </c>
      <c r="H210" s="115" t="s">
        <v>909</v>
      </c>
      <c r="I210" s="116" t="s">
        <v>69</v>
      </c>
      <c r="J210" s="115"/>
      <c r="K210" s="115"/>
      <c r="L210" s="117">
        <f>Coal!L29*1000000</f>
        <v>32324215035.586254</v>
      </c>
      <c r="M210" s="117">
        <v>20000000</v>
      </c>
      <c r="N210" s="317" t="s">
        <v>36</v>
      </c>
      <c r="O210" s="117" t="str">
        <f t="shared" si="34"/>
        <v/>
      </c>
      <c r="P210" s="117">
        <f t="shared" si="35"/>
        <v>32324215035.586254</v>
      </c>
      <c r="Q210" s="115"/>
      <c r="R210" s="115"/>
      <c r="S210" s="117">
        <f t="shared" si="36"/>
        <v>32324215035.586254</v>
      </c>
      <c r="T210" s="117"/>
      <c r="U210" s="117"/>
      <c r="V210" s="115"/>
      <c r="W210" s="115"/>
      <c r="X210" s="115"/>
      <c r="Y210" s="115" t="s">
        <v>78</v>
      </c>
      <c r="Z210" s="53"/>
    </row>
    <row r="211" spans="2:26">
      <c r="B211" s="115" t="s">
        <v>499</v>
      </c>
      <c r="C211" s="115" t="s">
        <v>72</v>
      </c>
      <c r="D211" s="115" t="s">
        <v>73</v>
      </c>
      <c r="E211" s="115" t="s">
        <v>33</v>
      </c>
      <c r="F211" s="115" t="s">
        <v>74</v>
      </c>
      <c r="G211" s="115" t="s">
        <v>75</v>
      </c>
      <c r="H211" s="115" t="s">
        <v>909</v>
      </c>
      <c r="I211" s="116" t="s">
        <v>69</v>
      </c>
      <c r="J211" s="115"/>
      <c r="K211" s="115"/>
      <c r="L211" s="117">
        <f>Coal!L29*1000000</f>
        <v>32324215035.586254</v>
      </c>
      <c r="M211" s="117">
        <v>20000000</v>
      </c>
      <c r="N211" s="317" t="s">
        <v>36</v>
      </c>
      <c r="O211" s="117" t="str">
        <f t="shared" si="34"/>
        <v/>
      </c>
      <c r="P211" s="117">
        <f t="shared" si="35"/>
        <v>32324215035.586254</v>
      </c>
      <c r="Q211" s="115"/>
      <c r="R211" s="115"/>
      <c r="S211" s="117">
        <f t="shared" si="36"/>
        <v>32324215035.586254</v>
      </c>
      <c r="T211" s="117"/>
      <c r="U211" s="117"/>
      <c r="V211" s="115"/>
      <c r="W211" s="115"/>
      <c r="X211" s="115"/>
      <c r="Y211" s="115" t="s">
        <v>77</v>
      </c>
      <c r="Z211" s="53"/>
    </row>
    <row r="212" spans="2:26">
      <c r="B212" s="115" t="s">
        <v>500</v>
      </c>
      <c r="C212" s="115" t="s">
        <v>72</v>
      </c>
      <c r="D212" s="115" t="s">
        <v>73</v>
      </c>
      <c r="E212" s="115" t="s">
        <v>33</v>
      </c>
      <c r="F212" s="115" t="s">
        <v>74</v>
      </c>
      <c r="G212" s="115" t="s">
        <v>75</v>
      </c>
      <c r="H212" s="115" t="s">
        <v>909</v>
      </c>
      <c r="I212" s="116" t="s">
        <v>79</v>
      </c>
      <c r="J212" s="115"/>
      <c r="K212" s="115"/>
      <c r="L212" s="117">
        <f>'Oil &amp; NG'!F32</f>
        <v>5359654466169.2305</v>
      </c>
      <c r="M212" s="117">
        <v>32000000</v>
      </c>
      <c r="N212" s="317" t="s">
        <v>69</v>
      </c>
      <c r="O212" s="117" t="str">
        <f t="shared" si="34"/>
        <v/>
      </c>
      <c r="P212" s="117">
        <f t="shared" si="35"/>
        <v>5359654466169.2305</v>
      </c>
      <c r="Q212" s="115"/>
      <c r="R212" s="115"/>
      <c r="S212" s="117">
        <f t="shared" si="36"/>
        <v>5359654466169.2305</v>
      </c>
      <c r="T212" s="117"/>
      <c r="U212" s="117"/>
      <c r="V212" s="115"/>
      <c r="W212" s="115"/>
      <c r="X212" s="115"/>
      <c r="Y212" s="115"/>
      <c r="Z212" s="53"/>
    </row>
    <row r="213" spans="2:26">
      <c r="B213" s="115" t="s">
        <v>501</v>
      </c>
      <c r="C213" s="115" t="s">
        <v>72</v>
      </c>
      <c r="D213" s="115" t="s">
        <v>73</v>
      </c>
      <c r="E213" s="115" t="s">
        <v>33</v>
      </c>
      <c r="F213" s="115" t="s">
        <v>74</v>
      </c>
      <c r="G213" s="115" t="s">
        <v>75</v>
      </c>
      <c r="H213" s="115" t="s">
        <v>909</v>
      </c>
      <c r="I213" s="116" t="s">
        <v>53</v>
      </c>
      <c r="J213" s="115"/>
      <c r="K213" s="115"/>
      <c r="L213" s="117">
        <f>'Oil &amp; NG'!E32</f>
        <v>5088055688136263</v>
      </c>
      <c r="M213" s="117">
        <v>32000000</v>
      </c>
      <c r="N213" s="317" t="s">
        <v>69</v>
      </c>
      <c r="O213" s="117" t="str">
        <f t="shared" si="34"/>
        <v/>
      </c>
      <c r="P213" s="117">
        <f t="shared" si="35"/>
        <v>5088055688136263</v>
      </c>
      <c r="Q213" s="115"/>
      <c r="R213" s="115"/>
      <c r="S213" s="117">
        <f t="shared" si="36"/>
        <v>5088055688136263</v>
      </c>
      <c r="T213" s="117"/>
      <c r="U213" s="117"/>
      <c r="V213" s="115"/>
      <c r="W213" s="115"/>
      <c r="X213" s="115"/>
      <c r="Y213" s="115"/>
      <c r="Z213" s="53"/>
    </row>
    <row r="214" spans="2:26">
      <c r="B214" s="115" t="str">
        <f>CONCATENATE("Helium; {", J214, "}; ", Z214," g/g in natural gas")</f>
        <v>Helium; {He}; 0.08 g/g in natural gas</v>
      </c>
      <c r="C214" s="115" t="s">
        <v>84</v>
      </c>
      <c r="D214" s="115" t="s">
        <v>73</v>
      </c>
      <c r="E214" s="115" t="s">
        <v>33</v>
      </c>
      <c r="F214" s="115" t="s">
        <v>85</v>
      </c>
      <c r="G214" s="115" t="s">
        <v>75</v>
      </c>
      <c r="H214" s="115"/>
      <c r="I214" s="116" t="s">
        <v>36</v>
      </c>
      <c r="J214" s="115" t="s">
        <v>103</v>
      </c>
      <c r="K214" s="115"/>
      <c r="L214" s="117">
        <f>'Oil &amp; NG'!F30*1000</f>
        <v>7464230827230.4473</v>
      </c>
      <c r="M214" s="117">
        <v>32000000</v>
      </c>
      <c r="N214" s="317" t="s">
        <v>36</v>
      </c>
      <c r="O214" s="117" t="str">
        <f t="shared" si="34"/>
        <v/>
      </c>
      <c r="P214" s="117">
        <f t="shared" si="35"/>
        <v>7464230827230.4473</v>
      </c>
      <c r="Q214" s="115"/>
      <c r="R214" s="115"/>
      <c r="S214" s="117">
        <f t="shared" si="36"/>
        <v>7464230827230.4473</v>
      </c>
      <c r="T214" s="117"/>
      <c r="U214" s="117"/>
      <c r="V214" s="115"/>
      <c r="W214" s="115"/>
      <c r="X214" s="115"/>
      <c r="Y214" s="115"/>
      <c r="Z214" s="53">
        <v>0.08</v>
      </c>
    </row>
    <row r="215" spans="2:26" ht="27" customHeight="1">
      <c r="B215" s="293" t="s">
        <v>1444</v>
      </c>
      <c r="M215" s="15"/>
      <c r="O215" s="3"/>
      <c r="P215" s="3"/>
      <c r="X215" s="3"/>
      <c r="Z215" s="260"/>
    </row>
    <row r="216" spans="2:26" ht="16.5">
      <c r="B216" s="107" t="s">
        <v>384</v>
      </c>
      <c r="C216" s="107" t="s">
        <v>84</v>
      </c>
      <c r="D216" s="107" t="s">
        <v>73</v>
      </c>
      <c r="E216" s="107" t="s">
        <v>33</v>
      </c>
      <c r="F216" s="107" t="s">
        <v>85</v>
      </c>
      <c r="G216" s="107" t="s">
        <v>1447</v>
      </c>
      <c r="H216" s="107" t="s">
        <v>1448</v>
      </c>
      <c r="I216" s="108" t="s">
        <v>69</v>
      </c>
      <c r="J216" s="107" t="s">
        <v>1449</v>
      </c>
      <c r="K216" s="107"/>
      <c r="L216" s="109">
        <v>8200000000</v>
      </c>
      <c r="M216" s="109">
        <v>2500000000</v>
      </c>
      <c r="N216" s="309"/>
      <c r="O216" s="109"/>
      <c r="P216" s="109">
        <f>L216</f>
        <v>8200000000</v>
      </c>
      <c r="Q216" s="107"/>
      <c r="R216" s="107"/>
      <c r="S216" s="107"/>
      <c r="T216" s="107"/>
      <c r="U216" s="107"/>
      <c r="V216" s="107"/>
      <c r="W216" s="107"/>
      <c r="X216" s="109"/>
      <c r="Y216" s="107"/>
      <c r="Z216" s="294"/>
    </row>
    <row r="217" spans="2:26" ht="16.5">
      <c r="B217" s="107" t="s">
        <v>410</v>
      </c>
      <c r="C217" s="107" t="s">
        <v>84</v>
      </c>
      <c r="D217" s="107" t="s">
        <v>73</v>
      </c>
      <c r="E217" s="107" t="s">
        <v>33</v>
      </c>
      <c r="F217" s="107" t="s">
        <v>85</v>
      </c>
      <c r="G217" s="107" t="s">
        <v>1447</v>
      </c>
      <c r="H217" s="107" t="s">
        <v>1448</v>
      </c>
      <c r="I217" s="108" t="s">
        <v>69</v>
      </c>
      <c r="J217" s="107" t="s">
        <v>1450</v>
      </c>
      <c r="K217" s="107"/>
      <c r="L217" s="109">
        <v>4200000000</v>
      </c>
      <c r="M217" s="109">
        <v>2500000000</v>
      </c>
      <c r="N217" s="309"/>
      <c r="O217" s="109"/>
      <c r="P217" s="109">
        <f>L217</f>
        <v>4200000000</v>
      </c>
      <c r="Q217" s="107"/>
      <c r="R217" s="107"/>
      <c r="S217" s="107"/>
      <c r="T217" s="107"/>
      <c r="U217" s="107"/>
      <c r="V217" s="107"/>
      <c r="W217" s="107"/>
      <c r="X217" s="109"/>
      <c r="Y217" s="107"/>
      <c r="Z217" s="294"/>
    </row>
    <row r="218" spans="2:26" ht="16.5">
      <c r="B218" s="107" t="s">
        <v>1445</v>
      </c>
      <c r="C218" s="107" t="s">
        <v>84</v>
      </c>
      <c r="D218" s="107" t="s">
        <v>73</v>
      </c>
      <c r="E218" s="107" t="s">
        <v>33</v>
      </c>
      <c r="F218" s="107" t="s">
        <v>85</v>
      </c>
      <c r="G218" s="107" t="s">
        <v>1447</v>
      </c>
      <c r="H218" s="107" t="s">
        <v>1448</v>
      </c>
      <c r="I218" s="108" t="s">
        <v>69</v>
      </c>
      <c r="J218" s="107" t="s">
        <v>1451</v>
      </c>
      <c r="K218" s="107"/>
      <c r="L218" s="109">
        <v>3900000000</v>
      </c>
      <c r="M218" s="109">
        <v>2500000000</v>
      </c>
      <c r="N218" s="309"/>
      <c r="O218" s="109"/>
      <c r="P218" s="109">
        <f>L218</f>
        <v>3900000000</v>
      </c>
      <c r="Q218" s="107"/>
      <c r="R218" s="107"/>
      <c r="S218" s="107"/>
      <c r="T218" s="107"/>
      <c r="U218" s="107"/>
      <c r="V218" s="107"/>
      <c r="W218" s="107"/>
      <c r="X218" s="109"/>
      <c r="Y218" s="107"/>
      <c r="Z218" s="294"/>
    </row>
    <row r="219" spans="2:26" ht="16.5">
      <c r="B219" s="107" t="s">
        <v>1446</v>
      </c>
      <c r="C219" s="107" t="s">
        <v>84</v>
      </c>
      <c r="D219" s="107" t="s">
        <v>73</v>
      </c>
      <c r="E219" s="107" t="s">
        <v>33</v>
      </c>
      <c r="F219" s="107" t="s">
        <v>85</v>
      </c>
      <c r="G219" s="107" t="s">
        <v>1447</v>
      </c>
      <c r="H219" s="107" t="s">
        <v>1448</v>
      </c>
      <c r="I219" s="108" t="s">
        <v>69</v>
      </c>
      <c r="J219" s="107" t="s">
        <v>1452</v>
      </c>
      <c r="K219" s="107"/>
      <c r="L219" s="109">
        <v>3700000000</v>
      </c>
      <c r="M219" s="109">
        <v>2500000000</v>
      </c>
      <c r="N219" s="309"/>
      <c r="O219" s="109"/>
      <c r="P219" s="109">
        <f>L219</f>
        <v>3700000000</v>
      </c>
      <c r="Q219" s="107"/>
      <c r="R219" s="107"/>
      <c r="S219" s="107"/>
      <c r="T219" s="107"/>
      <c r="U219" s="107"/>
      <c r="V219" s="107"/>
      <c r="W219" s="107"/>
      <c r="X219" s="109"/>
      <c r="Y219" s="107"/>
      <c r="Z219" s="294"/>
    </row>
  </sheetData>
  <autoFilter ref="B1:Z268" xr:uid="{00000000-0009-0000-0000-000002000000}"/>
  <phoneticPr fontId="45" type="noConversion"/>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0">
    <tabColor theme="8" tint="0.39997558519241921"/>
  </sheetPr>
  <dimension ref="A2:AO104"/>
  <sheetViews>
    <sheetView zoomScale="95" zoomScaleNormal="95" workbookViewId="0">
      <selection activeCell="H102" sqref="H102"/>
    </sheetView>
  </sheetViews>
  <sheetFormatPr defaultColWidth="8.81640625" defaultRowHeight="14"/>
  <cols>
    <col min="1" max="1" width="24.6328125" style="10" customWidth="1"/>
    <col min="2" max="2" width="19.6328125" style="10" customWidth="1"/>
    <col min="3" max="3" width="6.81640625" style="10" bestFit="1" customWidth="1"/>
    <col min="4" max="4" width="12.1796875" style="10" bestFit="1" customWidth="1"/>
    <col min="5" max="5" width="8.81640625" style="10"/>
    <col min="6" max="6" width="12.1796875" style="10" bestFit="1" customWidth="1"/>
    <col min="7" max="7" width="19" style="10" customWidth="1"/>
    <col min="8" max="8" width="10.1796875" style="10" customWidth="1"/>
    <col min="9" max="9" width="15" style="10" customWidth="1"/>
    <col min="10" max="10" width="11.453125" style="10" customWidth="1"/>
    <col min="11" max="11" width="10.36328125" style="10" customWidth="1"/>
    <col min="12" max="12" width="8.81640625" style="10"/>
    <col min="13" max="13" width="10" style="10" customWidth="1"/>
    <col min="14" max="18" width="8.81640625" style="10"/>
    <col min="19" max="19" width="10.453125" style="10" customWidth="1"/>
    <col min="20" max="28" width="8.81640625" style="10"/>
    <col min="29" max="29" width="14.1796875" style="10" customWidth="1"/>
    <col min="30" max="38" width="8.81640625" style="10"/>
    <col min="39" max="39" width="13.1796875" style="10" customWidth="1"/>
    <col min="40" max="16384" width="8.81640625" style="10"/>
  </cols>
  <sheetData>
    <row r="2" spans="1:8">
      <c r="A2" s="769"/>
    </row>
    <row r="3" spans="1:8">
      <c r="A3" s="769"/>
    </row>
    <row r="4" spans="1:8" ht="15">
      <c r="B4" s="823" t="s">
        <v>1266</v>
      </c>
      <c r="C4" s="823"/>
      <c r="D4" s="327" t="s">
        <v>1566</v>
      </c>
    </row>
    <row r="5" spans="1:8">
      <c r="B5" s="787">
        <v>155.19999999999999</v>
      </c>
      <c r="C5" s="787" t="s">
        <v>993</v>
      </c>
      <c r="D5" s="787" t="s">
        <v>1512</v>
      </c>
    </row>
    <row r="6" spans="1:8">
      <c r="B6" s="788">
        <v>1.2E+25</v>
      </c>
      <c r="C6" s="787" t="s">
        <v>10</v>
      </c>
      <c r="D6" s="787" t="s">
        <v>1476</v>
      </c>
    </row>
    <row r="7" spans="1:8">
      <c r="B7" s="78">
        <v>1</v>
      </c>
      <c r="C7" s="787" t="s">
        <v>1</v>
      </c>
      <c r="D7" s="789" t="s">
        <v>1513</v>
      </c>
    </row>
    <row r="8" spans="1:8">
      <c r="B8" s="78">
        <v>4900</v>
      </c>
      <c r="C8" s="787" t="s">
        <v>1</v>
      </c>
      <c r="D8" s="789" t="s">
        <v>1514</v>
      </c>
    </row>
    <row r="9" spans="1:8">
      <c r="B9" s="78">
        <v>30900</v>
      </c>
      <c r="C9" s="787" t="s">
        <v>1</v>
      </c>
      <c r="D9" s="789" t="s">
        <v>1515</v>
      </c>
    </row>
    <row r="10" spans="1:8" ht="14.5">
      <c r="B10" s="790">
        <f>AVERAGE(3.6E+24,3.85E+24)</f>
        <v>3.725E+24</v>
      </c>
      <c r="C10" s="786" t="s">
        <v>1501</v>
      </c>
      <c r="D10" s="787" t="s">
        <v>1502</v>
      </c>
      <c r="H10" s="82"/>
    </row>
    <row r="11" spans="1:8" ht="14.5">
      <c r="B11" s="790">
        <v>9.515E+20</v>
      </c>
      <c r="C11" s="786" t="s">
        <v>1501</v>
      </c>
      <c r="D11" s="787" t="s">
        <v>1503</v>
      </c>
      <c r="H11" s="11"/>
    </row>
    <row r="12" spans="1:8" ht="14.5">
      <c r="B12" s="786">
        <v>1.17E+20</v>
      </c>
      <c r="C12" s="786" t="s">
        <v>1501</v>
      </c>
      <c r="D12" s="787" t="s">
        <v>1580</v>
      </c>
      <c r="H12" s="343"/>
    </row>
    <row r="13" spans="1:8" ht="14.5">
      <c r="B13" s="790">
        <f>B10*B7</f>
        <v>3.725E+24</v>
      </c>
      <c r="C13" s="791" t="s">
        <v>1439</v>
      </c>
      <c r="D13" s="787" t="s">
        <v>1516</v>
      </c>
    </row>
    <row r="14" spans="1:8" ht="14.5">
      <c r="B14" s="790">
        <f>B11*B8</f>
        <v>4.6623500000000003E+24</v>
      </c>
      <c r="C14" s="791" t="s">
        <v>1439</v>
      </c>
      <c r="D14" s="787" t="s">
        <v>1517</v>
      </c>
    </row>
    <row r="15" spans="1:8" ht="14.5">
      <c r="B15" s="790">
        <f>B12*B9</f>
        <v>3.6153E+24</v>
      </c>
      <c r="C15" s="786" t="s">
        <v>1439</v>
      </c>
      <c r="D15" s="787" t="s">
        <v>1518</v>
      </c>
    </row>
    <row r="16" spans="1:8">
      <c r="B16" s="78">
        <v>100</v>
      </c>
      <c r="C16" s="787" t="s">
        <v>966</v>
      </c>
      <c r="D16" s="789" t="s">
        <v>1519</v>
      </c>
    </row>
    <row r="17" spans="1:41">
      <c r="B17" s="792">
        <f>273.15+14.1</f>
        <v>287.25</v>
      </c>
      <c r="C17" s="787" t="s">
        <v>299</v>
      </c>
      <c r="D17" s="787" t="s">
        <v>1154</v>
      </c>
    </row>
    <row r="18" spans="1:41">
      <c r="B18" s="788">
        <v>510000000</v>
      </c>
      <c r="C18" s="787" t="s">
        <v>1145</v>
      </c>
      <c r="D18" s="793" t="s">
        <v>1262</v>
      </c>
      <c r="I18" s="11"/>
    </row>
    <row r="19" spans="1:41">
      <c r="A19" s="345"/>
      <c r="B19" s="788">
        <v>362000000</v>
      </c>
      <c r="C19" s="787" t="s">
        <v>1145</v>
      </c>
      <c r="D19" s="787" t="s">
        <v>1261</v>
      </c>
    </row>
    <row r="20" spans="1:41">
      <c r="B20" s="788">
        <f>B18-B19</f>
        <v>148000000</v>
      </c>
      <c r="C20" s="787" t="s">
        <v>1145</v>
      </c>
      <c r="D20" s="787" t="s">
        <v>1263</v>
      </c>
    </row>
    <row r="21" spans="1:41">
      <c r="B21" s="792">
        <v>9.81</v>
      </c>
      <c r="C21" s="787" t="s">
        <v>1158</v>
      </c>
      <c r="D21" s="787" t="s">
        <v>1159</v>
      </c>
    </row>
    <row r="22" spans="1:41">
      <c r="B22" s="788">
        <f>60*60*24*365.25</f>
        <v>31557600</v>
      </c>
      <c r="C22" s="787" t="s">
        <v>959</v>
      </c>
      <c r="D22" s="793" t="s">
        <v>1264</v>
      </c>
      <c r="M22" s="11"/>
      <c r="S22" s="11"/>
      <c r="U22" s="291"/>
      <c r="AC22" s="11"/>
      <c r="AE22" s="291"/>
      <c r="AM22" s="11"/>
      <c r="AO22" s="291"/>
    </row>
    <row r="23" spans="1:41" ht="14.5">
      <c r="B23" s="786">
        <v>155.19999999999999</v>
      </c>
      <c r="C23" s="791" t="s">
        <v>993</v>
      </c>
      <c r="D23" s="791" t="s">
        <v>1953</v>
      </c>
      <c r="M23" s="11"/>
      <c r="S23" s="11"/>
      <c r="U23" s="291"/>
      <c r="AC23" s="11"/>
      <c r="AE23" s="291"/>
      <c r="AM23" s="11"/>
      <c r="AO23" s="291"/>
    </row>
    <row r="24" spans="1:41" ht="14.5">
      <c r="B24" s="786">
        <f>crust_mass</f>
        <v>2.17E+25</v>
      </c>
      <c r="C24" s="791" t="s">
        <v>993</v>
      </c>
      <c r="D24" s="791" t="s">
        <v>1954</v>
      </c>
      <c r="M24" s="11"/>
      <c r="S24" s="11"/>
      <c r="U24" s="291"/>
      <c r="AC24" s="11"/>
      <c r="AE24" s="291"/>
      <c r="AM24" s="11"/>
      <c r="AO24" s="291"/>
    </row>
    <row r="25" spans="1:41" ht="14.5">
      <c r="B25" s="790">
        <f>ave_crust_specific_emergy</f>
        <v>1382488479.2626727</v>
      </c>
      <c r="C25" s="791" t="s">
        <v>0</v>
      </c>
      <c r="D25" s="791" t="s">
        <v>1955</v>
      </c>
      <c r="M25" s="11"/>
      <c r="S25" s="11"/>
      <c r="U25" s="291"/>
      <c r="AC25" s="11"/>
      <c r="AE25" s="291"/>
      <c r="AM25" s="11"/>
      <c r="AO25" s="291"/>
    </row>
    <row r="26" spans="1:41" ht="14.5">
      <c r="B26" s="790">
        <v>1.29E+18</v>
      </c>
      <c r="C26" s="786" t="s">
        <v>53</v>
      </c>
      <c r="D26" s="786" t="s">
        <v>1777</v>
      </c>
      <c r="M26" s="11"/>
      <c r="S26" s="11"/>
      <c r="U26" s="291"/>
      <c r="AC26" s="11"/>
      <c r="AE26" s="291"/>
      <c r="AM26" s="11"/>
      <c r="AO26" s="291"/>
    </row>
    <row r="27" spans="1:41" ht="14.5">
      <c r="B27" s="786">
        <f>28.97</f>
        <v>28.97</v>
      </c>
      <c r="C27" s="791" t="s">
        <v>993</v>
      </c>
      <c r="D27" s="786" t="s">
        <v>1956</v>
      </c>
      <c r="M27" s="11"/>
      <c r="S27" s="11"/>
      <c r="U27" s="291"/>
      <c r="AC27" s="11"/>
      <c r="AE27" s="291"/>
      <c r="AM27" s="11"/>
      <c r="AO27" s="291"/>
    </row>
    <row r="28" spans="1:41">
      <c r="B28" s="788"/>
      <c r="C28" s="787"/>
      <c r="D28" s="793"/>
      <c r="M28" s="11"/>
      <c r="S28" s="11"/>
      <c r="U28" s="291"/>
      <c r="AC28" s="11"/>
      <c r="AE28" s="291"/>
      <c r="AM28" s="11"/>
      <c r="AO28" s="291"/>
    </row>
    <row r="29" spans="1:41">
      <c r="B29" s="788"/>
      <c r="C29" s="787"/>
      <c r="D29" s="793"/>
      <c r="M29" s="11"/>
      <c r="S29" s="11"/>
      <c r="U29" s="291"/>
      <c r="AC29" s="11"/>
      <c r="AE29" s="291"/>
      <c r="AM29" s="11"/>
      <c r="AO29" s="291"/>
    </row>
    <row r="30" spans="1:41">
      <c r="B30" s="788"/>
      <c r="C30" s="787"/>
      <c r="D30" s="793"/>
      <c r="M30" s="11"/>
      <c r="S30" s="11"/>
      <c r="U30" s="291"/>
      <c r="AC30" s="11"/>
      <c r="AE30" s="291"/>
      <c r="AM30" s="11"/>
      <c r="AO30" s="291"/>
    </row>
    <row r="31" spans="1:41">
      <c r="B31" s="788"/>
      <c r="C31" s="787"/>
      <c r="D31" s="793"/>
      <c r="M31" s="11"/>
      <c r="S31" s="11"/>
      <c r="U31" s="291"/>
      <c r="AC31" s="11"/>
      <c r="AE31" s="291"/>
      <c r="AM31" s="11"/>
      <c r="AO31" s="291"/>
    </row>
    <row r="32" spans="1:41" ht="15">
      <c r="B32" s="827" t="s">
        <v>1146</v>
      </c>
      <c r="C32" s="827"/>
      <c r="D32" s="794" t="s">
        <v>1564</v>
      </c>
      <c r="M32" s="328"/>
      <c r="S32" s="330"/>
      <c r="T32" s="330"/>
      <c r="AC32" s="329"/>
      <c r="AD32" s="329"/>
      <c r="AM32" s="334"/>
      <c r="AN32" s="334"/>
    </row>
    <row r="33" spans="2:40" ht="15">
      <c r="B33" s="787">
        <f>GEB</f>
        <v>1.2E+25</v>
      </c>
      <c r="C33" s="787" t="s">
        <v>10</v>
      </c>
      <c r="D33" s="793" t="s">
        <v>1827</v>
      </c>
      <c r="M33" s="328"/>
      <c r="S33" s="330"/>
      <c r="T33" s="330"/>
      <c r="AC33" s="329"/>
      <c r="AD33" s="329"/>
      <c r="AM33" s="334"/>
      <c r="AN33" s="334"/>
    </row>
    <row r="34" spans="2:40" ht="15">
      <c r="B34" s="788">
        <f>'Land, Biomass &amp; Soil'!G33</f>
        <v>1.2525897919003407E+22</v>
      </c>
      <c r="C34" s="787" t="s">
        <v>13</v>
      </c>
      <c r="D34" s="793" t="s">
        <v>1831</v>
      </c>
      <c r="M34" s="328"/>
      <c r="S34" s="330"/>
      <c r="T34" s="330"/>
      <c r="AC34" s="329"/>
      <c r="AD34" s="329"/>
      <c r="AM34" s="334"/>
      <c r="AN34" s="334"/>
    </row>
    <row r="35" spans="2:40" ht="15">
      <c r="B35" s="788">
        <f>'Land, Biomass &amp; Soil'!G35+'Land, Biomass &amp; Soil'!G36</f>
        <v>1.0551025157921344E+22</v>
      </c>
      <c r="C35" s="787" t="s">
        <v>13</v>
      </c>
      <c r="D35" s="793" t="s">
        <v>1829</v>
      </c>
      <c r="M35" s="328"/>
      <c r="S35" s="330"/>
      <c r="T35" s="330"/>
      <c r="AC35" s="329"/>
      <c r="AD35" s="329"/>
      <c r="AM35" s="334"/>
      <c r="AN35" s="334"/>
    </row>
    <row r="36" spans="2:40" ht="15">
      <c r="B36" s="788">
        <f>B34+B35</f>
        <v>2.3076923076924752E+22</v>
      </c>
      <c r="C36" s="787" t="s">
        <v>13</v>
      </c>
      <c r="D36" s="793" t="s">
        <v>1830</v>
      </c>
      <c r="M36" s="328"/>
      <c r="S36" s="330"/>
      <c r="T36" s="330"/>
      <c r="AC36" s="329"/>
      <c r="AD36" s="329"/>
      <c r="AM36" s="334"/>
      <c r="AN36" s="334"/>
    </row>
    <row r="37" spans="2:40" ht="15">
      <c r="B37" s="788">
        <f>B33/B36</f>
        <v>519.99999999996226</v>
      </c>
      <c r="C37" s="787" t="s">
        <v>1</v>
      </c>
      <c r="D37" s="793" t="s">
        <v>1828</v>
      </c>
      <c r="M37" s="328"/>
      <c r="S37" s="330"/>
      <c r="T37" s="330"/>
      <c r="AC37" s="329"/>
      <c r="AD37" s="329"/>
      <c r="AM37" s="334"/>
      <c r="AN37" s="334"/>
    </row>
    <row r="38" spans="2:40" ht="15">
      <c r="B38" s="787"/>
      <c r="C38" s="787"/>
      <c r="D38" s="793"/>
      <c r="M38" s="328"/>
      <c r="S38" s="330"/>
      <c r="T38" s="330"/>
      <c r="AC38" s="329"/>
      <c r="AD38" s="329"/>
      <c r="AM38" s="334"/>
      <c r="AN38" s="334"/>
    </row>
    <row r="39" spans="2:40" ht="32" customHeight="1">
      <c r="B39" s="827" t="s">
        <v>1937</v>
      </c>
      <c r="C39" s="827"/>
      <c r="D39" s="827"/>
      <c r="E39" s="120" t="s">
        <v>1565</v>
      </c>
      <c r="F39" s="120"/>
      <c r="I39" s="329"/>
    </row>
    <row r="40" spans="2:40" ht="14.5">
      <c r="B40" s="788">
        <f>B35</f>
        <v>1.0551025157921344E+22</v>
      </c>
      <c r="C40" s="787" t="s">
        <v>13</v>
      </c>
      <c r="D40" s="787" t="s">
        <v>1258</v>
      </c>
      <c r="L40"/>
      <c r="M40"/>
    </row>
    <row r="41" spans="2:40" ht="14.5">
      <c r="B41" s="788">
        <f>B40*wind_tr</f>
        <v>5.4865330821187008E+24</v>
      </c>
      <c r="C41" s="787" t="s">
        <v>10</v>
      </c>
      <c r="D41" s="787" t="s">
        <v>1153</v>
      </c>
      <c r="L41"/>
      <c r="M41"/>
    </row>
    <row r="42" spans="2:40">
      <c r="B42" s="788">
        <f>68000000000000</f>
        <v>68000000000000</v>
      </c>
      <c r="C42" s="787" t="s">
        <v>1152</v>
      </c>
      <c r="D42" s="787" t="s">
        <v>1550</v>
      </c>
    </row>
    <row r="43" spans="2:40" ht="14.5">
      <c r="B43" s="788">
        <f>B22*B42</f>
        <v>2.1459168E+21</v>
      </c>
      <c r="C43" s="787" t="s">
        <v>13</v>
      </c>
      <c r="D43" s="787" t="s">
        <v>431</v>
      </c>
      <c r="F43" s="11"/>
      <c r="L43"/>
      <c r="M43"/>
    </row>
    <row r="44" spans="2:40">
      <c r="B44" s="795">
        <f>B43/B40</f>
        <v>0.20338467285227918</v>
      </c>
      <c r="C44" s="787" t="s">
        <v>1599</v>
      </c>
      <c r="D44" s="787" t="s">
        <v>1598</v>
      </c>
    </row>
    <row r="45" spans="2:40" ht="14.5">
      <c r="B45" s="788">
        <f>wind_tr</f>
        <v>519.99999999996226</v>
      </c>
      <c r="C45" s="787" t="s">
        <v>1</v>
      </c>
      <c r="D45" s="787" t="s">
        <v>1146</v>
      </c>
      <c r="L45"/>
      <c r="M45"/>
    </row>
    <row r="46" spans="2:40" ht="14.5">
      <c r="B46" s="788">
        <f>ROUND(B41/B43,-2)</f>
        <v>2600</v>
      </c>
      <c r="C46" s="787" t="s">
        <v>1</v>
      </c>
      <c r="D46" s="787" t="s">
        <v>1549</v>
      </c>
      <c r="L46"/>
      <c r="M46"/>
    </row>
    <row r="47" spans="2:40" ht="14.5">
      <c r="B47" s="788">
        <v>2400000000000</v>
      </c>
      <c r="C47" s="787" t="s">
        <v>1152</v>
      </c>
      <c r="D47" s="787" t="s">
        <v>1588</v>
      </c>
      <c r="L47"/>
      <c r="M47"/>
    </row>
    <row r="48" spans="2:40" ht="14.5">
      <c r="B48" s="788">
        <f>B47*B22</f>
        <v>7.573824E+19</v>
      </c>
      <c r="C48" s="787" t="s">
        <v>13</v>
      </c>
      <c r="D48" s="787" t="s">
        <v>1552</v>
      </c>
      <c r="L48"/>
      <c r="M48"/>
    </row>
    <row r="49" spans="1:13">
      <c r="B49" s="788">
        <f>ROUND((B41/B48),-2)</f>
        <v>72400</v>
      </c>
      <c r="C49" s="787" t="s">
        <v>1</v>
      </c>
      <c r="D49" s="787" t="s">
        <v>1551</v>
      </c>
      <c r="E49" s="11"/>
    </row>
    <row r="50" spans="1:13">
      <c r="B50" s="796"/>
      <c r="C50" s="787"/>
      <c r="D50" s="787"/>
      <c r="E50" s="11"/>
    </row>
    <row r="51" spans="1:13" ht="15">
      <c r="B51" s="826" t="s">
        <v>1259</v>
      </c>
      <c r="C51" s="826"/>
      <c r="D51" s="826"/>
      <c r="E51" s="120" t="s">
        <v>1564</v>
      </c>
      <c r="F51" s="120"/>
      <c r="I51" s="331"/>
    </row>
    <row r="52" spans="1:13">
      <c r="A52" s="11"/>
      <c r="B52" s="788">
        <f>Water!N21</f>
        <v>22500</v>
      </c>
      <c r="C52" s="787" t="s">
        <v>1</v>
      </c>
      <c r="D52" s="787" t="s">
        <v>1869</v>
      </c>
    </row>
    <row r="53" spans="1:13">
      <c r="B53" s="788">
        <f>Water!N22</f>
        <v>6000</v>
      </c>
      <c r="C53" s="787" t="s">
        <v>1</v>
      </c>
      <c r="D53" s="787" t="s">
        <v>1870</v>
      </c>
    </row>
    <row r="54" spans="1:13">
      <c r="B54" s="787"/>
      <c r="C54" s="787"/>
      <c r="D54" s="787"/>
    </row>
    <row r="55" spans="1:13" ht="13.75" customHeight="1">
      <c r="B55" s="797" t="s">
        <v>1879</v>
      </c>
      <c r="C55" s="797"/>
      <c r="D55" s="797"/>
      <c r="E55" s="120"/>
      <c r="F55" s="120" t="s">
        <v>1565</v>
      </c>
      <c r="K55" s="333"/>
      <c r="L55" s="334"/>
      <c r="M55" s="334"/>
    </row>
    <row r="56" spans="1:13">
      <c r="B56" s="787">
        <v>2.09</v>
      </c>
      <c r="C56" s="787" t="s">
        <v>961</v>
      </c>
      <c r="D56" s="787" t="s">
        <v>1868</v>
      </c>
    </row>
    <row r="57" spans="1:13">
      <c r="B57" s="788">
        <f>land_surface_area*1000*1000</f>
        <v>148000000000000</v>
      </c>
      <c r="C57" s="787" t="s">
        <v>989</v>
      </c>
      <c r="D57" s="787" t="s">
        <v>1263</v>
      </c>
      <c r="K57" s="11"/>
    </row>
    <row r="58" spans="1:13">
      <c r="B58" s="788">
        <f>1000000*(B56/1000)*B57*365.25</f>
        <v>1.1297912999999999E+20</v>
      </c>
      <c r="C58" s="787" t="s">
        <v>12</v>
      </c>
      <c r="D58" s="787" t="s">
        <v>1141</v>
      </c>
      <c r="K58" s="11"/>
    </row>
    <row r="59" spans="1:13">
      <c r="B59" s="798">
        <v>10</v>
      </c>
      <c r="C59" s="787" t="s">
        <v>1164</v>
      </c>
      <c r="D59" s="787" t="s">
        <v>1950</v>
      </c>
      <c r="K59" s="11"/>
    </row>
    <row r="60" spans="1:13">
      <c r="A60" s="757"/>
      <c r="B60" s="798">
        <v>100</v>
      </c>
      <c r="C60" s="787" t="s">
        <v>1164</v>
      </c>
      <c r="D60" s="787" t="s">
        <v>1585</v>
      </c>
      <c r="K60" s="11"/>
    </row>
    <row r="61" spans="1:13">
      <c r="B61" s="788">
        <v>35000</v>
      </c>
      <c r="C61" s="787" t="s">
        <v>1164</v>
      </c>
      <c r="D61" s="787" t="s">
        <v>1581</v>
      </c>
      <c r="K61" s="11"/>
    </row>
    <row r="62" spans="1:13" ht="14.5">
      <c r="B62" s="799">
        <f>(-8.314*287.25*LN((1000000-B61)/(1000000-B59))/18.01)</f>
        <v>4.7229771720067255</v>
      </c>
      <c r="C62" s="787" t="s">
        <v>905</v>
      </c>
      <c r="D62" s="787" t="s">
        <v>1871</v>
      </c>
      <c r="K62" s="11"/>
    </row>
    <row r="63" spans="1:13">
      <c r="B63" s="788">
        <f>B62*B58</f>
        <v>5.3359785190318014E+20</v>
      </c>
      <c r="C63" s="787" t="s">
        <v>13</v>
      </c>
      <c r="D63" s="787" t="s">
        <v>1157</v>
      </c>
      <c r="K63" s="11"/>
    </row>
    <row r="64" spans="1:13">
      <c r="B64" s="788">
        <f>B63*rain_land_tr</f>
        <v>1.2005951667821554E+25</v>
      </c>
      <c r="C64" s="787" t="s">
        <v>1586</v>
      </c>
      <c r="D64" s="787" t="s">
        <v>1582</v>
      </c>
      <c r="K64" s="11"/>
    </row>
    <row r="65" spans="1:17">
      <c r="B65" s="788">
        <v>37288</v>
      </c>
      <c r="C65" s="787" t="s">
        <v>15</v>
      </c>
      <c r="D65" s="787" t="s">
        <v>1583</v>
      </c>
    </row>
    <row r="66" spans="1:17">
      <c r="A66" s="11"/>
      <c r="B66" s="788">
        <f>B65*1000000000*1000</f>
        <v>3.7288E+16</v>
      </c>
      <c r="C66" s="787" t="s">
        <v>947</v>
      </c>
      <c r="D66" s="787" t="s">
        <v>1583</v>
      </c>
      <c r="K66" s="11"/>
    </row>
    <row r="67" spans="1:17">
      <c r="A67" s="11"/>
      <c r="B67" s="787">
        <v>797</v>
      </c>
      <c r="C67" s="787" t="s">
        <v>432</v>
      </c>
      <c r="D67" s="787" t="s">
        <v>1147</v>
      </c>
    </row>
    <row r="68" spans="1:17">
      <c r="B68" s="800">
        <f>B66*gravity*B67</f>
        <v>2.9153883815999999E+20</v>
      </c>
      <c r="C68" s="787" t="s">
        <v>13</v>
      </c>
      <c r="D68" s="787" t="s">
        <v>1148</v>
      </c>
      <c r="K68" s="335"/>
    </row>
    <row r="69" spans="1:17">
      <c r="B69" s="788">
        <f>ROUND(B64/B68,-1)</f>
        <v>41180</v>
      </c>
      <c r="C69" s="787" t="s">
        <v>1</v>
      </c>
      <c r="D69" s="787" t="s">
        <v>1149</v>
      </c>
      <c r="K69" s="336"/>
    </row>
    <row r="70" spans="1:17">
      <c r="B70" s="788">
        <f>B64/B66/1000</f>
        <v>321978.9655605437</v>
      </c>
      <c r="C70" s="789" t="s">
        <v>0</v>
      </c>
      <c r="D70" s="79" t="s">
        <v>1150</v>
      </c>
      <c r="K70" s="337"/>
      <c r="L70" s="77"/>
      <c r="M70" s="338"/>
    </row>
    <row r="71" spans="1:17">
      <c r="B71" s="689"/>
      <c r="C71" s="789"/>
      <c r="D71" s="79"/>
      <c r="K71" s="337"/>
      <c r="L71" s="77"/>
      <c r="M71" s="338"/>
    </row>
    <row r="72" spans="1:17" ht="15">
      <c r="B72" s="797" t="s">
        <v>1878</v>
      </c>
      <c r="C72" s="801"/>
      <c r="D72" s="751"/>
      <c r="E72" s="120"/>
      <c r="F72" s="120"/>
      <c r="K72" s="337"/>
      <c r="L72" s="77"/>
      <c r="M72" s="338"/>
    </row>
    <row r="73" spans="1:17">
      <c r="B73" s="792">
        <f>gas_constant*Surface_Temperature*LN((1000000-B60)/(1000000-B61))/18.01</f>
        <v>4.711042163268921</v>
      </c>
      <c r="C73" s="787" t="s">
        <v>905</v>
      </c>
      <c r="D73" s="787" t="s">
        <v>1165</v>
      </c>
      <c r="K73" s="337"/>
      <c r="L73" s="77"/>
      <c r="M73" s="338"/>
    </row>
    <row r="74" spans="1:17">
      <c r="B74" s="802">
        <f>B73*B66*1000</f>
        <v>1.7566534018397153E+20</v>
      </c>
      <c r="C74" s="789" t="s">
        <v>13</v>
      </c>
      <c r="D74" s="79" t="s">
        <v>1587</v>
      </c>
      <c r="K74" s="339"/>
      <c r="L74" s="77"/>
      <c r="M74" s="338"/>
    </row>
    <row r="75" spans="1:17">
      <c r="B75" s="800">
        <f>ROUND(B64/B74,-2)</f>
        <v>68300</v>
      </c>
      <c r="C75" s="787" t="s">
        <v>1</v>
      </c>
      <c r="D75" s="787" t="s">
        <v>1151</v>
      </c>
      <c r="K75" s="337"/>
    </row>
    <row r="76" spans="1:17" ht="15.75" customHeight="1">
      <c r="B76" s="78"/>
      <c r="C76" s="787"/>
      <c r="D76" s="803"/>
    </row>
    <row r="77" spans="1:17" ht="15" customHeight="1">
      <c r="B77" s="824" t="s">
        <v>1553</v>
      </c>
      <c r="C77" s="824"/>
      <c r="D77" s="824"/>
      <c r="E77" s="120" t="s">
        <v>1565</v>
      </c>
      <c r="F77" s="120"/>
      <c r="O77" s="825"/>
      <c r="P77" s="825"/>
      <c r="Q77" s="825"/>
    </row>
    <row r="78" spans="1:17">
      <c r="B78" s="804">
        <v>3</v>
      </c>
      <c r="C78" s="789" t="s">
        <v>1155</v>
      </c>
      <c r="D78" s="805" t="s">
        <v>1882</v>
      </c>
      <c r="O78" s="81"/>
      <c r="P78" s="77"/>
      <c r="Q78" s="341"/>
    </row>
    <row r="79" spans="1:17">
      <c r="B79" s="806">
        <f>B78*1000000000000*B22</f>
        <v>9.46728E+19</v>
      </c>
      <c r="C79" s="789" t="s">
        <v>13</v>
      </c>
      <c r="D79" s="805" t="s">
        <v>1882</v>
      </c>
      <c r="O79" s="81"/>
      <c r="P79" s="77"/>
      <c r="Q79" s="142"/>
    </row>
    <row r="80" spans="1:17">
      <c r="B80" s="806">
        <f>B41</f>
        <v>5.4865330821187008E+24</v>
      </c>
      <c r="C80" s="789" t="s">
        <v>10</v>
      </c>
      <c r="D80" s="807" t="s">
        <v>1712</v>
      </c>
      <c r="O80" s="81"/>
      <c r="P80" s="77"/>
      <c r="Q80" s="142"/>
    </row>
    <row r="81" spans="2:26">
      <c r="B81" s="796">
        <f>ROUND((B41/B79),-2)</f>
        <v>58000</v>
      </c>
      <c r="C81" s="789" t="s">
        <v>1</v>
      </c>
      <c r="D81" s="807" t="s">
        <v>1554</v>
      </c>
      <c r="H81" s="11"/>
      <c r="O81" s="82"/>
      <c r="P81" s="77"/>
      <c r="Q81" s="142"/>
    </row>
    <row r="82" spans="2:26">
      <c r="B82" s="796"/>
      <c r="C82" s="789"/>
      <c r="D82" s="807"/>
      <c r="H82" s="11"/>
      <c r="I82" s="82"/>
      <c r="J82" s="82"/>
      <c r="K82" s="11"/>
      <c r="N82" s="77"/>
      <c r="O82" s="142"/>
      <c r="X82" s="82"/>
      <c r="Y82" s="77"/>
      <c r="Z82" s="142"/>
    </row>
    <row r="83" spans="2:26" ht="15">
      <c r="B83" s="808" t="s">
        <v>1561</v>
      </c>
      <c r="C83" s="801"/>
      <c r="D83" s="809"/>
      <c r="E83" s="120"/>
      <c r="F83" s="120"/>
      <c r="G83" s="120" t="s">
        <v>1564</v>
      </c>
      <c r="H83" s="11"/>
      <c r="I83" s="82"/>
      <c r="J83" s="82"/>
      <c r="K83" s="11"/>
      <c r="N83" s="77"/>
      <c r="O83" s="142"/>
      <c r="X83" s="82"/>
      <c r="Y83" s="77"/>
      <c r="Z83" s="142"/>
    </row>
    <row r="84" spans="2:26">
      <c r="B84" s="787">
        <f>0.93+0.36</f>
        <v>1.29</v>
      </c>
      <c r="C84" s="789" t="s">
        <v>1155</v>
      </c>
      <c r="D84" s="807" t="s">
        <v>1589</v>
      </c>
      <c r="H84" s="11"/>
      <c r="I84" s="82"/>
      <c r="J84" s="82"/>
      <c r="K84" s="11"/>
      <c r="N84" s="77"/>
      <c r="O84" s="142"/>
      <c r="X84" s="82"/>
      <c r="Y84" s="77"/>
      <c r="Z84" s="142"/>
    </row>
    <row r="85" spans="2:26">
      <c r="B85" s="788">
        <f>B84*1000000000000*B22</f>
        <v>4.0709304E+19</v>
      </c>
      <c r="C85" s="789" t="s">
        <v>13</v>
      </c>
      <c r="D85" s="807" t="s">
        <v>1589</v>
      </c>
      <c r="H85" s="11"/>
      <c r="I85" s="82"/>
      <c r="J85" s="82"/>
      <c r="K85" s="11"/>
      <c r="N85" s="77"/>
      <c r="O85" s="142"/>
      <c r="X85" s="82"/>
      <c r="Y85" s="77"/>
      <c r="Z85" s="142"/>
    </row>
    <row r="86" spans="2:26">
      <c r="B86" s="788">
        <f>B15</f>
        <v>3.6153E+24</v>
      </c>
      <c r="C86" s="789" t="s">
        <v>10</v>
      </c>
      <c r="D86" s="807" t="s">
        <v>1562</v>
      </c>
      <c r="H86" s="11"/>
      <c r="I86" s="82"/>
      <c r="J86" s="82"/>
      <c r="K86" s="11"/>
      <c r="N86" s="77"/>
      <c r="O86" s="142"/>
      <c r="X86" s="82"/>
      <c r="Y86" s="77"/>
      <c r="Z86" s="142"/>
    </row>
    <row r="87" spans="2:26">
      <c r="B87" s="796">
        <f>ROUND((B86/B85),-2)</f>
        <v>88800</v>
      </c>
      <c r="C87" s="789" t="s">
        <v>1</v>
      </c>
      <c r="D87" s="807" t="s">
        <v>1563</v>
      </c>
      <c r="H87" s="11"/>
      <c r="I87" s="82"/>
      <c r="J87" s="82"/>
      <c r="K87" s="11"/>
      <c r="N87" s="77"/>
      <c r="O87" s="142"/>
      <c r="X87" s="82"/>
      <c r="Y87" s="77"/>
      <c r="Z87" s="142"/>
    </row>
    <row r="88" spans="2:26">
      <c r="B88" s="787"/>
      <c r="C88" s="787"/>
      <c r="D88" s="787"/>
    </row>
    <row r="89" spans="2:26" ht="15">
      <c r="B89" s="826" t="s">
        <v>1143</v>
      </c>
      <c r="C89" s="826"/>
      <c r="D89" s="826"/>
    </row>
    <row r="90" spans="2:26">
      <c r="B90" s="788">
        <f>2.17E+25</f>
        <v>2.17E+25</v>
      </c>
      <c r="C90" s="787" t="s">
        <v>279</v>
      </c>
      <c r="D90" s="787" t="s">
        <v>1713</v>
      </c>
    </row>
    <row r="91" spans="2:26">
      <c r="B91" s="788">
        <v>2500000000</v>
      </c>
      <c r="C91" s="787" t="s">
        <v>1142</v>
      </c>
      <c r="D91" s="810" t="s">
        <v>1606</v>
      </c>
    </row>
    <row r="92" spans="2:26">
      <c r="B92" s="788">
        <f>crust_mass/crust_age</f>
        <v>8680000000000000</v>
      </c>
      <c r="C92" s="787" t="s">
        <v>12</v>
      </c>
      <c r="D92" s="787" t="s">
        <v>1703</v>
      </c>
    </row>
    <row r="93" spans="2:26">
      <c r="B93" s="788">
        <f>GEB*B91/crust_mass</f>
        <v>1382488479.2626727</v>
      </c>
      <c r="C93" s="787" t="s">
        <v>0</v>
      </c>
      <c r="D93" s="787" t="s">
        <v>1144</v>
      </c>
    </row>
    <row r="94" spans="2:26">
      <c r="B94" s="788"/>
      <c r="C94" s="787"/>
      <c r="D94" s="787"/>
    </row>
    <row r="95" spans="2:26" ht="15">
      <c r="B95" s="826" t="s">
        <v>1260</v>
      </c>
      <c r="C95" s="826"/>
      <c r="D95" s="826"/>
    </row>
    <row r="96" spans="2:26">
      <c r="B96" s="802">
        <v>5500000000000000</v>
      </c>
      <c r="C96" s="787" t="s">
        <v>12</v>
      </c>
      <c r="D96" s="789" t="s">
        <v>1156</v>
      </c>
    </row>
    <row r="97" spans="2:4">
      <c r="B97" s="802">
        <f>B67</f>
        <v>797</v>
      </c>
      <c r="C97" s="787" t="s">
        <v>432</v>
      </c>
      <c r="D97" s="787" t="s">
        <v>1147</v>
      </c>
    </row>
    <row r="98" spans="2:4">
      <c r="B98" s="802">
        <f>gravity*B96/1000*B67</f>
        <v>4.3002135E+16</v>
      </c>
      <c r="C98" s="787" t="s">
        <v>13</v>
      </c>
      <c r="D98" s="789" t="s">
        <v>1592</v>
      </c>
    </row>
    <row r="99" spans="2:4">
      <c r="B99" s="802">
        <f>GEB/B98</f>
        <v>279055911.99134648</v>
      </c>
      <c r="C99" s="787" t="s">
        <v>1</v>
      </c>
      <c r="D99" s="789" t="s">
        <v>1160</v>
      </c>
    </row>
    <row r="100" spans="2:4">
      <c r="B100" s="802">
        <f>GEB/B96</f>
        <v>2181818181.818182</v>
      </c>
      <c r="C100" s="787" t="s">
        <v>0</v>
      </c>
      <c r="D100" s="789" t="s">
        <v>1161</v>
      </c>
    </row>
    <row r="101" spans="2:4">
      <c r="B101" s="787"/>
      <c r="C101" s="787"/>
      <c r="D101" s="787"/>
    </row>
    <row r="102" spans="2:4">
      <c r="B102" s="787"/>
      <c r="C102" s="787"/>
      <c r="D102" s="787"/>
    </row>
    <row r="103" spans="2:4">
      <c r="B103" s="787"/>
      <c r="C103" s="787"/>
      <c r="D103" s="787"/>
    </row>
    <row r="104" spans="2:4">
      <c r="B104" s="787"/>
      <c r="C104" s="787"/>
      <c r="D104" s="787"/>
    </row>
  </sheetData>
  <mergeCells count="8">
    <mergeCell ref="B4:C4"/>
    <mergeCell ref="B77:D77"/>
    <mergeCell ref="O77:Q77"/>
    <mergeCell ref="B89:D89"/>
    <mergeCell ref="B95:D95"/>
    <mergeCell ref="B32:C32"/>
    <mergeCell ref="B51:D51"/>
    <mergeCell ref="B39:D39"/>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1">
    <tabColor theme="9" tint="-0.249977111117893"/>
  </sheetPr>
  <dimension ref="B2:J82"/>
  <sheetViews>
    <sheetView workbookViewId="0">
      <pane ySplit="4" topLeftCell="A5" activePane="bottomLeft" state="frozen"/>
      <selection pane="bottomLeft" activeCell="I12" sqref="I12"/>
    </sheetView>
  </sheetViews>
  <sheetFormatPr defaultColWidth="8.81640625" defaultRowHeight="14.5"/>
  <cols>
    <col min="1" max="1" width="6.1796875" customWidth="1"/>
    <col min="2" max="2" width="20.81640625" style="1" bestFit="1" customWidth="1"/>
    <col min="3" max="3" width="12.453125" style="1" bestFit="1" customWidth="1"/>
    <col min="4" max="4" width="13.453125" style="1" bestFit="1" customWidth="1"/>
    <col min="5" max="5" width="10.453125" style="1" bestFit="1" customWidth="1"/>
    <col min="6" max="6" width="11.1796875" style="1" bestFit="1" customWidth="1"/>
    <col min="7" max="7" width="17.1796875" bestFit="1" customWidth="1"/>
    <col min="8" max="8" width="42.6328125" bestFit="1" customWidth="1"/>
    <col min="9" max="9" width="21.36328125" bestFit="1" customWidth="1"/>
    <col min="10" max="10" width="14.81640625" bestFit="1" customWidth="1"/>
  </cols>
  <sheetData>
    <row r="2" spans="2:9" ht="21">
      <c r="B2" s="828" t="s">
        <v>1438</v>
      </c>
      <c r="C2" s="828"/>
      <c r="D2" s="828"/>
      <c r="E2" s="828"/>
      <c r="F2" s="828"/>
      <c r="G2" s="828"/>
      <c r="H2" s="828"/>
    </row>
    <row r="3" spans="2:9">
      <c r="B3" s="18" t="s">
        <v>295</v>
      </c>
      <c r="H3" t="s">
        <v>420</v>
      </c>
    </row>
    <row r="4" spans="2:9">
      <c r="B4" s="1" t="s">
        <v>233</v>
      </c>
      <c r="C4" s="1" t="s">
        <v>241</v>
      </c>
      <c r="D4" s="1" t="s">
        <v>418</v>
      </c>
      <c r="E4" s="1" t="s">
        <v>175</v>
      </c>
      <c r="F4" s="1" t="s">
        <v>419</v>
      </c>
      <c r="H4" s="15">
        <f>SUMPRODUCT(C5:C81,E5:E81)</f>
        <v>24.05808985446577</v>
      </c>
    </row>
    <row r="5" spans="2:9">
      <c r="B5" s="1" t="s">
        <v>333</v>
      </c>
      <c r="C5" s="5">
        <v>5.2999999999999998E-8</v>
      </c>
      <c r="D5" t="s">
        <v>359</v>
      </c>
      <c r="E5">
        <v>107.8682</v>
      </c>
      <c r="F5" s="3">
        <f>C5/E5</f>
        <v>4.9134035795535659E-10</v>
      </c>
    </row>
    <row r="6" spans="2:9">
      <c r="B6" s="1" t="s">
        <v>86</v>
      </c>
      <c r="C6" s="5">
        <v>8.1500000000000003E-2</v>
      </c>
      <c r="D6" t="s">
        <v>288</v>
      </c>
      <c r="E6">
        <v>26.9815</v>
      </c>
      <c r="F6" s="3">
        <f t="shared" ref="F6:F69" si="0">C6/E6</f>
        <v>3.0205881807905417E-3</v>
      </c>
    </row>
    <row r="7" spans="2:9">
      <c r="B7" s="1" t="s">
        <v>317</v>
      </c>
      <c r="C7" s="5">
        <v>4.7999999999999998E-6</v>
      </c>
      <c r="D7" t="s">
        <v>360</v>
      </c>
      <c r="E7">
        <v>74.921599999999998</v>
      </c>
      <c r="F7" s="3">
        <f t="shared" si="0"/>
        <v>6.4066971340708152E-8</v>
      </c>
    </row>
    <row r="8" spans="2:9">
      <c r="B8" s="1" t="s">
        <v>101</v>
      </c>
      <c r="C8" s="5">
        <v>1.5E-9</v>
      </c>
      <c r="D8" t="s">
        <v>263</v>
      </c>
      <c r="E8">
        <v>196.9665</v>
      </c>
      <c r="F8" s="3">
        <f t="shared" si="0"/>
        <v>7.6155082209411244E-12</v>
      </c>
    </row>
    <row r="9" spans="2:9">
      <c r="B9" s="1" t="s">
        <v>311</v>
      </c>
      <c r="C9" s="5">
        <v>1.7E-5</v>
      </c>
      <c r="D9" t="s">
        <v>361</v>
      </c>
      <c r="E9">
        <v>10.811</v>
      </c>
      <c r="F9" s="3">
        <f t="shared" si="0"/>
        <v>1.5724724817315696E-6</v>
      </c>
    </row>
    <row r="10" spans="2:9">
      <c r="B10" s="1" t="s">
        <v>300</v>
      </c>
      <c r="C10" s="5">
        <v>6.2799999999999998E-4</v>
      </c>
      <c r="D10" t="s">
        <v>362</v>
      </c>
      <c r="E10">
        <v>137.327</v>
      </c>
      <c r="F10" s="3">
        <f t="shared" si="0"/>
        <v>4.5730264259759553E-6</v>
      </c>
    </row>
    <row r="11" spans="2:9" ht="21">
      <c r="B11" s="1" t="s">
        <v>320</v>
      </c>
      <c r="C11" s="5">
        <v>2.0999999999999998E-6</v>
      </c>
      <c r="D11" t="s">
        <v>363</v>
      </c>
      <c r="E11">
        <v>9.0122</v>
      </c>
      <c r="F11" s="3">
        <f t="shared" si="0"/>
        <v>2.3301746521382123E-7</v>
      </c>
      <c r="I11" s="761"/>
    </row>
    <row r="12" spans="2:9" ht="21">
      <c r="B12" s="1" t="s">
        <v>330</v>
      </c>
      <c r="C12" s="5">
        <v>1.6E-7</v>
      </c>
      <c r="D12" t="s">
        <v>349</v>
      </c>
      <c r="E12">
        <v>208.9804</v>
      </c>
      <c r="F12" s="3">
        <f t="shared" si="0"/>
        <v>7.6562203919602033E-10</v>
      </c>
      <c r="I12" s="761"/>
    </row>
    <row r="13" spans="2:9">
      <c r="B13" s="1" t="s">
        <v>89</v>
      </c>
      <c r="C13" s="5">
        <v>1.5999999999999999E-6</v>
      </c>
      <c r="D13" t="s">
        <v>364</v>
      </c>
      <c r="E13">
        <v>79.903999999999996</v>
      </c>
      <c r="F13" s="3">
        <f t="shared" si="0"/>
        <v>2.0024028834601521E-8</v>
      </c>
    </row>
    <row r="14" spans="2:9">
      <c r="B14" s="1" t="s">
        <v>168</v>
      </c>
      <c r="C14" s="5">
        <v>1.99E-3</v>
      </c>
      <c r="D14" t="s">
        <v>365</v>
      </c>
      <c r="E14">
        <v>12.0107</v>
      </c>
      <c r="F14" s="3">
        <f t="shared" si="0"/>
        <v>1.6568559700933335E-4</v>
      </c>
    </row>
    <row r="15" spans="2:9">
      <c r="B15" s="1" t="s">
        <v>298</v>
      </c>
      <c r="C15" s="5">
        <v>2.5700000000000001E-2</v>
      </c>
      <c r="D15" t="s">
        <v>366</v>
      </c>
      <c r="E15">
        <v>40.078000000000003</v>
      </c>
      <c r="F15" s="3">
        <f t="shared" si="0"/>
        <v>6.4124956335146464E-4</v>
      </c>
    </row>
    <row r="16" spans="2:9">
      <c r="B16" s="1" t="s">
        <v>332</v>
      </c>
      <c r="C16" s="5">
        <v>8.9999999999999999E-8</v>
      </c>
      <c r="D16" t="s">
        <v>367</v>
      </c>
      <c r="E16">
        <v>112.411</v>
      </c>
      <c r="F16" s="3">
        <f t="shared" si="0"/>
        <v>8.0063338997073234E-10</v>
      </c>
    </row>
    <row r="17" spans="2:10">
      <c r="B17" s="1" t="s">
        <v>307</v>
      </c>
      <c r="C17" s="5">
        <v>6.3E-5</v>
      </c>
      <c r="D17" t="s">
        <v>368</v>
      </c>
      <c r="E17">
        <v>140.11600000000001</v>
      </c>
      <c r="F17" s="3">
        <f t="shared" si="0"/>
        <v>4.4962745154015238E-7</v>
      </c>
    </row>
    <row r="18" spans="2:10">
      <c r="B18" s="1" t="s">
        <v>301</v>
      </c>
      <c r="C18" s="5">
        <v>3.6999999999999999E-4</v>
      </c>
      <c r="D18" t="s">
        <v>369</v>
      </c>
      <c r="E18">
        <v>35.453000000000003</v>
      </c>
      <c r="F18" s="3">
        <f t="shared" si="0"/>
        <v>1.043635235382055E-5</v>
      </c>
    </row>
    <row r="19" spans="2:10">
      <c r="B19" s="1" t="s">
        <v>310</v>
      </c>
      <c r="C19" s="5">
        <v>1.73E-5</v>
      </c>
      <c r="D19" t="s">
        <v>370</v>
      </c>
      <c r="E19">
        <v>58.933199999999999</v>
      </c>
      <c r="F19" s="3">
        <f t="shared" si="0"/>
        <v>2.9355270034547592E-7</v>
      </c>
    </row>
    <row r="20" spans="2:10">
      <c r="B20" s="1" t="s">
        <v>305</v>
      </c>
      <c r="C20" s="5">
        <v>9.2E-5</v>
      </c>
      <c r="D20" t="s">
        <v>371</v>
      </c>
      <c r="E20">
        <v>51.996099999999998</v>
      </c>
      <c r="F20" s="3">
        <f t="shared" si="0"/>
        <v>1.7693634714911312E-6</v>
      </c>
    </row>
    <row r="21" spans="2:10">
      <c r="B21" s="1" t="s">
        <v>316</v>
      </c>
      <c r="C21" s="5">
        <v>4.8999999999999997E-6</v>
      </c>
      <c r="D21" t="s">
        <v>372</v>
      </c>
      <c r="E21">
        <v>132.90549999999999</v>
      </c>
      <c r="F21" s="3">
        <f t="shared" si="0"/>
        <v>3.6868301161351488E-8</v>
      </c>
    </row>
    <row r="22" spans="2:10">
      <c r="B22" s="1" t="s">
        <v>308</v>
      </c>
      <c r="C22" s="5">
        <v>2.8E-5</v>
      </c>
      <c r="D22" t="s">
        <v>337</v>
      </c>
      <c r="E22">
        <v>63.545999999999999</v>
      </c>
      <c r="F22" s="3">
        <f t="shared" si="0"/>
        <v>4.4062568847763825E-7</v>
      </c>
    </row>
    <row r="23" spans="2:10">
      <c r="B23" s="1" t="s">
        <v>318</v>
      </c>
      <c r="C23" s="5">
        <v>3.8999999999999999E-6</v>
      </c>
      <c r="D23" t="s">
        <v>373</v>
      </c>
      <c r="E23">
        <v>162.5</v>
      </c>
      <c r="F23" s="3">
        <f t="shared" si="0"/>
        <v>2.4E-8</v>
      </c>
    </row>
    <row r="24" spans="2:10">
      <c r="B24" s="1" t="s">
        <v>319</v>
      </c>
      <c r="C24" s="5">
        <v>2.3E-6</v>
      </c>
      <c r="D24" t="s">
        <v>374</v>
      </c>
      <c r="E24">
        <v>167.25899999999999</v>
      </c>
      <c r="F24" s="3">
        <f t="shared" si="0"/>
        <v>1.3751128489348855E-8</v>
      </c>
    </row>
    <row r="25" spans="2:10">
      <c r="B25" s="1" t="s">
        <v>95</v>
      </c>
      <c r="C25" s="5">
        <v>9.9999999999999995E-7</v>
      </c>
      <c r="D25" t="s">
        <v>375</v>
      </c>
      <c r="E25">
        <v>151.964</v>
      </c>
      <c r="F25" s="3">
        <f t="shared" si="0"/>
        <v>6.5805059092943064E-9</v>
      </c>
      <c r="I25" s="3"/>
      <c r="J25" s="3"/>
    </row>
    <row r="26" spans="2:10">
      <c r="B26" s="1" t="s">
        <v>97</v>
      </c>
      <c r="C26" s="5">
        <v>5.5699999999999999E-4</v>
      </c>
      <c r="D26" t="s">
        <v>376</v>
      </c>
      <c r="E26">
        <v>18.9984</v>
      </c>
      <c r="F26" s="3">
        <f t="shared" si="0"/>
        <v>2.9318258379653023E-5</v>
      </c>
    </row>
    <row r="27" spans="2:10">
      <c r="B27" s="1" t="s">
        <v>106</v>
      </c>
      <c r="C27" s="5">
        <v>3.9199999999999999E-2</v>
      </c>
      <c r="D27" t="s">
        <v>284</v>
      </c>
      <c r="E27">
        <v>55.844999999999999</v>
      </c>
      <c r="F27" s="3">
        <f t="shared" si="0"/>
        <v>7.0194287760766405E-4</v>
      </c>
      <c r="J27" s="3"/>
    </row>
    <row r="28" spans="2:10">
      <c r="B28" s="1" t="s">
        <v>100</v>
      </c>
      <c r="C28" s="5">
        <v>1.7499999999999998E-5</v>
      </c>
      <c r="D28" t="s">
        <v>377</v>
      </c>
      <c r="E28">
        <v>69.722999999999999</v>
      </c>
      <c r="F28" s="3">
        <f t="shared" si="0"/>
        <v>2.5099321601193291E-7</v>
      </c>
    </row>
    <row r="29" spans="2:10">
      <c r="B29" s="1" t="s">
        <v>99</v>
      </c>
      <c r="C29" s="5">
        <v>3.9999999999999998E-6</v>
      </c>
      <c r="D29" t="s">
        <v>378</v>
      </c>
      <c r="E29">
        <v>157.25</v>
      </c>
      <c r="F29" s="3">
        <f t="shared" si="0"/>
        <v>2.5437201907790143E-8</v>
      </c>
      <c r="J29" s="3"/>
    </row>
    <row r="30" spans="2:10">
      <c r="B30" s="1" t="s">
        <v>323</v>
      </c>
      <c r="C30" s="5">
        <v>1.3999999999999999E-6</v>
      </c>
      <c r="D30" t="s">
        <v>379</v>
      </c>
      <c r="E30">
        <v>72.64</v>
      </c>
      <c r="F30" s="3">
        <f t="shared" si="0"/>
        <v>1.9273127753303965E-8</v>
      </c>
    </row>
    <row r="31" spans="2:10">
      <c r="B31" s="1" t="s">
        <v>315</v>
      </c>
      <c r="C31" s="5">
        <v>5.3000000000000001E-6</v>
      </c>
      <c r="D31" t="s">
        <v>380</v>
      </c>
      <c r="E31">
        <v>178.49</v>
      </c>
      <c r="F31" s="3">
        <f t="shared" si="0"/>
        <v>2.9693540254355984E-8</v>
      </c>
    </row>
    <row r="32" spans="2:10">
      <c r="B32" s="1" t="s">
        <v>116</v>
      </c>
      <c r="C32" s="5">
        <v>4.9999999999999998E-8</v>
      </c>
      <c r="D32" t="s">
        <v>381</v>
      </c>
      <c r="E32">
        <v>200.59</v>
      </c>
      <c r="F32" s="3">
        <f t="shared" si="0"/>
        <v>2.4926466922578391E-10</v>
      </c>
    </row>
    <row r="33" spans="2:10">
      <c r="B33" s="1" t="s">
        <v>325</v>
      </c>
      <c r="C33" s="5">
        <v>8.2999999999999999E-7</v>
      </c>
      <c r="D33" t="s">
        <v>382</v>
      </c>
      <c r="E33">
        <v>164.93029999999999</v>
      </c>
      <c r="F33" s="3">
        <f t="shared" si="0"/>
        <v>5.0324288502476506E-9</v>
      </c>
    </row>
    <row r="34" spans="2:10">
      <c r="B34" s="1" t="s">
        <v>105</v>
      </c>
      <c r="C34" s="5">
        <v>1.3999999999999999E-6</v>
      </c>
      <c r="D34" t="s">
        <v>245</v>
      </c>
      <c r="E34">
        <v>126.9045</v>
      </c>
      <c r="F34" s="3">
        <f t="shared" si="0"/>
        <v>1.1031917701893944E-8</v>
      </c>
    </row>
    <row r="35" spans="2:10">
      <c r="B35" s="1" t="s">
        <v>104</v>
      </c>
      <c r="C35" s="5">
        <v>5.5999999999999999E-8</v>
      </c>
      <c r="D35" t="s">
        <v>383</v>
      </c>
      <c r="E35">
        <v>114.818</v>
      </c>
      <c r="F35" s="3">
        <f t="shared" si="0"/>
        <v>4.8772840495392703E-10</v>
      </c>
    </row>
    <row r="36" spans="2:10">
      <c r="B36" s="1" t="s">
        <v>336</v>
      </c>
      <c r="C36" s="5">
        <v>2.2000000000000002E-11</v>
      </c>
      <c r="D36" t="s">
        <v>343</v>
      </c>
      <c r="E36">
        <v>192.21700000000001</v>
      </c>
      <c r="F36" s="3">
        <f t="shared" si="0"/>
        <v>1.1445397649531518E-13</v>
      </c>
    </row>
    <row r="37" spans="2:10">
      <c r="B37" s="1" t="s">
        <v>299</v>
      </c>
      <c r="C37" s="5">
        <v>2.3199999999999998E-2</v>
      </c>
      <c r="D37" t="s">
        <v>384</v>
      </c>
      <c r="E37">
        <v>39.098300000000002</v>
      </c>
      <c r="F37" s="3">
        <f t="shared" si="0"/>
        <v>5.9337618259617424E-4</v>
      </c>
    </row>
    <row r="38" spans="2:10">
      <c r="B38" s="1" t="s">
        <v>109</v>
      </c>
      <c r="C38" s="5">
        <v>3.1000000000000001E-5</v>
      </c>
      <c r="D38" t="s">
        <v>385</v>
      </c>
      <c r="E38">
        <v>138.90549999999999</v>
      </c>
      <c r="F38" s="3">
        <f t="shared" si="0"/>
        <v>2.2317330847230675E-7</v>
      </c>
      <c r="J38" s="6"/>
    </row>
    <row r="39" spans="2:10">
      <c r="B39" s="1" t="s">
        <v>111</v>
      </c>
      <c r="C39" s="5">
        <v>2.4000000000000001E-5</v>
      </c>
      <c r="D39" t="s">
        <v>386</v>
      </c>
      <c r="E39">
        <v>6.9409999999999998</v>
      </c>
      <c r="F39" s="3">
        <f t="shared" si="0"/>
        <v>3.45771502665322E-6</v>
      </c>
    </row>
    <row r="40" spans="2:10">
      <c r="B40" s="1" t="s">
        <v>328</v>
      </c>
      <c r="C40" s="5">
        <v>3.1E-7</v>
      </c>
      <c r="D40" t="s">
        <v>387</v>
      </c>
      <c r="E40">
        <v>174.96700000000001</v>
      </c>
      <c r="F40" s="3">
        <f t="shared" si="0"/>
        <v>1.7717626752473323E-9</v>
      </c>
      <c r="J40" s="6"/>
    </row>
    <row r="41" spans="2:10">
      <c r="B41" s="1" t="s">
        <v>114</v>
      </c>
      <c r="C41" s="5">
        <v>1.4999999999999999E-2</v>
      </c>
      <c r="D41" t="s">
        <v>232</v>
      </c>
      <c r="E41">
        <v>24.305</v>
      </c>
      <c r="F41" s="3">
        <f t="shared" si="0"/>
        <v>6.1715696358773911E-4</v>
      </c>
    </row>
    <row r="42" spans="2:10">
      <c r="B42" s="1" t="s">
        <v>115</v>
      </c>
      <c r="C42" s="5">
        <v>7.7399999999999995E-4</v>
      </c>
      <c r="D42" t="s">
        <v>388</v>
      </c>
      <c r="E42">
        <v>54.938000000000002</v>
      </c>
      <c r="F42" s="3">
        <f t="shared" si="0"/>
        <v>1.4088608977392696E-5</v>
      </c>
      <c r="J42" s="6"/>
    </row>
    <row r="43" spans="2:10">
      <c r="B43" s="1" t="s">
        <v>118</v>
      </c>
      <c r="C43" s="5">
        <v>1.1000000000000001E-6</v>
      </c>
      <c r="D43" t="s">
        <v>258</v>
      </c>
      <c r="E43">
        <v>95.94</v>
      </c>
      <c r="F43" s="3">
        <f t="shared" si="0"/>
        <v>1.146549927037732E-8</v>
      </c>
    </row>
    <row r="44" spans="2:10">
      <c r="B44" s="1" t="s">
        <v>44</v>
      </c>
      <c r="C44" s="5">
        <v>8.2999999999999998E-5</v>
      </c>
      <c r="D44" t="s">
        <v>43</v>
      </c>
      <c r="E44">
        <v>14.0067</v>
      </c>
      <c r="F44" s="3">
        <f t="shared" si="0"/>
        <v>5.9257355408483082E-6</v>
      </c>
    </row>
    <row r="45" spans="2:10">
      <c r="B45" s="1" t="s">
        <v>297</v>
      </c>
      <c r="C45" s="5">
        <v>2.7300000000000001E-2</v>
      </c>
      <c r="D45" t="s">
        <v>389</v>
      </c>
      <c r="E45">
        <v>22.989699999999999</v>
      </c>
      <c r="F45" s="3">
        <f t="shared" si="0"/>
        <v>1.1874883099822966E-3</v>
      </c>
    </row>
    <row r="46" spans="2:10">
      <c r="B46" s="1" t="s">
        <v>313</v>
      </c>
      <c r="C46" s="5">
        <v>1.2E-5</v>
      </c>
      <c r="D46" t="s">
        <v>390</v>
      </c>
      <c r="E46">
        <v>92.906400000000005</v>
      </c>
      <c r="F46" s="3">
        <f t="shared" si="0"/>
        <v>1.2916225362300122E-7</v>
      </c>
    </row>
    <row r="47" spans="2:10">
      <c r="B47" s="1" t="s">
        <v>119</v>
      </c>
      <c r="C47" s="5">
        <v>2.6999999999999999E-5</v>
      </c>
      <c r="D47" t="s">
        <v>391</v>
      </c>
      <c r="E47">
        <v>144.24</v>
      </c>
      <c r="F47" s="3">
        <f t="shared" si="0"/>
        <v>1.871880199667221E-7</v>
      </c>
    </row>
    <row r="48" spans="2:10">
      <c r="B48" s="1" t="s">
        <v>120</v>
      </c>
      <c r="C48" s="5">
        <v>4.6999999999999997E-5</v>
      </c>
      <c r="D48" t="s">
        <v>268</v>
      </c>
      <c r="E48">
        <v>58.693399999999997</v>
      </c>
      <c r="F48" s="3">
        <f t="shared" si="0"/>
        <v>8.0077146663849763E-7</v>
      </c>
    </row>
    <row r="49" spans="2:6">
      <c r="B49" s="1" t="s">
        <v>296</v>
      </c>
      <c r="C49" s="5">
        <v>0.47199999999999998</v>
      </c>
      <c r="D49" t="s">
        <v>45</v>
      </c>
      <c r="E49">
        <v>15.9994</v>
      </c>
      <c r="F49" s="3">
        <f t="shared" si="0"/>
        <v>2.9501106291485928E-2</v>
      </c>
    </row>
    <row r="50" spans="2:6">
      <c r="B50" s="1" t="s">
        <v>335</v>
      </c>
      <c r="C50" s="5">
        <v>3.1000000000000003E-11</v>
      </c>
      <c r="D50" t="s">
        <v>344</v>
      </c>
      <c r="E50">
        <v>190.23</v>
      </c>
      <c r="F50" s="3">
        <f t="shared" si="0"/>
        <v>1.629606266098933E-13</v>
      </c>
    </row>
    <row r="51" spans="2:6">
      <c r="B51" s="1" t="s">
        <v>124</v>
      </c>
      <c r="C51" s="5">
        <v>6.5499999999999998E-4</v>
      </c>
      <c r="D51" t="s">
        <v>392</v>
      </c>
      <c r="E51">
        <v>30.973800000000001</v>
      </c>
      <c r="F51" s="3">
        <f t="shared" si="0"/>
        <v>2.1146904803414498E-5</v>
      </c>
    </row>
    <row r="52" spans="2:6">
      <c r="B52" s="1" t="s">
        <v>110</v>
      </c>
      <c r="C52" s="5">
        <v>1.7E-5</v>
      </c>
      <c r="D52" t="s">
        <v>347</v>
      </c>
      <c r="E52">
        <v>207.2</v>
      </c>
      <c r="F52" s="3">
        <f t="shared" si="0"/>
        <v>8.2046332046332046E-8</v>
      </c>
    </row>
    <row r="53" spans="2:6">
      <c r="B53" s="1" t="s">
        <v>122</v>
      </c>
      <c r="C53" s="5">
        <v>5.1999999999999996E-10</v>
      </c>
      <c r="D53" t="s">
        <v>393</v>
      </c>
      <c r="E53">
        <v>106.42</v>
      </c>
      <c r="F53" s="3">
        <f t="shared" si="0"/>
        <v>4.8862995677504228E-12</v>
      </c>
    </row>
    <row r="54" spans="2:6">
      <c r="B54" s="1" t="s">
        <v>127</v>
      </c>
      <c r="C54" s="5">
        <v>7.0999999999999998E-6</v>
      </c>
      <c r="D54" t="s">
        <v>394</v>
      </c>
      <c r="E54">
        <v>140.90770000000001</v>
      </c>
      <c r="F54" s="3">
        <f t="shared" si="0"/>
        <v>5.0387594148509979E-8</v>
      </c>
    </row>
    <row r="55" spans="2:6">
      <c r="B55" s="1" t="s">
        <v>125</v>
      </c>
      <c r="C55" s="5">
        <v>5.0000000000000003E-10</v>
      </c>
      <c r="D55" t="s">
        <v>395</v>
      </c>
      <c r="E55">
        <v>195.078</v>
      </c>
      <c r="F55" s="3">
        <f t="shared" si="0"/>
        <v>2.5630773331692964E-12</v>
      </c>
    </row>
    <row r="56" spans="2:6">
      <c r="B56" s="1" t="s">
        <v>306</v>
      </c>
      <c r="C56" s="5">
        <v>8.3999999999999995E-5</v>
      </c>
      <c r="D56" t="s">
        <v>396</v>
      </c>
      <c r="E56">
        <v>85.467799999999997</v>
      </c>
      <c r="F56" s="3">
        <f t="shared" si="0"/>
        <v>9.8282628077474797E-7</v>
      </c>
    </row>
    <row r="57" spans="2:6">
      <c r="B57" s="1" t="s">
        <v>130</v>
      </c>
      <c r="C57" s="5">
        <v>1.9799999999999999E-10</v>
      </c>
      <c r="D57" t="s">
        <v>397</v>
      </c>
      <c r="E57">
        <v>186.20699999999999</v>
      </c>
      <c r="F57" s="3">
        <f t="shared" si="0"/>
        <v>1.0633327425929208E-12</v>
      </c>
    </row>
    <row r="58" spans="2:6">
      <c r="B58" s="1" t="s">
        <v>131</v>
      </c>
      <c r="C58" s="5">
        <v>6E-11</v>
      </c>
      <c r="D58" t="s">
        <v>398</v>
      </c>
      <c r="E58">
        <v>102.9055</v>
      </c>
      <c r="F58" s="3">
        <f t="shared" si="0"/>
        <v>5.8305921452206148E-13</v>
      </c>
    </row>
    <row r="59" spans="2:6">
      <c r="B59" s="1" t="s">
        <v>334</v>
      </c>
      <c r="C59" s="5">
        <v>3.4000000000000001E-10</v>
      </c>
      <c r="D59" t="s">
        <v>399</v>
      </c>
      <c r="E59">
        <v>101.07</v>
      </c>
      <c r="F59" s="3">
        <f t="shared" si="0"/>
        <v>3.3640051449490457E-12</v>
      </c>
    </row>
    <row r="60" spans="2:6">
      <c r="B60" s="1" t="s">
        <v>139</v>
      </c>
      <c r="C60" s="5">
        <v>6.2E-4</v>
      </c>
      <c r="D60" t="s">
        <v>400</v>
      </c>
      <c r="E60">
        <v>32.064999999999998</v>
      </c>
      <c r="F60" s="3">
        <f t="shared" si="0"/>
        <v>1.9335724309995323E-5</v>
      </c>
    </row>
    <row r="61" spans="2:6">
      <c r="B61" s="1" t="s">
        <v>327</v>
      </c>
      <c r="C61" s="5">
        <v>3.9999999999999998E-7</v>
      </c>
      <c r="D61" t="s">
        <v>401</v>
      </c>
      <c r="E61">
        <v>121.76</v>
      </c>
      <c r="F61" s="3">
        <f t="shared" si="0"/>
        <v>3.2851511169513795E-9</v>
      </c>
    </row>
    <row r="62" spans="2:6">
      <c r="B62" s="1" t="s">
        <v>312</v>
      </c>
      <c r="C62" s="5">
        <v>1.4E-5</v>
      </c>
      <c r="D62" t="s">
        <v>402</v>
      </c>
      <c r="E62">
        <v>44.9559</v>
      </c>
      <c r="F62" s="3">
        <f t="shared" si="0"/>
        <v>3.1141629908421364E-7</v>
      </c>
    </row>
    <row r="63" spans="2:6">
      <c r="B63" s="1" t="s">
        <v>331</v>
      </c>
      <c r="C63" s="5">
        <v>8.9999999999999999E-8</v>
      </c>
      <c r="D63" t="s">
        <v>403</v>
      </c>
      <c r="E63">
        <v>78.959999999999994</v>
      </c>
      <c r="F63" s="3">
        <f t="shared" si="0"/>
        <v>1.1398176291793315E-9</v>
      </c>
    </row>
    <row r="64" spans="2:6">
      <c r="B64" s="1" t="s">
        <v>133</v>
      </c>
      <c r="C64" s="5">
        <v>0.309</v>
      </c>
      <c r="D64" t="s">
        <v>404</v>
      </c>
      <c r="E64">
        <v>28.0855</v>
      </c>
      <c r="F64" s="3">
        <f t="shared" si="0"/>
        <v>1.1002118530914529E-2</v>
      </c>
    </row>
    <row r="65" spans="2:6">
      <c r="B65" s="1" t="s">
        <v>132</v>
      </c>
      <c r="C65" s="5">
        <v>4.6999999999999999E-6</v>
      </c>
      <c r="D65" t="s">
        <v>405</v>
      </c>
      <c r="E65">
        <v>150.36000000000001</v>
      </c>
      <c r="F65" s="3">
        <f t="shared" si="0"/>
        <v>3.1258313381218406E-8</v>
      </c>
    </row>
    <row r="66" spans="2:6">
      <c r="B66" s="1" t="s">
        <v>171</v>
      </c>
      <c r="C66" s="5">
        <v>2.0999999999999998E-6</v>
      </c>
      <c r="D66" t="s">
        <v>338</v>
      </c>
      <c r="E66">
        <v>118.71</v>
      </c>
      <c r="F66" s="3">
        <f t="shared" si="0"/>
        <v>1.7690169320192065E-8</v>
      </c>
    </row>
    <row r="67" spans="2:6">
      <c r="B67" s="1" t="s">
        <v>302</v>
      </c>
      <c r="C67" s="5">
        <v>3.2000000000000003E-4</v>
      </c>
      <c r="D67" t="s">
        <v>406</v>
      </c>
      <c r="E67">
        <v>87.62</v>
      </c>
      <c r="F67" s="3">
        <f t="shared" si="0"/>
        <v>3.6521342159324357E-6</v>
      </c>
    </row>
    <row r="68" spans="2:6">
      <c r="B68" s="1" t="s">
        <v>141</v>
      </c>
      <c r="C68" s="5">
        <v>8.9999999999999996E-7</v>
      </c>
      <c r="D68" t="s">
        <v>407</v>
      </c>
      <c r="E68">
        <v>180.9479</v>
      </c>
      <c r="F68" s="3">
        <f t="shared" si="0"/>
        <v>4.9738073777037472E-9</v>
      </c>
    </row>
    <row r="69" spans="2:6">
      <c r="B69" s="1" t="s">
        <v>326</v>
      </c>
      <c r="C69" s="5">
        <v>6.9999999999999997E-7</v>
      </c>
      <c r="D69" t="s">
        <v>408</v>
      </c>
      <c r="E69">
        <v>158.92529999999999</v>
      </c>
      <c r="F69" s="3">
        <f t="shared" si="0"/>
        <v>4.4045850471888363E-9</v>
      </c>
    </row>
    <row r="70" spans="2:6">
      <c r="B70" s="1" t="s">
        <v>142</v>
      </c>
      <c r="C70" s="5">
        <v>5.0000000000000001E-9</v>
      </c>
      <c r="D70" t="s">
        <v>409</v>
      </c>
      <c r="E70">
        <v>127.6</v>
      </c>
      <c r="F70" s="3">
        <f t="shared" ref="F70:F81" si="1">C70/E70</f>
        <v>3.9184952978056427E-11</v>
      </c>
    </row>
    <row r="71" spans="2:6">
      <c r="B71" s="1" t="s">
        <v>314</v>
      </c>
      <c r="C71" s="5">
        <v>1.0499999999999999E-5</v>
      </c>
      <c r="D71" t="s">
        <v>410</v>
      </c>
      <c r="E71">
        <v>232.03809999999999</v>
      </c>
      <c r="F71" s="3">
        <f t="shared" si="1"/>
        <v>4.5251189352093474E-8</v>
      </c>
    </row>
    <row r="72" spans="2:6">
      <c r="B72" s="1" t="s">
        <v>144</v>
      </c>
      <c r="C72" s="5">
        <v>3.8400000000000001E-3</v>
      </c>
      <c r="D72" t="s">
        <v>357</v>
      </c>
      <c r="E72">
        <v>47.866999999999997</v>
      </c>
      <c r="F72" s="3">
        <f t="shared" si="1"/>
        <v>8.0222282574633891E-5</v>
      </c>
    </row>
    <row r="73" spans="2:6">
      <c r="B73" s="1" t="s">
        <v>324</v>
      </c>
      <c r="C73" s="5">
        <v>8.9999999999999996E-7</v>
      </c>
      <c r="D73" t="s">
        <v>411</v>
      </c>
      <c r="E73">
        <v>204.38329999999999</v>
      </c>
      <c r="F73" s="3">
        <f t="shared" si="1"/>
        <v>4.403490891868367E-9</v>
      </c>
    </row>
    <row r="74" spans="2:6">
      <c r="B74" s="1" t="s">
        <v>329</v>
      </c>
      <c r="C74" s="5">
        <v>2.9999999999999999E-7</v>
      </c>
      <c r="D74" t="s">
        <v>412</v>
      </c>
      <c r="E74">
        <v>168.9342</v>
      </c>
      <c r="F74" s="3">
        <f t="shared" si="1"/>
        <v>1.7758393504689991E-9</v>
      </c>
    </row>
    <row r="75" spans="2:6">
      <c r="B75" s="1" t="s">
        <v>146</v>
      </c>
      <c r="C75" s="5">
        <v>2.7E-6</v>
      </c>
      <c r="D75" t="s">
        <v>250</v>
      </c>
      <c r="E75">
        <v>238.02889999999999</v>
      </c>
      <c r="F75" s="3">
        <f t="shared" si="1"/>
        <v>1.1343160431359386E-8</v>
      </c>
    </row>
    <row r="76" spans="2:6">
      <c r="B76" s="1" t="s">
        <v>304</v>
      </c>
      <c r="C76" s="5">
        <v>9.7E-5</v>
      </c>
      <c r="D76" t="s">
        <v>413</v>
      </c>
      <c r="E76">
        <v>50.941499999999998</v>
      </c>
      <c r="F76" s="3">
        <f t="shared" si="1"/>
        <v>1.9041449505805679E-6</v>
      </c>
    </row>
    <row r="77" spans="2:6">
      <c r="B77" s="1" t="s">
        <v>322</v>
      </c>
      <c r="C77" s="5">
        <v>1.9E-6</v>
      </c>
      <c r="D77" t="s">
        <v>414</v>
      </c>
      <c r="E77">
        <v>183.84</v>
      </c>
      <c r="F77" s="3">
        <f t="shared" si="1"/>
        <v>1.0335073977371627E-8</v>
      </c>
    </row>
    <row r="78" spans="2:6">
      <c r="B78" s="1" t="s">
        <v>309</v>
      </c>
      <c r="C78" s="5">
        <v>2.0999999999999999E-5</v>
      </c>
      <c r="D78" t="s">
        <v>415</v>
      </c>
      <c r="E78">
        <v>88.905900000000003</v>
      </c>
      <c r="F78" s="3">
        <f t="shared" si="1"/>
        <v>2.3620479630710672E-7</v>
      </c>
    </row>
    <row r="79" spans="2:6">
      <c r="B79" s="1" t="s">
        <v>321</v>
      </c>
      <c r="C79" s="5">
        <v>1.9599999999999999E-6</v>
      </c>
      <c r="D79" t="s">
        <v>416</v>
      </c>
      <c r="E79">
        <v>173.04</v>
      </c>
      <c r="F79" s="3">
        <f t="shared" si="1"/>
        <v>1.1326860841423948E-8</v>
      </c>
    </row>
    <row r="80" spans="2:6">
      <c r="B80" s="1" t="s">
        <v>147</v>
      </c>
      <c r="C80" s="5">
        <v>6.7000000000000002E-5</v>
      </c>
      <c r="D80" t="s">
        <v>253</v>
      </c>
      <c r="E80">
        <v>65.39</v>
      </c>
      <c r="F80" s="3">
        <f t="shared" si="1"/>
        <v>1.0246215017586788E-6</v>
      </c>
    </row>
    <row r="81" spans="2:6">
      <c r="B81" s="1" t="s">
        <v>303</v>
      </c>
      <c r="C81" s="5">
        <v>1.93E-4</v>
      </c>
      <c r="D81" t="s">
        <v>417</v>
      </c>
      <c r="E81">
        <v>91.224000000000004</v>
      </c>
      <c r="F81" s="3">
        <f t="shared" si="1"/>
        <v>2.1156713145663422E-6</v>
      </c>
    </row>
    <row r="82" spans="2:6">
      <c r="C82" s="5"/>
    </row>
  </sheetData>
  <autoFilter ref="B4:C81" xr:uid="{00000000-0009-0000-0000-000004000000}">
    <sortState xmlns:xlrd2="http://schemas.microsoft.com/office/spreadsheetml/2017/richdata2" ref="B3:C79">
      <sortCondition ref="B2:B79"/>
    </sortState>
  </autoFilter>
  <mergeCells count="1">
    <mergeCell ref="B2:H2"/>
  </mergeCells>
  <pageMargins left="0.7" right="0.7" top="0.75" bottom="0.75" header="0.3" footer="0.3"/>
  <pageSetup orientation="portrait" horizontalDpi="0"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theme="4" tint="0.79998168889431442"/>
  </sheetPr>
  <dimension ref="A1:X41"/>
  <sheetViews>
    <sheetView topLeftCell="A27" zoomScale="80" zoomScaleNormal="80" workbookViewId="0">
      <selection activeCell="J5" sqref="J5"/>
    </sheetView>
  </sheetViews>
  <sheetFormatPr defaultColWidth="12.453125" defaultRowHeight="15.5"/>
  <cols>
    <col min="1" max="1" width="7.6328125" style="640" customWidth="1"/>
    <col min="2" max="2" width="18.6328125" style="640" customWidth="1"/>
    <col min="3" max="5" width="12.453125" style="640"/>
    <col min="6" max="6" width="14.453125" style="640" bestFit="1" customWidth="1"/>
    <col min="7" max="7" width="21.453125" style="640" bestFit="1" customWidth="1"/>
    <col min="8" max="8" width="12.453125" style="640"/>
    <col min="9" max="9" width="20" style="640" bestFit="1" customWidth="1"/>
    <col min="10" max="13" width="12.453125" style="640"/>
    <col min="14" max="14" width="13.81640625" style="640" bestFit="1" customWidth="1"/>
    <col min="15" max="16" width="12.453125" style="640"/>
    <col min="17" max="17" width="13.453125" style="640" customWidth="1"/>
    <col min="18" max="18" width="15.453125" style="640" customWidth="1"/>
    <col min="19" max="20" width="14.36328125" style="640" customWidth="1"/>
    <col min="21" max="23" width="12.453125" style="640"/>
    <col min="24" max="24" width="13.81640625" style="640" bestFit="1" customWidth="1"/>
    <col min="25" max="16384" width="12.453125" style="640"/>
  </cols>
  <sheetData>
    <row r="1" spans="1:24">
      <c r="T1" s="660">
        <v>148000000000000</v>
      </c>
      <c r="U1" s="642" t="s">
        <v>1845</v>
      </c>
    </row>
    <row r="2" spans="1:24">
      <c r="B2" s="641" t="s">
        <v>1866</v>
      </c>
      <c r="C2" s="642"/>
      <c r="T2" s="660">
        <v>362000000000000</v>
      </c>
      <c r="U2" s="642" t="s">
        <v>1846</v>
      </c>
    </row>
    <row r="3" spans="1:24" ht="16" thickBot="1">
      <c r="B3" s="647" t="s">
        <v>1833</v>
      </c>
      <c r="C3" s="648" t="s">
        <v>1834</v>
      </c>
      <c r="D3" s="648" t="s">
        <v>30</v>
      </c>
      <c r="E3" s="648" t="s">
        <v>1646</v>
      </c>
      <c r="F3" s="648" t="s">
        <v>1835</v>
      </c>
      <c r="G3" s="648" t="s">
        <v>1836</v>
      </c>
      <c r="H3" s="649" t="s">
        <v>1837</v>
      </c>
      <c r="I3" s="650"/>
      <c r="T3" s="660">
        <v>3.7E+24</v>
      </c>
      <c r="U3" s="640" t="s">
        <v>1847</v>
      </c>
    </row>
    <row r="4" spans="1:24">
      <c r="A4" s="652">
        <v>1</v>
      </c>
      <c r="B4" s="653" t="s">
        <v>1841</v>
      </c>
      <c r="C4" s="654">
        <v>1</v>
      </c>
      <c r="D4" s="655">
        <v>0</v>
      </c>
      <c r="E4" s="655">
        <v>0</v>
      </c>
      <c r="F4" s="655">
        <v>0</v>
      </c>
      <c r="G4" s="655">
        <v>0</v>
      </c>
      <c r="H4" s="656">
        <v>1</v>
      </c>
      <c r="I4" s="650"/>
      <c r="T4" s="671">
        <v>9.515E+20</v>
      </c>
      <c r="U4" s="640" t="s">
        <v>1848</v>
      </c>
    </row>
    <row r="5" spans="1:24">
      <c r="A5" s="652">
        <v>2</v>
      </c>
      <c r="B5" s="653" t="s">
        <v>30</v>
      </c>
      <c r="C5" s="754">
        <f>D15+D23+D31</f>
        <v>3.2877698716216217E+24</v>
      </c>
      <c r="D5" s="655">
        <v>-113</v>
      </c>
      <c r="E5" s="655">
        <v>0</v>
      </c>
      <c r="F5" s="655">
        <v>113</v>
      </c>
      <c r="G5" s="655">
        <v>0</v>
      </c>
      <c r="H5" s="656">
        <v>0</v>
      </c>
      <c r="I5" s="650"/>
      <c r="T5" s="660">
        <v>1.17E+20</v>
      </c>
      <c r="U5" s="640" t="s">
        <v>1850</v>
      </c>
    </row>
    <row r="6" spans="1:24">
      <c r="A6" s="652">
        <v>3</v>
      </c>
      <c r="B6" s="653" t="s">
        <v>1646</v>
      </c>
      <c r="C6" s="754">
        <f>D16+D24+D32</f>
        <v>7.5386644662162156E+24</v>
      </c>
      <c r="D6" s="655">
        <v>40</v>
      </c>
      <c r="E6" s="655">
        <v>-452.4</v>
      </c>
      <c r="F6" s="655">
        <v>0</v>
      </c>
      <c r="G6" s="655">
        <v>412</v>
      </c>
      <c r="H6" s="656">
        <v>0</v>
      </c>
      <c r="I6" s="650"/>
      <c r="T6" s="658">
        <v>1.2E+25</v>
      </c>
      <c r="U6" s="640" t="s">
        <v>1852</v>
      </c>
    </row>
    <row r="7" spans="1:24">
      <c r="A7" s="652">
        <v>4</v>
      </c>
      <c r="B7" s="653" t="s">
        <v>1835</v>
      </c>
      <c r="C7" s="754">
        <f>D13+D21+D29</f>
        <v>4.5281745882352945E+23</v>
      </c>
      <c r="D7" s="655">
        <v>73</v>
      </c>
      <c r="E7" s="655">
        <v>0</v>
      </c>
      <c r="F7" s="655">
        <v>-113</v>
      </c>
      <c r="G7" s="655">
        <v>40</v>
      </c>
      <c r="H7" s="656">
        <v>0</v>
      </c>
      <c r="I7" s="650"/>
      <c r="T7" s="640">
        <v>4900</v>
      </c>
      <c r="U7" s="640" t="s">
        <v>1853</v>
      </c>
      <c r="V7" s="658"/>
    </row>
    <row r="8" spans="1:24">
      <c r="A8" s="652">
        <v>5</v>
      </c>
      <c r="B8" s="663" t="s">
        <v>1836</v>
      </c>
      <c r="C8" s="755">
        <f>D14+D22+D30</f>
        <v>1.7688255333863271E+23</v>
      </c>
      <c r="D8" s="664">
        <v>0</v>
      </c>
      <c r="E8" s="664">
        <v>413</v>
      </c>
      <c r="F8" s="664">
        <v>0</v>
      </c>
      <c r="G8" s="664">
        <f>-1*(G6+G5)</f>
        <v>-412</v>
      </c>
      <c r="H8" s="665">
        <v>0</v>
      </c>
      <c r="I8" s="650"/>
      <c r="T8" s="640">
        <v>30900</v>
      </c>
      <c r="U8" s="640" t="s">
        <v>1854</v>
      </c>
      <c r="V8" s="658"/>
    </row>
    <row r="9" spans="1:24">
      <c r="B9" s="811" t="s">
        <v>1951</v>
      </c>
      <c r="C9" s="780"/>
      <c r="T9" s="671">
        <f>'Renewable Earth Flows'!B13</f>
        <v>3.725E+24</v>
      </c>
      <c r="U9" s="642" t="s">
        <v>1855</v>
      </c>
    </row>
    <row r="10" spans="1:24">
      <c r="T10" s="671">
        <f>'Renewable Earth Flows'!B14</f>
        <v>4.6623500000000003E+24</v>
      </c>
      <c r="U10" s="642" t="s">
        <v>1856</v>
      </c>
    </row>
    <row r="11" spans="1:24">
      <c r="B11" s="643" t="s">
        <v>1832</v>
      </c>
      <c r="C11" s="644"/>
      <c r="D11" s="644"/>
      <c r="E11" s="644"/>
      <c r="T11" s="678">
        <f>'Renewable Earth Flows'!B15</f>
        <v>3.6153E+24</v>
      </c>
      <c r="U11" s="646" t="s">
        <v>1857</v>
      </c>
      <c r="V11" s="646"/>
      <c r="W11" s="646"/>
      <c r="X11" s="646"/>
    </row>
    <row r="12" spans="1:24">
      <c r="B12" s="651" t="s">
        <v>1838</v>
      </c>
      <c r="C12" s="651" t="s">
        <v>1839</v>
      </c>
      <c r="D12" s="651" t="s">
        <v>1840</v>
      </c>
      <c r="E12" s="644"/>
    </row>
    <row r="13" spans="1:24">
      <c r="B13" s="640" t="s">
        <v>1842</v>
      </c>
      <c r="C13" s="657">
        <f>(0.02/3.7)*(T1/SUM(T1:T2))</f>
        <v>1.5686274509803921E-3</v>
      </c>
      <c r="D13" s="658">
        <f>C13*T$11</f>
        <v>5.6710588235294116E+21</v>
      </c>
      <c r="E13" s="644" t="s">
        <v>1843</v>
      </c>
      <c r="J13" s="645" t="s">
        <v>1858</v>
      </c>
      <c r="L13" s="646"/>
    </row>
    <row r="14" spans="1:24">
      <c r="B14" s="640" t="s">
        <v>1836</v>
      </c>
      <c r="C14" s="657">
        <f>(0.02/3.7)*(T2/SUM(T1:T2))</f>
        <v>3.836777954425013E-3</v>
      </c>
      <c r="D14" s="658">
        <f>C14*T$11</f>
        <v>1.387110333863275E+22</v>
      </c>
      <c r="E14" s="644"/>
      <c r="J14" s="679"/>
      <c r="K14" s="685" t="s">
        <v>1860</v>
      </c>
      <c r="L14" s="685" t="s">
        <v>905</v>
      </c>
      <c r="M14" s="685" t="s">
        <v>1867</v>
      </c>
      <c r="T14" s="752" t="s">
        <v>1940</v>
      </c>
      <c r="U14" s="644"/>
      <c r="V14" s="644"/>
    </row>
    <row r="15" spans="1:24">
      <c r="B15" s="640" t="s">
        <v>30</v>
      </c>
      <c r="C15" s="659">
        <f>0.2/3.7</f>
        <v>5.4054054054054057E-2</v>
      </c>
      <c r="D15" s="658">
        <f>C15*T$11</f>
        <v>1.9542162162162164E+23</v>
      </c>
      <c r="E15" s="644" t="s">
        <v>1844</v>
      </c>
      <c r="J15" s="640" t="s">
        <v>1640</v>
      </c>
      <c r="K15" s="640">
        <v>100</v>
      </c>
      <c r="L15" s="680">
        <f>(-8.314*287.25*LN((1000000-35000)/(1000000-K15))/18.01)</f>
        <v>4.7110421632689201</v>
      </c>
      <c r="M15" s="680">
        <f>(-8.314*287.25*LN((1000000-35000)/(1000000-K15))/18.01)*1000000000000000000</f>
        <v>4.7110421632689203E+18</v>
      </c>
      <c r="T15" s="652" t="s">
        <v>1861</v>
      </c>
      <c r="U15" s="644"/>
      <c r="V15" s="644"/>
    </row>
    <row r="16" spans="1:24">
      <c r="B16" s="640" t="s">
        <v>1646</v>
      </c>
      <c r="C16" s="661">
        <f>1-C13-C14-C15</f>
        <v>0.94054054054054048</v>
      </c>
      <c r="D16" s="662">
        <f>C16*T$11</f>
        <v>3.4003362162162158E+24</v>
      </c>
      <c r="E16" s="644"/>
      <c r="J16" s="640" t="s">
        <v>1646</v>
      </c>
      <c r="K16" s="640">
        <v>35000</v>
      </c>
      <c r="L16" s="680">
        <f>(-8.314*287.25*LN((1000000-35000)/(1000000-K16))/18.01)</f>
        <v>0</v>
      </c>
      <c r="M16" s="680">
        <f>(-8.314*287.25*LN((1000000-35000)/(1000000-K16))/18.01)*1000000000000000000</f>
        <v>0</v>
      </c>
      <c r="T16" s="640" t="s">
        <v>1862</v>
      </c>
      <c r="U16" s="644"/>
      <c r="V16" s="644"/>
    </row>
    <row r="17" spans="1:22">
      <c r="A17" s="652"/>
      <c r="B17" s="666"/>
      <c r="C17" s="667">
        <f>C13+C14+C15+C16</f>
        <v>1</v>
      </c>
      <c r="D17" s="668">
        <f>SUM(D13:D16)</f>
        <v>3.6152999999999995E+24</v>
      </c>
      <c r="E17" s="670"/>
      <c r="J17" s="640" t="s">
        <v>1880</v>
      </c>
      <c r="K17" s="640">
        <v>10</v>
      </c>
      <c r="L17" s="680">
        <f>(-8.314*287.25*LN((1000000-35000)/(1000000-K17))/18.01)</f>
        <v>4.7229771720067255</v>
      </c>
      <c r="M17" s="658">
        <f>(-8.314*287.25*LN((1000000-35000)/(1000000-K17))/18.01)*1000000000000000000</f>
        <v>4.7229771720067256E+18</v>
      </c>
      <c r="T17" s="640" t="s">
        <v>1863</v>
      </c>
      <c r="U17" s="644"/>
      <c r="V17" s="644"/>
    </row>
    <row r="18" spans="1:22">
      <c r="A18" s="652"/>
      <c r="B18" s="644"/>
      <c r="C18" s="669"/>
      <c r="D18" s="670"/>
      <c r="E18" s="644"/>
      <c r="J18" s="646" t="s">
        <v>1881</v>
      </c>
      <c r="K18" s="646">
        <v>0.01</v>
      </c>
      <c r="L18" s="686">
        <f>(-8.314*287.25*LN((1000000-10)/(1000000-K18))/18.01)</f>
        <v>1.3247197360125513E-3</v>
      </c>
      <c r="M18" s="662">
        <f>(-8.314*287.25*LN((1000000-10)/(1000000-K18))/18.01)*1000000000000000000</f>
        <v>1324719736012551.3</v>
      </c>
      <c r="T18" s="640" t="s">
        <v>1864</v>
      </c>
      <c r="U18" s="644"/>
      <c r="V18" s="644"/>
    </row>
    <row r="19" spans="1:22" ht="18.5">
      <c r="A19" s="652"/>
      <c r="B19" s="643" t="s">
        <v>1849</v>
      </c>
      <c r="C19" s="644"/>
      <c r="D19" s="644"/>
      <c r="E19" s="644"/>
      <c r="H19" s="758"/>
      <c r="U19" s="644"/>
      <c r="V19" s="644"/>
    </row>
    <row r="20" spans="1:22">
      <c r="A20" s="652"/>
      <c r="B20" s="651" t="s">
        <v>1838</v>
      </c>
      <c r="C20" s="651" t="s">
        <v>1839</v>
      </c>
      <c r="D20" s="651" t="s">
        <v>1840</v>
      </c>
      <c r="E20" s="644"/>
    </row>
    <row r="21" spans="1:22">
      <c r="A21" s="652"/>
      <c r="B21" s="640" t="s">
        <v>1842</v>
      </c>
      <c r="C21" s="675">
        <f>8%*0.3</f>
        <v>2.4E-2</v>
      </c>
      <c r="D21" s="658">
        <f>T$10*C21</f>
        <v>1.1189640000000001E+23</v>
      </c>
      <c r="E21" s="644" t="s">
        <v>1917</v>
      </c>
    </row>
    <row r="22" spans="1:22">
      <c r="B22" s="640" t="s">
        <v>1836</v>
      </c>
      <c r="C22" s="675">
        <f>1%*0.7</f>
        <v>6.9999999999999993E-3</v>
      </c>
      <c r="D22" s="658">
        <f>T$10*C22</f>
        <v>3.2636449999999998E+22</v>
      </c>
      <c r="E22" s="644"/>
      <c r="T22" s="752" t="s">
        <v>1938</v>
      </c>
    </row>
    <row r="23" spans="1:22">
      <c r="B23" s="640" t="s">
        <v>30</v>
      </c>
      <c r="C23" s="683">
        <v>0.495</v>
      </c>
      <c r="D23" s="658">
        <f>T$10*C23</f>
        <v>2.30786325E+24</v>
      </c>
      <c r="E23" s="644" t="s">
        <v>1865</v>
      </c>
      <c r="L23" s="658"/>
      <c r="T23" s="752" t="s">
        <v>1939</v>
      </c>
    </row>
    <row r="24" spans="1:22">
      <c r="B24" s="640" t="s">
        <v>1646</v>
      </c>
      <c r="C24" s="684">
        <v>0.495</v>
      </c>
      <c r="D24" s="662">
        <f>T$10*C24</f>
        <v>2.30786325E+24</v>
      </c>
      <c r="E24" s="644" t="s">
        <v>1865</v>
      </c>
      <c r="T24" s="752" t="s">
        <v>1941</v>
      </c>
    </row>
    <row r="25" spans="1:22">
      <c r="B25" s="666"/>
      <c r="C25" s="667">
        <f>C21+C22+C23+C24</f>
        <v>1.0209999999999999</v>
      </c>
      <c r="D25" s="668">
        <f>SUM(D21:D24)</f>
        <v>4.7602593499999997E+24</v>
      </c>
      <c r="E25" s="670"/>
    </row>
    <row r="26" spans="1:22">
      <c r="B26" s="644"/>
      <c r="C26" s="669"/>
      <c r="D26" s="670"/>
      <c r="E26" s="644"/>
      <c r="F26" s="658"/>
    </row>
    <row r="27" spans="1:22">
      <c r="B27" s="643" t="s">
        <v>1859</v>
      </c>
      <c r="C27" s="644"/>
      <c r="D27" s="644"/>
      <c r="E27" s="644"/>
    </row>
    <row r="28" spans="1:22">
      <c r="B28" s="651" t="s">
        <v>1838</v>
      </c>
      <c r="C28" s="651" t="s">
        <v>1839</v>
      </c>
      <c r="D28" s="651" t="s">
        <v>1840</v>
      </c>
      <c r="E28" s="644"/>
    </row>
    <row r="29" spans="1:22">
      <c r="B29" s="640" t="s">
        <v>1842</v>
      </c>
      <c r="C29" s="681">
        <f>30%*0.3</f>
        <v>0.09</v>
      </c>
      <c r="D29" s="658">
        <f>T$9*C29</f>
        <v>3.3525000000000002E+23</v>
      </c>
      <c r="E29" s="644" t="s">
        <v>1918</v>
      </c>
    </row>
    <row r="30" spans="1:22">
      <c r="B30" s="640" t="s">
        <v>1836</v>
      </c>
      <c r="C30" s="681">
        <f>5%*0.7</f>
        <v>3.4999999999999996E-2</v>
      </c>
      <c r="D30" s="658">
        <f>T$9*C30</f>
        <v>1.3037499999999999E+23</v>
      </c>
      <c r="E30" s="644"/>
    </row>
    <row r="31" spans="1:22" ht="32.25" customHeight="1">
      <c r="B31" s="640" t="s">
        <v>30</v>
      </c>
      <c r="C31" s="681">
        <f>0.702*0.3</f>
        <v>0.21059999999999998</v>
      </c>
      <c r="D31" s="658">
        <f>T$9*C31</f>
        <v>7.8448499999999996E+23</v>
      </c>
      <c r="E31" s="644"/>
    </row>
    <row r="32" spans="1:22">
      <c r="B32" s="640" t="s">
        <v>1646</v>
      </c>
      <c r="C32" s="682">
        <f>0.702*0.7</f>
        <v>0.49139999999999995</v>
      </c>
      <c r="D32" s="662">
        <f>T$9*C32</f>
        <v>1.8304649999999999E+24</v>
      </c>
      <c r="E32" s="644"/>
    </row>
    <row r="33" spans="1:15">
      <c r="B33" s="666"/>
      <c r="C33" s="667">
        <f>C29+C30+C31+C32</f>
        <v>0.82699999999999996</v>
      </c>
      <c r="D33" s="668">
        <f>SUM(D29:D32)</f>
        <v>3.0805749999999998E+24</v>
      </c>
      <c r="E33" s="670"/>
    </row>
    <row r="35" spans="1:15">
      <c r="B35" s="641" t="s">
        <v>1875</v>
      </c>
      <c r="C35" s="642"/>
      <c r="O35" s="658"/>
    </row>
    <row r="36" spans="1:15" ht="16" thickBot="1">
      <c r="B36" s="647" t="s">
        <v>1833</v>
      </c>
      <c r="C36" s="648" t="s">
        <v>1834</v>
      </c>
      <c r="D36" s="648" t="s">
        <v>30</v>
      </c>
      <c r="E36" s="648" t="s">
        <v>1646</v>
      </c>
      <c r="F36" s="648" t="s">
        <v>1835</v>
      </c>
      <c r="G36" s="648" t="s">
        <v>1836</v>
      </c>
      <c r="H36" s="648" t="s">
        <v>1837</v>
      </c>
      <c r="I36" s="672" t="s">
        <v>1851</v>
      </c>
    </row>
    <row r="37" spans="1:15">
      <c r="A37" s="652">
        <v>1</v>
      </c>
      <c r="B37" s="653" t="s">
        <v>1841</v>
      </c>
      <c r="C37" s="654">
        <v>1</v>
      </c>
      <c r="D37" s="655">
        <v>0</v>
      </c>
      <c r="E37" s="655">
        <v>0</v>
      </c>
      <c r="F37" s="655">
        <v>0</v>
      </c>
      <c r="G37" s="655">
        <v>0</v>
      </c>
      <c r="H37" s="656">
        <v>1</v>
      </c>
      <c r="I37" s="673">
        <f t="array" ref="I37:I41">MMULT(MINVERSE(C37:G41),H37:H41)</f>
        <v>0.99999999999999967</v>
      </c>
    </row>
    <row r="38" spans="1:15">
      <c r="A38" s="652">
        <v>2</v>
      </c>
      <c r="B38" s="653" t="s">
        <v>30</v>
      </c>
      <c r="C38" s="753">
        <f>C5</f>
        <v>3.2877698716216217E+24</v>
      </c>
      <c r="D38" s="676">
        <f>D5*M17</f>
        <v>-5.3369642043676E+20</v>
      </c>
      <c r="E38" s="655">
        <v>0</v>
      </c>
      <c r="F38" s="676">
        <f>F5*M17</f>
        <v>5.3369642043676E+20</v>
      </c>
      <c r="G38" s="676">
        <f>G5*M17</f>
        <v>0</v>
      </c>
      <c r="H38" s="656">
        <v>1</v>
      </c>
      <c r="I38" s="674">
        <v>7010.1090739154633</v>
      </c>
    </row>
    <row r="39" spans="1:15">
      <c r="A39" s="652">
        <v>3</v>
      </c>
      <c r="B39" s="653" t="s">
        <v>1646</v>
      </c>
      <c r="C39" s="753">
        <f>C6</f>
        <v>7.5386644662162156E+24</v>
      </c>
      <c r="D39" s="676">
        <f>D6*M15</f>
        <v>1.884416865307568E+20</v>
      </c>
      <c r="E39" s="676">
        <f>E6*M17</f>
        <v>-2.1366748726158426E+21</v>
      </c>
      <c r="F39" s="655">
        <v>0</v>
      </c>
      <c r="G39" s="676">
        <f>G6*M17</f>
        <v>1.945866594866771E+21</v>
      </c>
      <c r="H39" s="656">
        <v>1</v>
      </c>
      <c r="I39" s="674">
        <v>4230.3386301077335</v>
      </c>
    </row>
    <row r="40" spans="1:15">
      <c r="A40" s="652">
        <v>4</v>
      </c>
      <c r="B40" s="653" t="s">
        <v>1835</v>
      </c>
      <c r="C40" s="753">
        <f>C7</f>
        <v>4.5281745882352945E+23</v>
      </c>
      <c r="D40" s="676">
        <f>D7*(M18)</f>
        <v>9.670454072891624E+16</v>
      </c>
      <c r="E40" s="655">
        <v>0</v>
      </c>
      <c r="F40" s="676">
        <f>F7*M17</f>
        <v>-5.3369642043676E+20</v>
      </c>
      <c r="G40" s="676">
        <f>G7*M18</f>
        <v>5.2988789440502048E+16</v>
      </c>
      <c r="H40" s="656">
        <v>1</v>
      </c>
      <c r="I40" s="655">
        <v>849.73447569159816</v>
      </c>
    </row>
    <row r="41" spans="1:15">
      <c r="A41" s="652">
        <v>5</v>
      </c>
      <c r="B41" s="663" t="s">
        <v>1836</v>
      </c>
      <c r="C41" s="756">
        <f>C8</f>
        <v>1.7688255333863271E+23</v>
      </c>
      <c r="D41" s="664">
        <v>0</v>
      </c>
      <c r="E41" s="677">
        <f>E8*(M18)</f>
        <v>5.4710925097318368E+17</v>
      </c>
      <c r="F41" s="664">
        <v>0</v>
      </c>
      <c r="G41" s="677">
        <f>G8*M17</f>
        <v>-1.945866594866771E+21</v>
      </c>
      <c r="H41" s="665">
        <v>1</v>
      </c>
      <c r="I41" s="664">
        <v>92.09110799817347</v>
      </c>
    </row>
  </sheetData>
  <pageMargins left="0.75" right="0.75" top="1" bottom="1" header="0.5" footer="0.5"/>
  <pageSetup orientation="portrait" horizontalDpi="4294967292" verticalDpi="4294967292"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theme="3" tint="0.39997558519241921"/>
  </sheetPr>
  <dimension ref="B1:X39"/>
  <sheetViews>
    <sheetView topLeftCell="B19" zoomScale="70" zoomScaleNormal="70" workbookViewId="0">
      <pane xSplit="1" topLeftCell="C1" activePane="topRight" state="frozen"/>
      <selection activeCell="B4" sqref="B4"/>
      <selection pane="topRight" activeCell="H18" sqref="H18"/>
    </sheetView>
  </sheetViews>
  <sheetFormatPr defaultColWidth="8.81640625" defaultRowHeight="14.5"/>
  <cols>
    <col min="1" max="1" width="5" customWidth="1"/>
    <col min="2" max="2" width="42.6328125" customWidth="1"/>
    <col min="3" max="3" width="16.81640625" customWidth="1"/>
    <col min="4" max="4" width="12" customWidth="1"/>
    <col min="5" max="5" width="9.6328125" bestFit="1" customWidth="1"/>
    <col min="6" max="6" width="12.6328125" bestFit="1" customWidth="1"/>
    <col min="7" max="7" width="13.6328125" bestFit="1" customWidth="1"/>
    <col min="8" max="8" width="19.1796875" bestFit="1" customWidth="1"/>
    <col min="9" max="9" width="11.453125" customWidth="1"/>
    <col min="10" max="10" width="8.81640625" bestFit="1" customWidth="1"/>
    <col min="11" max="11" width="10" customWidth="1"/>
    <col min="12" max="12" width="18.36328125" customWidth="1"/>
    <col min="13" max="14" width="19.36328125" customWidth="1"/>
    <col min="16" max="16" width="9.1796875" bestFit="1" customWidth="1"/>
    <col min="17" max="17" width="11.1796875" bestFit="1" customWidth="1"/>
    <col min="18" max="18" width="9" bestFit="1" customWidth="1"/>
    <col min="19" max="19" width="8.81640625" customWidth="1"/>
    <col min="23" max="23" width="10.36328125" bestFit="1" customWidth="1"/>
  </cols>
  <sheetData>
    <row r="1" spans="2:23">
      <c r="J1" s="829"/>
      <c r="K1" s="829"/>
      <c r="L1" s="122"/>
    </row>
    <row r="2" spans="2:23" ht="24" customHeight="1">
      <c r="B2" s="832" t="s">
        <v>1288</v>
      </c>
      <c r="C2" s="832"/>
      <c r="D2" s="832"/>
      <c r="E2" s="832"/>
      <c r="F2" s="832"/>
      <c r="G2" s="832"/>
      <c r="H2" s="832"/>
      <c r="I2" s="832"/>
      <c r="J2" s="96"/>
      <c r="K2" s="96"/>
      <c r="L2" s="96"/>
      <c r="M2" s="96"/>
      <c r="N2" s="96"/>
    </row>
    <row r="3" spans="2:23" ht="22" customHeight="1">
      <c r="B3" s="127"/>
      <c r="C3" s="127"/>
      <c r="D3" s="127"/>
      <c r="E3" s="127"/>
      <c r="F3" s="127"/>
      <c r="G3" s="127"/>
      <c r="H3" s="127"/>
      <c r="I3" s="127"/>
      <c r="J3" s="831" t="s">
        <v>907</v>
      </c>
      <c r="K3" s="831"/>
      <c r="L3" s="147"/>
      <c r="M3" s="127"/>
      <c r="N3" s="127"/>
    </row>
    <row r="4" spans="2:23" ht="51" customHeight="1">
      <c r="B4" s="148" t="s">
        <v>7</v>
      </c>
      <c r="C4" s="149" t="s">
        <v>1289</v>
      </c>
      <c r="D4" s="149" t="s">
        <v>1290</v>
      </c>
      <c r="E4" s="148" t="s">
        <v>185</v>
      </c>
      <c r="F4" s="148" t="s">
        <v>186</v>
      </c>
      <c r="G4" s="149" t="s">
        <v>1291</v>
      </c>
      <c r="H4" s="149" t="s">
        <v>1292</v>
      </c>
      <c r="I4" s="149" t="s">
        <v>1293</v>
      </c>
      <c r="J4" s="149" t="s">
        <v>1284</v>
      </c>
      <c r="K4" s="149" t="s">
        <v>1285</v>
      </c>
      <c r="L4" s="149" t="s">
        <v>1294</v>
      </c>
      <c r="M4" s="149" t="s">
        <v>1295</v>
      </c>
      <c r="N4" s="149" t="s">
        <v>1296</v>
      </c>
      <c r="V4" s="12"/>
      <c r="W4" s="12"/>
    </row>
    <row r="5" spans="2:23">
      <c r="B5" t="s">
        <v>187</v>
      </c>
      <c r="C5" s="121">
        <v>361300</v>
      </c>
      <c r="D5" s="121">
        <v>1338000</v>
      </c>
      <c r="E5" s="714">
        <f t="shared" ref="E5:E20" si="0">D5/$D$27</f>
        <v>0.9635436352293415</v>
      </c>
      <c r="F5" s="715" t="s">
        <v>1287</v>
      </c>
      <c r="G5" s="121">
        <v>2500</v>
      </c>
      <c r="H5" s="716">
        <v>35000</v>
      </c>
      <c r="I5" s="64"/>
      <c r="J5" s="480">
        <f t="shared" ref="J5:J25" si="1">D5*1000000000000*1000000/G5</f>
        <v>5.352E+20</v>
      </c>
      <c r="K5" s="480">
        <f t="shared" ref="K5:K25" si="2">I5*J5</f>
        <v>0</v>
      </c>
      <c r="L5" s="480">
        <v>1.2E+25</v>
      </c>
      <c r="M5" s="480">
        <f t="shared" ref="M5:M22" si="3">L5/J5</f>
        <v>22421.52466367713</v>
      </c>
      <c r="N5" s="480"/>
    </row>
    <row r="6" spans="2:23">
      <c r="B6" t="s">
        <v>1782</v>
      </c>
      <c r="C6" s="121">
        <v>134800</v>
      </c>
      <c r="D6" s="121">
        <v>25400</v>
      </c>
      <c r="E6" s="717">
        <f t="shared" si="0"/>
        <v>1.8291486049944152E-2</v>
      </c>
      <c r="F6" s="714">
        <f t="shared" ref="F6:F20" si="4">D6/$D$28</f>
        <v>0.69268715984356222</v>
      </c>
      <c r="G6" s="121">
        <v>1400</v>
      </c>
      <c r="H6" s="121">
        <f>335</f>
        <v>335</v>
      </c>
      <c r="I6" s="64">
        <f t="shared" ref="I6:I25" si="5">gas_constant*Surface_Temperature/18.01*LN((1000000-H6)/965000)</f>
        <v>4.6798734640277457</v>
      </c>
      <c r="J6" s="480">
        <f t="shared" si="1"/>
        <v>1.8142857142857144E+19</v>
      </c>
      <c r="K6" s="480">
        <f t="shared" si="2"/>
        <v>8.4906275704503386E+19</v>
      </c>
      <c r="L6" s="480">
        <f t="shared" ref="L6:L12" si="6">GEB</f>
        <v>1.2E+25</v>
      </c>
      <c r="M6" s="480">
        <f t="shared" si="3"/>
        <v>661417.32283464563</v>
      </c>
      <c r="N6" s="718">
        <f t="shared" ref="N6:N22" si="7">ROUND((M6/I6),-3)</f>
        <v>141000</v>
      </c>
      <c r="O6" s="3"/>
    </row>
    <row r="7" spans="2:23">
      <c r="B7" t="s">
        <v>1783</v>
      </c>
      <c r="C7" s="121">
        <v>134800</v>
      </c>
      <c r="D7" s="121">
        <v>11530</v>
      </c>
      <c r="E7" s="717">
        <f t="shared" si="0"/>
        <v>8.3031824470809479E-3</v>
      </c>
      <c r="F7" s="714">
        <f t="shared" si="4"/>
        <v>0.31443633673213667</v>
      </c>
      <c r="G7" s="121">
        <v>1400</v>
      </c>
      <c r="H7" s="121">
        <v>335</v>
      </c>
      <c r="I7" s="64">
        <f t="shared" si="5"/>
        <v>4.6798734640277457</v>
      </c>
      <c r="J7" s="480">
        <f t="shared" si="1"/>
        <v>8.2357142857142856E+18</v>
      </c>
      <c r="K7" s="480">
        <f t="shared" si="2"/>
        <v>3.8542100743028507E+19</v>
      </c>
      <c r="L7" s="480">
        <f t="shared" si="6"/>
        <v>1.2E+25</v>
      </c>
      <c r="M7" s="480">
        <f t="shared" si="3"/>
        <v>1457068.5169124024</v>
      </c>
      <c r="N7" s="718">
        <f t="shared" si="7"/>
        <v>311000</v>
      </c>
      <c r="O7" s="3"/>
    </row>
    <row r="8" spans="2:23" ht="14.25" customHeight="1">
      <c r="B8" t="s">
        <v>189</v>
      </c>
      <c r="C8" s="121">
        <v>82000</v>
      </c>
      <c r="D8" s="121">
        <v>16.5</v>
      </c>
      <c r="E8" s="719">
        <f t="shared" si="0"/>
        <v>1.188226456000309E-5</v>
      </c>
      <c r="F8" s="720">
        <f t="shared" si="4"/>
        <v>4.4997394241806204E-4</v>
      </c>
      <c r="G8" s="121">
        <v>1</v>
      </c>
      <c r="H8" s="121">
        <v>10</v>
      </c>
      <c r="I8" s="64">
        <f t="shared" si="5"/>
        <v>4.7229771720067237</v>
      </c>
      <c r="J8" s="480">
        <f t="shared" si="1"/>
        <v>1.65E+19</v>
      </c>
      <c r="K8" s="480">
        <f t="shared" si="2"/>
        <v>7.7929123338110943E+19</v>
      </c>
      <c r="L8" s="480">
        <f>GEB</f>
        <v>1.2E+25</v>
      </c>
      <c r="M8" s="480">
        <f t="shared" si="3"/>
        <v>727272.72727272729</v>
      </c>
      <c r="N8" s="718">
        <f t="shared" si="7"/>
        <v>154000</v>
      </c>
    </row>
    <row r="9" spans="2:23">
      <c r="B9" t="s">
        <v>190</v>
      </c>
      <c r="C9" s="716">
        <v>16277.5</v>
      </c>
      <c r="D9" s="121">
        <v>24064</v>
      </c>
      <c r="E9" s="717">
        <f t="shared" si="0"/>
        <v>1.7329382689206932E-2</v>
      </c>
      <c r="F9" s="714">
        <f t="shared" si="4"/>
        <v>0.65625290608171183</v>
      </c>
      <c r="G9" s="716">
        <f>SUMPRODUCT(F10:F13,G10:G13)/F9</f>
        <v>9686.3742519946809</v>
      </c>
      <c r="H9" s="121">
        <v>10</v>
      </c>
      <c r="I9" s="64">
        <f t="shared" si="5"/>
        <v>4.7229771720067237</v>
      </c>
      <c r="J9" s="480">
        <f t="shared" si="1"/>
        <v>2.4843144993127419E+18</v>
      </c>
      <c r="K9" s="480">
        <f t="shared" si="2"/>
        <v>1.1733360668339393E+19</v>
      </c>
      <c r="L9" s="480">
        <f t="shared" si="6"/>
        <v>1.2E+25</v>
      </c>
      <c r="M9" s="480">
        <f t="shared" si="3"/>
        <v>4830306.309172879</v>
      </c>
      <c r="N9" s="718">
        <f t="shared" si="7"/>
        <v>1023000</v>
      </c>
      <c r="O9" s="3"/>
    </row>
    <row r="10" spans="2:23">
      <c r="B10" t="s">
        <v>191</v>
      </c>
      <c r="C10" s="121">
        <v>13980</v>
      </c>
      <c r="D10" s="121">
        <v>21600</v>
      </c>
      <c r="E10" s="717">
        <f t="shared" si="0"/>
        <v>1.5554964514913137E-2</v>
      </c>
      <c r="F10" s="714">
        <f t="shared" si="4"/>
        <v>0.58905679734728122</v>
      </c>
      <c r="G10" s="121">
        <v>9700</v>
      </c>
      <c r="H10" s="121">
        <v>10</v>
      </c>
      <c r="I10" s="64">
        <f t="shared" si="5"/>
        <v>4.7229771720067237</v>
      </c>
      <c r="J10" s="480">
        <f t="shared" si="1"/>
        <v>2.2268041237113403E+18</v>
      </c>
      <c r="K10" s="480">
        <f t="shared" si="2"/>
        <v>1.0517145042819097E+19</v>
      </c>
      <c r="L10" s="480">
        <f t="shared" si="6"/>
        <v>1.2E+25</v>
      </c>
      <c r="M10" s="480">
        <f t="shared" si="3"/>
        <v>5388888.888888889</v>
      </c>
      <c r="N10" s="718">
        <f t="shared" si="7"/>
        <v>1141000</v>
      </c>
      <c r="O10" s="3"/>
    </row>
    <row r="11" spans="2:23">
      <c r="B11" t="s">
        <v>192</v>
      </c>
      <c r="C11" s="121">
        <v>1802.4</v>
      </c>
      <c r="D11" s="121">
        <v>2340</v>
      </c>
      <c r="E11" s="717">
        <f t="shared" si="0"/>
        <v>1.6851211557822564E-3</v>
      </c>
      <c r="F11" s="714">
        <f t="shared" si="4"/>
        <v>6.3814486379288798E-2</v>
      </c>
      <c r="G11" s="121">
        <v>9700</v>
      </c>
      <c r="H11" s="121">
        <v>10</v>
      </c>
      <c r="I11" s="64">
        <f t="shared" si="5"/>
        <v>4.7229771720067237</v>
      </c>
      <c r="J11" s="480">
        <f t="shared" si="1"/>
        <v>2.4123711340206186E+17</v>
      </c>
      <c r="K11" s="480">
        <f t="shared" si="2"/>
        <v>1.1393573796387354E+18</v>
      </c>
      <c r="L11" s="480">
        <f t="shared" si="6"/>
        <v>1.2E+25</v>
      </c>
      <c r="M11" s="480">
        <f t="shared" si="3"/>
        <v>49743589.743589744</v>
      </c>
      <c r="N11" s="718">
        <f t="shared" si="7"/>
        <v>10532000</v>
      </c>
    </row>
    <row r="12" spans="2:23">
      <c r="B12" t="s">
        <v>193</v>
      </c>
      <c r="C12" s="121">
        <v>226.1</v>
      </c>
      <c r="D12" s="121">
        <v>83.5</v>
      </c>
      <c r="E12" s="720">
        <f t="shared" si="0"/>
        <v>6.0131460046076243E-5</v>
      </c>
      <c r="F12" s="717">
        <f t="shared" si="4"/>
        <v>2.2771408601156475E-3</v>
      </c>
      <c r="G12" s="121">
        <v>9700</v>
      </c>
      <c r="H12" s="121">
        <v>10</v>
      </c>
      <c r="I12" s="64">
        <f t="shared" si="5"/>
        <v>4.7229771720067237</v>
      </c>
      <c r="J12" s="480">
        <f t="shared" si="1"/>
        <v>8608247422680412</v>
      </c>
      <c r="K12" s="480">
        <f t="shared" si="2"/>
        <v>4.0656556068305304E+16</v>
      </c>
      <c r="L12" s="480">
        <f t="shared" si="6"/>
        <v>1.2E+25</v>
      </c>
      <c r="M12" s="480">
        <f t="shared" si="3"/>
        <v>1394011976.0479043</v>
      </c>
      <c r="N12" s="718">
        <f t="shared" si="7"/>
        <v>295155000</v>
      </c>
    </row>
    <row r="13" spans="2:23">
      <c r="B13" t="s">
        <v>194</v>
      </c>
      <c r="C13" s="121">
        <v>224</v>
      </c>
      <c r="D13" s="121">
        <v>40.6</v>
      </c>
      <c r="E13" s="719">
        <f t="shared" si="0"/>
        <v>2.9237572190068213E-5</v>
      </c>
      <c r="F13" s="717">
        <f t="shared" si="4"/>
        <v>1.107208609828686E-3</v>
      </c>
      <c r="G13" s="121">
        <v>1600</v>
      </c>
      <c r="H13" s="121">
        <v>10</v>
      </c>
      <c r="I13" s="64">
        <f t="shared" si="5"/>
        <v>4.7229771720067237</v>
      </c>
      <c r="J13" s="480">
        <f t="shared" si="1"/>
        <v>2.5375E+16</v>
      </c>
      <c r="K13" s="480">
        <f t="shared" si="2"/>
        <v>1.1984554573967061E+17</v>
      </c>
      <c r="L13" s="480">
        <v>1.2E+25</v>
      </c>
      <c r="M13" s="480">
        <f t="shared" si="3"/>
        <v>472906403.94088668</v>
      </c>
      <c r="N13" s="718">
        <f t="shared" si="7"/>
        <v>100129000</v>
      </c>
      <c r="O13" s="3"/>
    </row>
    <row r="14" spans="2:23">
      <c r="B14" t="s">
        <v>195</v>
      </c>
      <c r="C14" s="121">
        <v>21000</v>
      </c>
      <c r="D14" s="121">
        <v>300</v>
      </c>
      <c r="E14" s="720">
        <f t="shared" si="0"/>
        <v>2.16041173818238E-4</v>
      </c>
      <c r="F14" s="717">
        <f t="shared" si="4"/>
        <v>8.1813444076011283E-3</v>
      </c>
      <c r="G14" s="121">
        <v>10000</v>
      </c>
      <c r="H14" s="121">
        <v>10</v>
      </c>
      <c r="I14" s="64">
        <f t="shared" si="5"/>
        <v>4.7229771720067237</v>
      </c>
      <c r="J14" s="480">
        <f t="shared" si="1"/>
        <v>3E+16</v>
      </c>
      <c r="K14" s="480">
        <f t="shared" si="2"/>
        <v>1.4168931516020171E+17</v>
      </c>
      <c r="L14" s="480">
        <v>1.2E+25</v>
      </c>
      <c r="M14" s="480">
        <f t="shared" si="3"/>
        <v>400000000</v>
      </c>
      <c r="N14" s="718">
        <f t="shared" si="7"/>
        <v>84692000</v>
      </c>
    </row>
    <row r="15" spans="2:23">
      <c r="B15" t="s">
        <v>6</v>
      </c>
      <c r="C15" s="121">
        <v>2058.6999999999998</v>
      </c>
      <c r="D15" s="121">
        <v>176.4</v>
      </c>
      <c r="E15" s="720">
        <f t="shared" si="0"/>
        <v>1.2703221020512396E-4</v>
      </c>
      <c r="F15" s="717">
        <f t="shared" si="4"/>
        <v>4.8106305116694635E-3</v>
      </c>
      <c r="G15" s="121">
        <v>17</v>
      </c>
      <c r="H15" s="121">
        <v>10000</v>
      </c>
      <c r="I15" s="64">
        <f t="shared" si="5"/>
        <v>3.3915893416488241</v>
      </c>
      <c r="J15" s="480">
        <f t="shared" si="1"/>
        <v>1.0376470588235295E+19</v>
      </c>
      <c r="K15" s="480">
        <f t="shared" si="2"/>
        <v>3.5192727050991329E+19</v>
      </c>
      <c r="L15" s="721">
        <f>'Renewable Earth Flows'!$B$64</f>
        <v>1.2005951667821554E+25</v>
      </c>
      <c r="M15" s="480">
        <f t="shared" si="3"/>
        <v>1157036.1584635284</v>
      </c>
      <c r="N15" s="718">
        <f t="shared" si="7"/>
        <v>341000</v>
      </c>
    </row>
    <row r="16" spans="2:23">
      <c r="B16" t="s">
        <v>196</v>
      </c>
      <c r="C16" s="121">
        <v>1236.4000000000001</v>
      </c>
      <c r="D16" s="121">
        <v>91</v>
      </c>
      <c r="E16" s="719">
        <f t="shared" si="0"/>
        <v>6.5532489391532191E-5</v>
      </c>
      <c r="F16" s="720">
        <f t="shared" si="4"/>
        <v>2.4816744703056756E-3</v>
      </c>
      <c r="G16" s="121">
        <v>17</v>
      </c>
      <c r="H16" s="121">
        <v>200</v>
      </c>
      <c r="I16" s="64">
        <f t="shared" si="5"/>
        <v>4.6977797824515406</v>
      </c>
      <c r="J16" s="480">
        <f t="shared" si="1"/>
        <v>5.3529411764705884E+18</v>
      </c>
      <c r="K16" s="480">
        <f t="shared" si="2"/>
        <v>2.5146938835475894E+19</v>
      </c>
      <c r="L16" s="721">
        <f>'Renewable Earth Flows'!$B$64</f>
        <v>1.2005951667821554E+25</v>
      </c>
      <c r="M16" s="480">
        <f t="shared" si="3"/>
        <v>2242870.0917908396</v>
      </c>
      <c r="N16" s="718">
        <f t="shared" si="7"/>
        <v>477000</v>
      </c>
    </row>
    <row r="17" spans="2:24">
      <c r="B17" t="s">
        <v>197</v>
      </c>
      <c r="C17" s="121">
        <v>822.3</v>
      </c>
      <c r="D17" s="121">
        <v>85.4</v>
      </c>
      <c r="E17" s="719">
        <f t="shared" si="0"/>
        <v>6.1499720813591759E-5</v>
      </c>
      <c r="F17" s="720">
        <f t="shared" si="4"/>
        <v>2.3289560413637879E-3</v>
      </c>
      <c r="G17" s="121">
        <v>17</v>
      </c>
      <c r="H17" s="121"/>
      <c r="I17" s="64">
        <f t="shared" si="5"/>
        <v>4.7243032177818733</v>
      </c>
      <c r="J17" s="480">
        <f t="shared" si="1"/>
        <v>5.0235294117647063E+18</v>
      </c>
      <c r="K17" s="480">
        <f t="shared" si="2"/>
        <v>2.3732676164621881E+19</v>
      </c>
      <c r="L17" s="721">
        <f>'Renewable Earth Flows'!$B$64</f>
        <v>1.2005951667821554E+25</v>
      </c>
      <c r="M17" s="480">
        <f t="shared" si="3"/>
        <v>2389943.540432862</v>
      </c>
      <c r="N17" s="718">
        <f t="shared" si="7"/>
        <v>506000</v>
      </c>
      <c r="V17" s="219"/>
    </row>
    <row r="18" spans="2:24">
      <c r="B18" t="s">
        <v>1521</v>
      </c>
      <c r="C18" s="121">
        <v>2682.6</v>
      </c>
      <c r="D18" s="121">
        <v>11.5</v>
      </c>
      <c r="E18" s="719">
        <f t="shared" si="0"/>
        <v>8.2815783296991233E-6</v>
      </c>
      <c r="F18" s="720">
        <f t="shared" si="4"/>
        <v>3.1361820229137657E-4</v>
      </c>
      <c r="G18" s="64">
        <v>5</v>
      </c>
      <c r="H18" s="121">
        <v>50</v>
      </c>
      <c r="I18" s="64">
        <f t="shared" si="5"/>
        <v>4.7176728562968817</v>
      </c>
      <c r="J18" s="480">
        <f t="shared" si="1"/>
        <v>2.3E+18</v>
      </c>
      <c r="K18" s="480">
        <f t="shared" si="2"/>
        <v>1.0850647569482828E+19</v>
      </c>
      <c r="L18" s="721">
        <f>'Renewable Earth Flows'!$B$64</f>
        <v>1.2005951667821554E+25</v>
      </c>
      <c r="M18" s="480">
        <f t="shared" si="3"/>
        <v>5219978.9860093715</v>
      </c>
      <c r="N18" s="718">
        <f t="shared" si="7"/>
        <v>1106000</v>
      </c>
      <c r="U18" s="16"/>
      <c r="V18" s="322"/>
      <c r="X18" s="323"/>
    </row>
    <row r="19" spans="2:24">
      <c r="B19" t="s">
        <v>198</v>
      </c>
      <c r="C19" s="121">
        <v>148800</v>
      </c>
      <c r="D19" s="121">
        <v>2.12</v>
      </c>
      <c r="E19" s="722">
        <f t="shared" si="0"/>
        <v>1.5266909616488819E-6</v>
      </c>
      <c r="F19" s="720">
        <f t="shared" si="4"/>
        <v>5.781483381371464E-5</v>
      </c>
      <c r="G19" s="478">
        <f>21/365.25</f>
        <v>5.7494866529774126E-2</v>
      </c>
      <c r="H19" s="121">
        <v>100</v>
      </c>
      <c r="I19" s="64">
        <f t="shared" si="5"/>
        <v>4.711042163268921</v>
      </c>
      <c r="J19" s="480">
        <f t="shared" si="1"/>
        <v>3.6872857142857142E+19</v>
      </c>
      <c r="K19" s="480">
        <f t="shared" si="2"/>
        <v>1.7370958468019159E+20</v>
      </c>
      <c r="L19" s="721">
        <f>'Renewable Earth Flows'!$B$64</f>
        <v>1.2005951667821554E+25</v>
      </c>
      <c r="M19" s="480">
        <f t="shared" si="3"/>
        <v>325604.05127562233</v>
      </c>
      <c r="N19" s="718">
        <f t="shared" si="7"/>
        <v>69000</v>
      </c>
      <c r="O19" s="3"/>
    </row>
    <row r="20" spans="2:24">
      <c r="B20" t="s">
        <v>28</v>
      </c>
      <c r="C20" s="121">
        <v>510000</v>
      </c>
      <c r="D20" s="121">
        <v>1.1200000000000001</v>
      </c>
      <c r="E20" s="722">
        <f t="shared" si="0"/>
        <v>8.0655371558808868E-7</v>
      </c>
      <c r="F20" s="719">
        <f t="shared" si="4"/>
        <v>3.0543685788377545E-5</v>
      </c>
      <c r="G20" s="478">
        <f>1/365.25</f>
        <v>2.7378507871321013E-3</v>
      </c>
      <c r="H20" s="121">
        <v>9000</v>
      </c>
      <c r="I20" s="64">
        <f t="shared" si="5"/>
        <v>3.5254650869847559</v>
      </c>
      <c r="J20" s="480">
        <f t="shared" si="1"/>
        <v>4.0908E+20</v>
      </c>
      <c r="K20" s="480">
        <f t="shared" si="2"/>
        <v>1.442197257783724E+21</v>
      </c>
      <c r="L20" s="721">
        <f>'Renewable Earth Flows'!$B$64</f>
        <v>1.2005951667821554E+25</v>
      </c>
      <c r="M20" s="480">
        <f t="shared" si="3"/>
        <v>29348.664485727862</v>
      </c>
      <c r="N20" s="718">
        <f t="shared" si="7"/>
        <v>8000</v>
      </c>
    </row>
    <row r="21" spans="2:24">
      <c r="B21" t="s">
        <v>1453</v>
      </c>
      <c r="C21" s="121">
        <v>148000</v>
      </c>
      <c r="D21" s="121">
        <v>113</v>
      </c>
      <c r="E21" s="121"/>
      <c r="F21" s="121"/>
      <c r="G21" s="121">
        <v>1</v>
      </c>
      <c r="H21" s="121">
        <v>10</v>
      </c>
      <c r="I21" s="64">
        <f t="shared" si="5"/>
        <v>4.7229771720067237</v>
      </c>
      <c r="J21" s="480">
        <f t="shared" si="1"/>
        <v>1.13E+20</v>
      </c>
      <c r="K21" s="480">
        <f t="shared" si="2"/>
        <v>5.3369642043675981E+20</v>
      </c>
      <c r="L21" s="480">
        <v>1.2E+25</v>
      </c>
      <c r="M21" s="480">
        <f t="shared" si="3"/>
        <v>106194.69026548673</v>
      </c>
      <c r="N21" s="718">
        <f>ROUND((M21/I21),-2)</f>
        <v>22500</v>
      </c>
    </row>
    <row r="22" spans="2:24">
      <c r="B22" t="s">
        <v>1454</v>
      </c>
      <c r="C22" s="121">
        <v>362000</v>
      </c>
      <c r="D22" s="716">
        <v>413</v>
      </c>
      <c r="E22" s="121"/>
      <c r="F22" s="121"/>
      <c r="G22" s="121">
        <v>1</v>
      </c>
      <c r="H22" s="121">
        <v>10</v>
      </c>
      <c r="I22" s="64">
        <f t="shared" si="5"/>
        <v>4.7229771720067237</v>
      </c>
      <c r="J22" s="480">
        <f t="shared" si="1"/>
        <v>4.13E+20</v>
      </c>
      <c r="K22" s="480">
        <f t="shared" si="2"/>
        <v>1.9505895720387768E+21</v>
      </c>
      <c r="L22" s="480">
        <v>1.2E+25</v>
      </c>
      <c r="M22" s="480">
        <f t="shared" si="3"/>
        <v>29055.690072639223</v>
      </c>
      <c r="N22" s="718">
        <f t="shared" si="7"/>
        <v>6000</v>
      </c>
    </row>
    <row r="23" spans="2:24">
      <c r="B23" t="s">
        <v>1525</v>
      </c>
      <c r="C23" s="121">
        <v>148000</v>
      </c>
      <c r="D23" s="121">
        <f>'Water Notes'!F30</f>
        <v>39.9</v>
      </c>
      <c r="E23" s="121"/>
      <c r="F23" s="121"/>
      <c r="G23" s="121">
        <v>1</v>
      </c>
      <c r="H23" s="121">
        <v>100</v>
      </c>
      <c r="I23" s="64">
        <f t="shared" si="5"/>
        <v>4.711042163268921</v>
      </c>
      <c r="J23" s="480">
        <f t="shared" si="1"/>
        <v>3.99E+19</v>
      </c>
      <c r="K23" s="480">
        <f t="shared" si="2"/>
        <v>1.8797058231442994E+20</v>
      </c>
      <c r="L23" s="721">
        <f>'Renewable Earth Flows'!$B$64</f>
        <v>1.2005951667821554E+25</v>
      </c>
      <c r="M23" s="480">
        <f>L23/J23</f>
        <v>300901.0443063046</v>
      </c>
      <c r="N23" s="718">
        <f>ROUND((M23/I23),-2)</f>
        <v>63900</v>
      </c>
    </row>
    <row r="24" spans="2:24">
      <c r="B24" t="s">
        <v>1572</v>
      </c>
      <c r="C24" s="121">
        <v>148000</v>
      </c>
      <c r="D24" s="121">
        <f>'Water Notes'!E30</f>
        <v>73.099999999999994</v>
      </c>
      <c r="E24" s="121"/>
      <c r="F24" s="121"/>
      <c r="G24" s="121">
        <v>1</v>
      </c>
      <c r="H24" s="121">
        <v>10</v>
      </c>
      <c r="I24" s="64">
        <f t="shared" si="5"/>
        <v>4.7229771720067237</v>
      </c>
      <c r="J24" s="480">
        <f t="shared" si="1"/>
        <v>7.31E+19</v>
      </c>
      <c r="K24" s="480">
        <f t="shared" si="2"/>
        <v>3.4524963127369151E+20</v>
      </c>
      <c r="L24" s="480">
        <v>1.2E+25</v>
      </c>
      <c r="M24" s="480">
        <f>L24/J24</f>
        <v>164158.68673050616</v>
      </c>
      <c r="N24" s="718">
        <f>ROUND((M24/I24),-2)</f>
        <v>34800</v>
      </c>
    </row>
    <row r="25" spans="2:24">
      <c r="B25" t="s">
        <v>183</v>
      </c>
      <c r="C25" s="121">
        <v>510000</v>
      </c>
      <c r="D25" s="486">
        <v>13.45</v>
      </c>
      <c r="E25" s="719">
        <f>D25/$D$27</f>
        <v>9.6858459595176702E-6</v>
      </c>
      <c r="F25" s="720">
        <f>D25/$D$28</f>
        <v>3.6679694094078391E-4</v>
      </c>
      <c r="G25" s="478">
        <f>8/365.25</f>
        <v>2.190280629705681E-2</v>
      </c>
      <c r="H25" s="121">
        <v>10</v>
      </c>
      <c r="I25" s="64">
        <f t="shared" si="5"/>
        <v>4.7229771720067237</v>
      </c>
      <c r="J25" s="480">
        <f t="shared" si="1"/>
        <v>6.1407656250000002E+20</v>
      </c>
      <c r="K25" s="480">
        <f t="shared" si="2"/>
        <v>2.9002695865518601E+21</v>
      </c>
      <c r="L25" s="480">
        <v>1.2E+25</v>
      </c>
      <c r="M25" s="480">
        <f>L25/J25</f>
        <v>19541.537216704961</v>
      </c>
      <c r="N25" s="718">
        <f>ROUND((M25/I25),-2)</f>
        <v>4100</v>
      </c>
    </row>
    <row r="27" spans="2:24">
      <c r="B27" s="121" t="s">
        <v>14</v>
      </c>
      <c r="C27">
        <v>510000</v>
      </c>
      <c r="D27" s="16">
        <f>SUM(D5:D25)-D15-D9-D7</f>
        <v>1388624.1900000002</v>
      </c>
      <c r="L27" s="3"/>
    </row>
    <row r="28" spans="2:24">
      <c r="B28" s="133" t="s">
        <v>199</v>
      </c>
      <c r="C28" s="123">
        <v>148800</v>
      </c>
      <c r="D28" s="713">
        <f>SUM(D6:D25)-D9-D15-D6-D17</f>
        <v>36668.789999999979</v>
      </c>
      <c r="E28" s="123"/>
      <c r="F28" s="123"/>
      <c r="G28" s="123"/>
      <c r="H28" s="143"/>
      <c r="I28" s="123"/>
      <c r="J28" s="123"/>
      <c r="K28" s="123"/>
      <c r="L28" s="123"/>
      <c r="M28" s="123"/>
      <c r="N28" s="123"/>
    </row>
    <row r="29" spans="2:24" ht="17.25" customHeight="1"/>
    <row r="30" spans="2:24">
      <c r="B30" t="s">
        <v>1286</v>
      </c>
      <c r="E30" s="3"/>
    </row>
    <row r="31" spans="2:24">
      <c r="B31" t="s">
        <v>1522</v>
      </c>
      <c r="I31" s="3"/>
    </row>
    <row r="32" spans="2:24" ht="16" customHeight="1">
      <c r="B32" s="144" t="s">
        <v>1523</v>
      </c>
      <c r="F32" s="830"/>
      <c r="G32" s="830"/>
      <c r="H32" s="830"/>
      <c r="I32" s="3"/>
    </row>
    <row r="33" spans="2:9" ht="16" customHeight="1">
      <c r="B33" s="144" t="s">
        <v>1916</v>
      </c>
      <c r="F33" s="121"/>
      <c r="G33" s="121"/>
      <c r="H33" s="121"/>
      <c r="I33" s="3"/>
    </row>
    <row r="34" spans="2:9">
      <c r="B34" s="145" t="s">
        <v>1784</v>
      </c>
      <c r="H34" s="65"/>
      <c r="I34" s="3"/>
    </row>
    <row r="35" spans="2:9">
      <c r="B35" s="145" t="s">
        <v>1524</v>
      </c>
    </row>
    <row r="36" spans="2:9">
      <c r="B36" t="s">
        <v>1952</v>
      </c>
    </row>
    <row r="38" spans="2:9" ht="28.5">
      <c r="B38" s="759"/>
    </row>
    <row r="39" spans="2:9" ht="28.5">
      <c r="B39" s="759"/>
    </row>
  </sheetData>
  <mergeCells count="4">
    <mergeCell ref="J1:K1"/>
    <mergeCell ref="F32:H32"/>
    <mergeCell ref="J3:K3"/>
    <mergeCell ref="B2:I2"/>
  </mergeCells>
  <pageMargins left="0.7" right="0.7" top="0.75" bottom="0.75" header="0.3" footer="0.3"/>
  <pageSetup orientation="portrait" horizontalDpi="4294967292" verticalDpi="4294967292"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5"/>
  <dimension ref="B4:O30"/>
  <sheetViews>
    <sheetView workbookViewId="0">
      <selection activeCell="A2" sqref="A2:IV30"/>
    </sheetView>
  </sheetViews>
  <sheetFormatPr defaultColWidth="8.81640625" defaultRowHeight="14.5"/>
  <sheetData>
    <row r="4" spans="2:15">
      <c r="B4" t="s">
        <v>1573</v>
      </c>
    </row>
    <row r="5" spans="2:15">
      <c r="B5" t="s">
        <v>1453</v>
      </c>
      <c r="C5" s="1">
        <v>148000</v>
      </c>
      <c r="D5" s="1">
        <v>113</v>
      </c>
      <c r="E5" s="1"/>
      <c r="F5" s="1"/>
      <c r="G5" s="1">
        <v>1</v>
      </c>
      <c r="H5" s="1">
        <v>10</v>
      </c>
      <c r="I5" s="7">
        <f>gas_constant*Surface_Temperature/18.01*LN((1000000-H5)/965000)</f>
        <v>4.7229771720067237</v>
      </c>
      <c r="J5" s="5">
        <f>D5*1000000000000*1000000/G5</f>
        <v>1.13E+20</v>
      </c>
      <c r="K5" s="5">
        <f>I5*J5</f>
        <v>5.3369642043675981E+20</v>
      </c>
      <c r="L5" s="304">
        <v>1.2E+25</v>
      </c>
      <c r="M5" s="5">
        <f>L5/((D5*1000*1000000000*1000000)/G5)</f>
        <v>106194.69026548673</v>
      </c>
      <c r="N5" s="325">
        <f>ROUND((M5/I5),-2)</f>
        <v>22500</v>
      </c>
      <c r="O5" t="s">
        <v>1557</v>
      </c>
    </row>
    <row r="6" spans="2:15">
      <c r="B6" t="s">
        <v>1454</v>
      </c>
      <c r="C6" s="1">
        <v>362000</v>
      </c>
      <c r="D6" s="4">
        <v>413</v>
      </c>
      <c r="E6" s="1"/>
      <c r="F6" s="1"/>
      <c r="G6" s="1">
        <v>1</v>
      </c>
      <c r="H6" s="1">
        <v>10</v>
      </c>
      <c r="I6" s="7">
        <f>gas_constant*Surface_Temperature/18.01*LN((1000000-H6)/965000)</f>
        <v>4.7229771720067237</v>
      </c>
      <c r="J6" s="5">
        <f>D6*1000000000000*1000000/G6</f>
        <v>4.13E+20</v>
      </c>
      <c r="K6" s="5">
        <f>I6*J6</f>
        <v>1.9505895720387768E+21</v>
      </c>
      <c r="L6" s="321" t="e">
        <f>'Renewable Earth Flows'!#REF!</f>
        <v>#REF!</v>
      </c>
      <c r="M6" s="5" t="e">
        <f>L6/((D6*1000*1000000000*1000000)/G6)</f>
        <v>#REF!</v>
      </c>
      <c r="N6" s="325" t="e">
        <f>ROUND((M6/I6),-2)</f>
        <v>#REF!</v>
      </c>
      <c r="O6" s="3" t="s">
        <v>1558</v>
      </c>
    </row>
    <row r="7" spans="2:15">
      <c r="B7" t="s">
        <v>1525</v>
      </c>
      <c r="C7" s="1">
        <v>148000</v>
      </c>
      <c r="D7" s="326">
        <f>F30</f>
        <v>39.9</v>
      </c>
      <c r="G7">
        <v>1</v>
      </c>
      <c r="H7">
        <v>100</v>
      </c>
      <c r="I7" s="7">
        <f>gas_constant*Surface_Temperature/18.01*LN((1000000-H7)/965000)</f>
        <v>4.711042163268921</v>
      </c>
      <c r="J7" s="5">
        <f>D7*1000000000000*1000000/G7</f>
        <v>3.99E+19</v>
      </c>
      <c r="K7" s="5">
        <f>I7*J7</f>
        <v>1.8797058231442994E+20</v>
      </c>
      <c r="L7" s="304">
        <v>1.2E+25</v>
      </c>
      <c r="M7" s="5">
        <f>L7/((D7*1000*1000000000*1000000)/G7)</f>
        <v>300751.87969924812</v>
      </c>
      <c r="N7" s="325">
        <f>ROUND((M7/I7),-2)</f>
        <v>63800</v>
      </c>
      <c r="O7" t="s">
        <v>1559</v>
      </c>
    </row>
    <row r="8" spans="2:15">
      <c r="B8" t="s">
        <v>1556</v>
      </c>
      <c r="C8" s="1">
        <v>148000</v>
      </c>
      <c r="D8">
        <f>E30</f>
        <v>73.099999999999994</v>
      </c>
      <c r="G8">
        <v>1</v>
      </c>
      <c r="H8">
        <v>10</v>
      </c>
      <c r="I8" s="7">
        <f>gas_constant*Surface_Temperature/18.01*LN((1000000-H8)/965000)</f>
        <v>4.7229771720067237</v>
      </c>
      <c r="J8" s="5">
        <f>D8*1000000000000*1000000/G8</f>
        <v>7.31E+19</v>
      </c>
      <c r="K8" s="5">
        <f>I8*J8</f>
        <v>3.4524963127369151E+20</v>
      </c>
      <c r="L8" s="304">
        <v>1.2E+25</v>
      </c>
      <c r="M8" s="5">
        <f>L8/((D8*1000*1000000000*1000000)/G8)</f>
        <v>164158.68673050616</v>
      </c>
      <c r="N8" s="325">
        <f>ROUND((M8/I8),-2)</f>
        <v>34800</v>
      </c>
      <c r="O8" t="s">
        <v>1560</v>
      </c>
    </row>
    <row r="13" spans="2:15">
      <c r="B13" t="s">
        <v>1534</v>
      </c>
    </row>
    <row r="14" spans="2:15">
      <c r="B14" t="s">
        <v>1547</v>
      </c>
      <c r="C14" t="s">
        <v>1527</v>
      </c>
      <c r="D14" t="s">
        <v>1529</v>
      </c>
      <c r="E14" t="s">
        <v>1528</v>
      </c>
      <c r="F14" s="342" t="s">
        <v>1530</v>
      </c>
      <c r="G14" t="s">
        <v>1531</v>
      </c>
      <c r="H14" t="s">
        <v>1532</v>
      </c>
      <c r="I14" t="s">
        <v>1533</v>
      </c>
    </row>
    <row r="15" spans="2:15">
      <c r="B15" t="s">
        <v>1526</v>
      </c>
      <c r="C15">
        <v>1968</v>
      </c>
      <c r="D15">
        <v>107</v>
      </c>
      <c r="E15">
        <v>61</v>
      </c>
      <c r="F15">
        <v>46</v>
      </c>
      <c r="G15">
        <v>449</v>
      </c>
      <c r="H15">
        <v>403</v>
      </c>
      <c r="I15">
        <v>510</v>
      </c>
    </row>
    <row r="16" spans="2:15">
      <c r="B16" t="s">
        <v>1535</v>
      </c>
      <c r="C16">
        <v>1974</v>
      </c>
      <c r="D16">
        <v>119</v>
      </c>
      <c r="E16">
        <v>72</v>
      </c>
      <c r="F16">
        <v>47</v>
      </c>
      <c r="G16">
        <v>505</v>
      </c>
      <c r="H16">
        <v>458</v>
      </c>
      <c r="I16">
        <v>577</v>
      </c>
    </row>
    <row r="17" spans="2:14">
      <c r="B17" t="s">
        <v>1536</v>
      </c>
      <c r="C17">
        <v>1974</v>
      </c>
      <c r="D17">
        <v>113.5</v>
      </c>
      <c r="E17">
        <v>72.5</v>
      </c>
      <c r="F17">
        <v>41</v>
      </c>
      <c r="G17">
        <v>452.6</v>
      </c>
      <c r="H17">
        <v>411.6</v>
      </c>
      <c r="I17">
        <v>525.1</v>
      </c>
    </row>
    <row r="18" spans="2:14">
      <c r="B18" t="s">
        <v>1537</v>
      </c>
      <c r="C18">
        <v>1975</v>
      </c>
      <c r="D18">
        <v>111.1</v>
      </c>
      <c r="E18">
        <v>71.400000000000006</v>
      </c>
      <c r="F18">
        <v>39.700000000000003</v>
      </c>
      <c r="G18">
        <v>424.7</v>
      </c>
      <c r="H18">
        <v>385</v>
      </c>
      <c r="I18">
        <v>496.1</v>
      </c>
    </row>
    <row r="19" spans="2:14">
      <c r="B19" t="s">
        <v>1538</v>
      </c>
      <c r="C19">
        <v>1998</v>
      </c>
      <c r="D19">
        <v>119.83</v>
      </c>
      <c r="E19">
        <v>69.91</v>
      </c>
      <c r="F19">
        <v>50.53</v>
      </c>
      <c r="G19">
        <v>507.15</v>
      </c>
      <c r="H19">
        <v>457.23</v>
      </c>
      <c r="I19">
        <v>577.05999999999995</v>
      </c>
    </row>
    <row r="20" spans="2:14">
      <c r="B20" t="s">
        <v>1539</v>
      </c>
      <c r="C20">
        <v>1992</v>
      </c>
      <c r="D20">
        <v>107</v>
      </c>
      <c r="E20">
        <v>71</v>
      </c>
      <c r="F20">
        <v>36</v>
      </c>
      <c r="G20">
        <v>434</v>
      </c>
      <c r="H20">
        <v>398</v>
      </c>
      <c r="I20">
        <v>505</v>
      </c>
    </row>
    <row r="21" spans="2:14">
      <c r="B21" t="s">
        <v>1540</v>
      </c>
      <c r="C21">
        <v>1998</v>
      </c>
      <c r="D21">
        <v>119</v>
      </c>
      <c r="E21">
        <v>74</v>
      </c>
      <c r="F21">
        <v>45</v>
      </c>
      <c r="G21">
        <v>503</v>
      </c>
      <c r="H21">
        <v>458</v>
      </c>
      <c r="I21">
        <v>577</v>
      </c>
    </row>
    <row r="22" spans="2:14">
      <c r="B22" t="s">
        <v>1541</v>
      </c>
      <c r="C22">
        <v>1999</v>
      </c>
      <c r="D22">
        <v>115</v>
      </c>
      <c r="E22">
        <v>75</v>
      </c>
      <c r="F22">
        <v>40</v>
      </c>
      <c r="G22">
        <v>431</v>
      </c>
      <c r="H22">
        <v>391</v>
      </c>
      <c r="I22">
        <v>506</v>
      </c>
    </row>
    <row r="23" spans="2:14">
      <c r="B23" t="s">
        <v>1542</v>
      </c>
      <c r="C23">
        <v>2006</v>
      </c>
      <c r="D23">
        <v>113</v>
      </c>
      <c r="E23">
        <v>73</v>
      </c>
      <c r="F23">
        <v>40</v>
      </c>
      <c r="G23">
        <v>413</v>
      </c>
      <c r="H23">
        <v>373</v>
      </c>
      <c r="I23">
        <v>486</v>
      </c>
    </row>
    <row r="24" spans="2:14">
      <c r="B24" s="168" t="s">
        <v>1543</v>
      </c>
      <c r="C24" s="168"/>
      <c r="D24" s="332">
        <f t="shared" ref="D24:I24" si="0">AVERAGE(D15:D23)</f>
        <v>113.82555555555557</v>
      </c>
      <c r="E24" s="332">
        <f t="shared" si="0"/>
        <v>71.089999999999989</v>
      </c>
      <c r="F24" s="332">
        <f t="shared" si="0"/>
        <v>42.803333333333335</v>
      </c>
      <c r="G24" s="332">
        <f t="shared" si="0"/>
        <v>457.71666666666664</v>
      </c>
      <c r="H24" s="332">
        <f t="shared" si="0"/>
        <v>414.98111111111109</v>
      </c>
      <c r="I24" s="332">
        <f t="shared" si="0"/>
        <v>528.80666666666673</v>
      </c>
      <c r="J24" s="324">
        <f>D24+H24</f>
        <v>528.80666666666662</v>
      </c>
      <c r="K24" s="324">
        <f>E24+G24</f>
        <v>528.80666666666662</v>
      </c>
      <c r="L24" s="16">
        <f>D6+D5</f>
        <v>526</v>
      </c>
      <c r="M24" s="324">
        <f>G24+E24</f>
        <v>528.80666666666662</v>
      </c>
      <c r="N24" s="48">
        <f>(L24-M24)/L24</f>
        <v>-5.335868187579116E-3</v>
      </c>
    </row>
    <row r="25" spans="2:14">
      <c r="B25" t="s">
        <v>1544</v>
      </c>
      <c r="D25" s="324">
        <f t="shared" ref="D25:I25" si="1">_xlfn.STDEV.P(D15:D23)</f>
        <v>4.6233107692578708</v>
      </c>
      <c r="E25" s="324">
        <f t="shared" si="1"/>
        <v>3.8517701558287891</v>
      </c>
      <c r="F25" s="324">
        <f t="shared" si="1"/>
        <v>4.3107462617664503</v>
      </c>
      <c r="G25" s="324">
        <f t="shared" si="1"/>
        <v>35.273613052503954</v>
      </c>
      <c r="H25" s="324">
        <f t="shared" si="1"/>
        <v>31.912953985783979</v>
      </c>
      <c r="I25" s="324">
        <f t="shared" si="1"/>
        <v>35.480898147219058</v>
      </c>
    </row>
    <row r="26" spans="2:14">
      <c r="B26" t="s">
        <v>1545</v>
      </c>
      <c r="D26" s="324">
        <f t="shared" ref="D26:I26" si="2">MAX(D15:D23)</f>
        <v>119.83</v>
      </c>
      <c r="E26" s="324">
        <f t="shared" si="2"/>
        <v>75</v>
      </c>
      <c r="F26" s="324">
        <f t="shared" si="2"/>
        <v>50.53</v>
      </c>
      <c r="G26" s="324">
        <f t="shared" si="2"/>
        <v>507.15</v>
      </c>
      <c r="H26" s="324">
        <f t="shared" si="2"/>
        <v>458</v>
      </c>
      <c r="I26" s="324">
        <f t="shared" si="2"/>
        <v>577.05999999999995</v>
      </c>
    </row>
    <row r="27" spans="2:14">
      <c r="B27" t="s">
        <v>1546</v>
      </c>
      <c r="D27">
        <f t="shared" ref="D27:I27" si="3">MIN(D15:D23)</f>
        <v>107</v>
      </c>
      <c r="E27">
        <f t="shared" si="3"/>
        <v>61</v>
      </c>
      <c r="F27">
        <f t="shared" si="3"/>
        <v>36</v>
      </c>
      <c r="G27">
        <f t="shared" si="3"/>
        <v>413</v>
      </c>
      <c r="H27">
        <f t="shared" si="3"/>
        <v>373</v>
      </c>
      <c r="I27">
        <f t="shared" si="3"/>
        <v>486</v>
      </c>
    </row>
    <row r="28" spans="2:14">
      <c r="B28" t="s">
        <v>1548</v>
      </c>
      <c r="D28" s="48">
        <f>(D5-D24)/D5</f>
        <v>-7.305801376597941E-3</v>
      </c>
      <c r="F28" s="48">
        <f>(D7-F24)/D7</f>
        <v>-7.2765246449457047E-2</v>
      </c>
      <c r="H28" s="48">
        <f>(D6-H24)/D6</f>
        <v>-4.7968792036588142E-3</v>
      </c>
    </row>
    <row r="29" spans="2:14">
      <c r="H29" t="s">
        <v>1718</v>
      </c>
    </row>
    <row r="30" spans="2:14">
      <c r="B30" t="s">
        <v>1555</v>
      </c>
      <c r="D30">
        <v>113</v>
      </c>
      <c r="E30">
        <f>D30-F30</f>
        <v>73.099999999999994</v>
      </c>
      <c r="F30">
        <v>39.9</v>
      </c>
      <c r="G30">
        <f>H30+F30</f>
        <v>452.9</v>
      </c>
      <c r="H30">
        <v>413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2">
    <tabColor theme="2" tint="-0.499984740745262"/>
  </sheetPr>
  <dimension ref="A1:U331"/>
  <sheetViews>
    <sheetView zoomScale="60" zoomScaleNormal="60" zoomScalePageLayoutView="90" workbookViewId="0">
      <pane xSplit="3" ySplit="11" topLeftCell="D29" activePane="bottomRight" state="frozen"/>
      <selection pane="topRight" activeCell="B1" sqref="B1"/>
      <selection pane="bottomLeft" activeCell="A12" sqref="A12"/>
      <selection pane="bottomRight" activeCell="C4" sqref="C4"/>
    </sheetView>
  </sheetViews>
  <sheetFormatPr defaultColWidth="8.6328125" defaultRowHeight="14.5"/>
  <cols>
    <col min="1" max="1" width="6" customWidth="1"/>
    <col min="2" max="2" width="8.6328125" customWidth="1"/>
    <col min="3" max="3" width="50.1796875" style="1" customWidth="1"/>
    <col min="4" max="4" width="42" customWidth="1"/>
    <col min="5" max="5" width="16.36328125" customWidth="1"/>
    <col min="6" max="6" width="16.6328125" style="1" customWidth="1"/>
    <col min="7" max="7" width="15.6328125" style="5" customWidth="1"/>
    <col min="8" max="8" width="18.453125" style="5" customWidth="1"/>
    <col min="9" max="10" width="18.453125" style="1" customWidth="1"/>
    <col min="11" max="11" width="31.36328125" style="1" customWidth="1"/>
    <col min="12" max="13" width="17.1796875" style="1" customWidth="1"/>
    <col min="14" max="14" width="13.81640625" style="6" customWidth="1"/>
    <col min="15" max="15" width="15.1796875" style="15" bestFit="1" customWidth="1"/>
    <col min="16" max="16" width="18.6328125" customWidth="1"/>
    <col min="17" max="18" width="17.453125" style="16" customWidth="1"/>
    <col min="19" max="20" width="17" style="3" customWidth="1"/>
    <col min="21" max="21" width="17.1796875" customWidth="1"/>
  </cols>
  <sheetData>
    <row r="1" spans="1:21">
      <c r="F1"/>
      <c r="H1" s="1"/>
      <c r="N1" s="1"/>
      <c r="P1" s="16"/>
      <c r="R1" s="3"/>
    </row>
    <row r="2" spans="1:21" ht="18.5">
      <c r="A2" s="812" t="s">
        <v>1961</v>
      </c>
      <c r="F2"/>
      <c r="H2" s="1"/>
      <c r="J2" s="764"/>
      <c r="K2" s="121" t="s">
        <v>1724</v>
      </c>
      <c r="L2">
        <v>155.19999999999999</v>
      </c>
      <c r="M2" s="18" t="s">
        <v>993</v>
      </c>
      <c r="N2" s="18" t="s">
        <v>1731</v>
      </c>
      <c r="Q2"/>
      <c r="R2" s="3"/>
    </row>
    <row r="3" spans="1:21" ht="18.5">
      <c r="C3" s="764"/>
      <c r="F3"/>
      <c r="H3" s="1"/>
      <c r="K3" s="121" t="s">
        <v>1723</v>
      </c>
      <c r="L3">
        <f>crust_mass</f>
        <v>2.17E+25</v>
      </c>
      <c r="M3" s="18" t="s">
        <v>993</v>
      </c>
      <c r="N3" s="1"/>
      <c r="Q3"/>
      <c r="R3" s="3"/>
    </row>
    <row r="4" spans="1:21">
      <c r="F4"/>
      <c r="H4" s="1"/>
      <c r="K4" s="121" t="s">
        <v>1732</v>
      </c>
      <c r="L4" s="3">
        <f>ave_crust_specific_emergy</f>
        <v>1382488479.2626727</v>
      </c>
      <c r="M4" s="18" t="s">
        <v>0</v>
      </c>
      <c r="N4" s="1"/>
      <c r="P4" s="5"/>
      <c r="R4" s="121" t="s">
        <v>1733</v>
      </c>
      <c r="S4" s="478">
        <f>SUMIF(O12:O327,"&gt;0",H12:H327)</f>
        <v>0.68957503564929468</v>
      </c>
      <c r="T4" s="16"/>
    </row>
    <row r="5" spans="1:21">
      <c r="F5"/>
      <c r="H5" s="1"/>
      <c r="K5" s="121" t="s">
        <v>1725</v>
      </c>
      <c r="L5" s="16">
        <f>-1000*SUMPRODUCT(F12:F327,I12:I327)</f>
        <v>11660.300411979388</v>
      </c>
      <c r="M5" s="18" t="s">
        <v>905</v>
      </c>
      <c r="N5" s="1"/>
      <c r="P5" s="3"/>
      <c r="R5" s="121" t="s">
        <v>1754</v>
      </c>
      <c r="S5" s="486">
        <f>SUMPRODUCT(Q12:Q327,G12:G327)/S4</f>
        <v>25.024695732987702</v>
      </c>
      <c r="T5" s="16" t="s">
        <v>905</v>
      </c>
    </row>
    <row r="6" spans="1:21">
      <c r="E6" s="1"/>
      <c r="F6" s="5"/>
      <c r="H6" s="1"/>
      <c r="K6" s="121" t="s">
        <v>1726</v>
      </c>
      <c r="L6" s="3">
        <f>L4/L5</f>
        <v>118563.71023188665</v>
      </c>
      <c r="M6" s="18" t="s">
        <v>1</v>
      </c>
      <c r="N6" s="1"/>
      <c r="P6" s="16"/>
      <c r="Q6" s="451"/>
      <c r="R6" s="121" t="s">
        <v>1708</v>
      </c>
      <c r="S6" s="3">
        <f>ave_crust_specific_emergy/S5</f>
        <v>55244966.57277108</v>
      </c>
      <c r="T6" t="s">
        <v>1</v>
      </c>
    </row>
    <row r="7" spans="1:21" ht="24" customHeight="1">
      <c r="C7" s="837" t="s">
        <v>1408</v>
      </c>
      <c r="D7" s="838"/>
      <c r="E7" s="838"/>
      <c r="F7" s="838"/>
      <c r="G7" s="838"/>
      <c r="H7" s="838"/>
      <c r="I7" s="347"/>
      <c r="J7" s="347"/>
      <c r="K7"/>
      <c r="L7"/>
      <c r="M7"/>
      <c r="O7" s="350"/>
      <c r="Q7"/>
      <c r="R7"/>
      <c r="U7" s="150"/>
    </row>
    <row r="8" spans="1:21" ht="30" customHeight="1">
      <c r="C8" s="836" t="s">
        <v>1297</v>
      </c>
      <c r="D8" s="836"/>
      <c r="E8" s="836"/>
      <c r="F8" s="836"/>
      <c r="G8" s="836"/>
      <c r="H8" s="102"/>
      <c r="I8" s="101"/>
      <c r="J8" s="101"/>
      <c r="K8" s="101"/>
      <c r="L8" s="101"/>
      <c r="M8" s="101"/>
      <c r="N8" s="55"/>
      <c r="O8" s="157"/>
      <c r="P8" s="101"/>
      <c r="Q8" s="158"/>
      <c r="R8" s="158"/>
      <c r="S8" s="103"/>
      <c r="T8" s="103"/>
    </row>
    <row r="9" spans="1:21" ht="15" thickBot="1">
      <c r="C9" s="461">
        <v>1</v>
      </c>
      <c r="D9" s="461">
        <f>C9+1</f>
        <v>2</v>
      </c>
      <c r="E9" s="461">
        <f t="shared" ref="E9:T9" si="0">D9+1</f>
        <v>3</v>
      </c>
      <c r="F9" s="461">
        <f t="shared" si="0"/>
        <v>4</v>
      </c>
      <c r="G9" s="461">
        <f t="shared" si="0"/>
        <v>5</v>
      </c>
      <c r="H9" s="461">
        <f t="shared" si="0"/>
        <v>6</v>
      </c>
      <c r="I9" s="461">
        <f t="shared" si="0"/>
        <v>7</v>
      </c>
      <c r="J9" s="461">
        <f t="shared" si="0"/>
        <v>8</v>
      </c>
      <c r="K9" s="461">
        <f t="shared" si="0"/>
        <v>9</v>
      </c>
      <c r="L9" s="461">
        <f t="shared" si="0"/>
        <v>10</v>
      </c>
      <c r="M9" s="461">
        <f t="shared" si="0"/>
        <v>11</v>
      </c>
      <c r="N9" s="461">
        <f t="shared" si="0"/>
        <v>12</v>
      </c>
      <c r="O9" s="461">
        <f t="shared" si="0"/>
        <v>13</v>
      </c>
      <c r="P9" s="461">
        <f t="shared" si="0"/>
        <v>14</v>
      </c>
      <c r="Q9" s="461">
        <f t="shared" si="0"/>
        <v>15</v>
      </c>
      <c r="R9" s="461">
        <f t="shared" si="0"/>
        <v>16</v>
      </c>
      <c r="S9" s="461">
        <f t="shared" si="0"/>
        <v>17</v>
      </c>
      <c r="T9" s="461">
        <f t="shared" si="0"/>
        <v>18</v>
      </c>
    </row>
    <row r="10" spans="1:21" ht="15" customHeight="1" thickBot="1">
      <c r="B10">
        <f>MAX(B12:B327)</f>
        <v>1316</v>
      </c>
      <c r="F10" s="833" t="s">
        <v>994</v>
      </c>
      <c r="G10" s="834"/>
      <c r="H10" s="834"/>
      <c r="I10" s="834"/>
      <c r="J10" s="834"/>
      <c r="K10" s="834"/>
      <c r="L10" s="835"/>
      <c r="M10" s="452"/>
      <c r="O10" s="833" t="s">
        <v>995</v>
      </c>
      <c r="P10" s="834"/>
      <c r="Q10" s="834"/>
      <c r="R10" s="834"/>
      <c r="S10" s="835"/>
      <c r="T10" s="452"/>
    </row>
    <row r="11" spans="1:21" s="151" customFormat="1" ht="90.5" thickBot="1">
      <c r="B11" s="704" t="s">
        <v>1729</v>
      </c>
      <c r="C11" s="705" t="s">
        <v>200</v>
      </c>
      <c r="D11" s="705" t="s">
        <v>201</v>
      </c>
      <c r="E11" s="762" t="s">
        <v>1942</v>
      </c>
      <c r="F11" s="706" t="s">
        <v>1719</v>
      </c>
      <c r="G11" s="707" t="s">
        <v>1602</v>
      </c>
      <c r="H11" s="707" t="s">
        <v>1603</v>
      </c>
      <c r="I11" s="763" t="s">
        <v>1720</v>
      </c>
      <c r="J11" s="763" t="s">
        <v>1721</v>
      </c>
      <c r="K11" s="763" t="s">
        <v>1722</v>
      </c>
      <c r="L11" s="708" t="s">
        <v>1707</v>
      </c>
      <c r="M11" s="705" t="s">
        <v>233</v>
      </c>
      <c r="N11" s="709" t="s">
        <v>1069</v>
      </c>
      <c r="O11" s="710" t="s">
        <v>1612</v>
      </c>
      <c r="P11" s="707" t="s">
        <v>1728</v>
      </c>
      <c r="Q11" s="711" t="s">
        <v>1704</v>
      </c>
      <c r="R11" s="711" t="s">
        <v>1705</v>
      </c>
      <c r="S11" s="707" t="s">
        <v>1706</v>
      </c>
      <c r="T11" s="707" t="s">
        <v>1730</v>
      </c>
      <c r="U11" s="712" t="s">
        <v>1770</v>
      </c>
    </row>
    <row r="12" spans="1:21" ht="15" customHeight="1">
      <c r="B12" s="692">
        <v>1001</v>
      </c>
      <c r="C12" s="693" t="s">
        <v>883</v>
      </c>
      <c r="D12" s="694" t="s">
        <v>855</v>
      </c>
      <c r="E12" s="695">
        <v>247.80189999999999</v>
      </c>
      <c r="F12" s="696">
        <v>2.74E-11</v>
      </c>
      <c r="G12" s="696">
        <f t="shared" ref="G12:G75" si="1">F12*E12</f>
        <v>6.7897720599999999E-9</v>
      </c>
      <c r="H12" s="696">
        <f t="shared" ref="H12:H75" si="2">F12*$L$2</f>
        <v>4.2524799999999998E-9</v>
      </c>
      <c r="I12" s="697">
        <v>-40.299999999999997</v>
      </c>
      <c r="J12" s="697">
        <v>706.05</v>
      </c>
      <c r="K12" s="696">
        <f>-I12*1000/E12</f>
        <v>162.62990719603039</v>
      </c>
      <c r="L12" s="696">
        <f>IF(ISNUMBER(K12),$L$6*K12,0)</f>
        <v>19282005.191828765</v>
      </c>
      <c r="M12" s="693"/>
      <c r="N12" s="698"/>
      <c r="O12" s="699"/>
      <c r="P12" s="700" t="str">
        <f t="shared" ref="P12:P75" si="3">IF(ISNUMBER(O12),(O12/E12)/(1/$L$2),"")</f>
        <v/>
      </c>
      <c r="Q12" s="701" t="str">
        <f t="shared" ref="Q12:Q75" si="4">IF(ISNUMBER(O12),standard_temperature*gas_constant*LN(P12/H12)/E12,"")</f>
        <v/>
      </c>
      <c r="R12" s="700" t="str">
        <f>IF(ISNUMBER(Q12),Q12*$G12*crust_mass/crust_age,"")</f>
        <v/>
      </c>
      <c r="S12" s="702" t="str">
        <f t="shared" ref="S12:S75" si="5">IF(ISNUMBER(O12),$S$6*Q12,"")</f>
        <v/>
      </c>
      <c r="T12" s="702">
        <f>MAX(L12,S12)</f>
        <v>19282005.191828765</v>
      </c>
      <c r="U12" s="703" t="str">
        <f>IF(ISNUMBER(N12),T12/N12,"")</f>
        <v/>
      </c>
    </row>
    <row r="13" spans="1:21" ht="15" customHeight="1">
      <c r="B13" s="690">
        <v>1002</v>
      </c>
      <c r="C13" s="71" t="s">
        <v>881</v>
      </c>
      <c r="D13" s="19" t="s">
        <v>882</v>
      </c>
      <c r="E13" s="70">
        <v>875.45</v>
      </c>
      <c r="F13" s="69">
        <v>2.8200000000000001E-6</v>
      </c>
      <c r="G13" s="69">
        <f t="shared" si="1"/>
        <v>2.4687690000000004E-3</v>
      </c>
      <c r="H13" s="69">
        <f t="shared" si="2"/>
        <v>4.3766399999999999E-4</v>
      </c>
      <c r="I13" s="72">
        <v>-10801.5</v>
      </c>
      <c r="J13" s="72">
        <v>616.52</v>
      </c>
      <c r="K13" s="69">
        <f t="shared" ref="K13:K76" si="6">-I13*1000/E13</f>
        <v>12338.226055171626</v>
      </c>
      <c r="L13" s="69">
        <f t="shared" ref="L13:L75" si="7">IF(ISNUMBER(K13),$L$6*K13,0)</f>
        <v>1462865858.7808826</v>
      </c>
      <c r="M13" s="71"/>
      <c r="N13" s="453"/>
      <c r="O13" s="454"/>
      <c r="P13" s="348" t="str">
        <f t="shared" si="3"/>
        <v/>
      </c>
      <c r="Q13" s="612" t="str">
        <f t="shared" si="4"/>
        <v/>
      </c>
      <c r="R13" s="348" t="str">
        <f t="shared" ref="R13:R75" si="8">IF(ISNUMBER(Q13),Q13*$G13*crust_mass/crust_age,"")</f>
        <v/>
      </c>
      <c r="S13" s="613" t="str">
        <f t="shared" si="5"/>
        <v/>
      </c>
      <c r="T13" s="613">
        <f t="shared" ref="T13:T76" si="9">MAX(L13,S13)</f>
        <v>1462865858.7808826</v>
      </c>
      <c r="U13" s="614" t="str">
        <f t="shared" ref="U13:U76" si="10">IF(ISNUMBER(N13),T13/N13,"")</f>
        <v/>
      </c>
    </row>
    <row r="14" spans="1:21" ht="15" customHeight="1">
      <c r="B14" s="690">
        <v>1003</v>
      </c>
      <c r="C14" s="71" t="s">
        <v>879</v>
      </c>
      <c r="D14" s="19" t="s">
        <v>880</v>
      </c>
      <c r="E14" s="70">
        <v>231</v>
      </c>
      <c r="F14" s="69">
        <v>1.3200000000000001E-5</v>
      </c>
      <c r="G14" s="69">
        <f t="shared" si="1"/>
        <v>3.0492000000000002E-3</v>
      </c>
      <c r="H14" s="69">
        <f t="shared" si="2"/>
        <v>2.04864E-3</v>
      </c>
      <c r="I14" s="72">
        <v>-2417.1999999999998</v>
      </c>
      <c r="J14" s="72">
        <v>16.61</v>
      </c>
      <c r="K14" s="69">
        <f t="shared" si="6"/>
        <v>10464.069264069263</v>
      </c>
      <c r="L14" s="69">
        <f t="shared" si="7"/>
        <v>1240658876.0714996</v>
      </c>
      <c r="M14" s="71"/>
      <c r="N14" s="453"/>
      <c r="O14" s="454"/>
      <c r="P14" s="348" t="str">
        <f t="shared" si="3"/>
        <v/>
      </c>
      <c r="Q14" s="612" t="str">
        <f t="shared" si="4"/>
        <v/>
      </c>
      <c r="R14" s="348" t="str">
        <f t="shared" si="8"/>
        <v/>
      </c>
      <c r="S14" s="613" t="str">
        <f t="shared" si="5"/>
        <v/>
      </c>
      <c r="T14" s="613">
        <f t="shared" si="9"/>
        <v>1240658876.0714996</v>
      </c>
      <c r="U14" s="614" t="str">
        <f t="shared" si="10"/>
        <v/>
      </c>
    </row>
    <row r="15" spans="1:21" ht="15" customHeight="1">
      <c r="B15" s="690">
        <v>1004</v>
      </c>
      <c r="C15" s="71" t="s">
        <v>878</v>
      </c>
      <c r="D15" s="19" t="s">
        <v>996</v>
      </c>
      <c r="E15" s="70">
        <v>861.57</v>
      </c>
      <c r="F15" s="69">
        <v>3.1599999999999998E-9</v>
      </c>
      <c r="G15" s="69">
        <f t="shared" si="1"/>
        <v>2.7225611999999998E-6</v>
      </c>
      <c r="H15" s="69">
        <f t="shared" si="2"/>
        <v>4.9043199999999993E-7</v>
      </c>
      <c r="I15" s="72">
        <v>-7660.9</v>
      </c>
      <c r="J15" s="72">
        <v>444.94</v>
      </c>
      <c r="K15" s="69">
        <f t="shared" si="6"/>
        <v>8891.7905683809786</v>
      </c>
      <c r="L15" s="69">
        <f t="shared" si="7"/>
        <v>1054243680.392145</v>
      </c>
      <c r="M15" s="71"/>
      <c r="N15" s="453"/>
      <c r="O15" s="454"/>
      <c r="P15" s="348" t="str">
        <f t="shared" si="3"/>
        <v/>
      </c>
      <c r="Q15" s="612" t="str">
        <f t="shared" si="4"/>
        <v/>
      </c>
      <c r="R15" s="348" t="str">
        <f t="shared" si="8"/>
        <v/>
      </c>
      <c r="S15" s="613" t="str">
        <f t="shared" si="5"/>
        <v/>
      </c>
      <c r="T15" s="613">
        <f t="shared" si="9"/>
        <v>1054243680.392145</v>
      </c>
      <c r="U15" s="614" t="str">
        <f t="shared" si="10"/>
        <v/>
      </c>
    </row>
    <row r="16" spans="1:21" ht="15" customHeight="1">
      <c r="B16" s="690">
        <v>1005</v>
      </c>
      <c r="C16" s="71" t="s">
        <v>213</v>
      </c>
      <c r="D16" s="19" t="s">
        <v>214</v>
      </c>
      <c r="E16" s="73">
        <v>262.22329999999999</v>
      </c>
      <c r="F16" s="69">
        <v>5.1400000000000003E-4</v>
      </c>
      <c r="G16" s="69">
        <f t="shared" si="1"/>
        <v>0.13478277620000001</v>
      </c>
      <c r="H16" s="69">
        <f t="shared" si="2"/>
        <v>7.9772800000000005E-2</v>
      </c>
      <c r="I16" s="72">
        <v>-3704.5</v>
      </c>
      <c r="J16" s="72">
        <v>6.51</v>
      </c>
      <c r="K16" s="69">
        <f t="shared" si="6"/>
        <v>14127.272442990383</v>
      </c>
      <c r="L16" s="69">
        <f t="shared" si="7"/>
        <v>1674981836.2976291</v>
      </c>
      <c r="M16" s="71"/>
      <c r="N16" s="453"/>
      <c r="O16" s="454"/>
      <c r="P16" s="348" t="str">
        <f t="shared" si="3"/>
        <v/>
      </c>
      <c r="Q16" s="612" t="str">
        <f t="shared" si="4"/>
        <v/>
      </c>
      <c r="R16" s="348" t="str">
        <f t="shared" si="8"/>
        <v/>
      </c>
      <c r="S16" s="613" t="str">
        <f t="shared" si="5"/>
        <v/>
      </c>
      <c r="T16" s="613">
        <f t="shared" si="9"/>
        <v>1674981836.2976291</v>
      </c>
      <c r="U16" s="614" t="str">
        <f t="shared" si="10"/>
        <v/>
      </c>
    </row>
    <row r="17" spans="2:21" ht="15" customHeight="1">
      <c r="B17" s="690">
        <v>1006</v>
      </c>
      <c r="C17" s="71" t="s">
        <v>876</v>
      </c>
      <c r="D17" s="19" t="s">
        <v>877</v>
      </c>
      <c r="E17" s="73">
        <v>497.75</v>
      </c>
      <c r="F17" s="69">
        <v>2.09E-5</v>
      </c>
      <c r="G17" s="69">
        <f t="shared" si="1"/>
        <v>1.0402975E-2</v>
      </c>
      <c r="H17" s="69">
        <f t="shared" si="2"/>
        <v>3.2436799999999997E-3</v>
      </c>
      <c r="I17" s="72">
        <v>-4969.8</v>
      </c>
      <c r="J17" s="72">
        <v>336.21</v>
      </c>
      <c r="K17" s="69">
        <f t="shared" si="6"/>
        <v>9984.5303867403309</v>
      </c>
      <c r="L17" s="69">
        <f t="shared" si="7"/>
        <v>1183802967.5749478</v>
      </c>
      <c r="M17" s="71"/>
      <c r="N17" s="453"/>
      <c r="O17" s="454"/>
      <c r="P17" s="348" t="str">
        <f t="shared" si="3"/>
        <v/>
      </c>
      <c r="Q17" s="612" t="str">
        <f t="shared" si="4"/>
        <v/>
      </c>
      <c r="R17" s="348" t="str">
        <f t="shared" si="8"/>
        <v/>
      </c>
      <c r="S17" s="613" t="str">
        <f t="shared" si="5"/>
        <v/>
      </c>
      <c r="T17" s="613">
        <f t="shared" si="9"/>
        <v>1183802967.5749478</v>
      </c>
      <c r="U17" s="614" t="str">
        <f t="shared" si="10"/>
        <v/>
      </c>
    </row>
    <row r="18" spans="2:21" ht="15" customHeight="1">
      <c r="B18" s="690">
        <v>1007</v>
      </c>
      <c r="C18" s="71" t="s">
        <v>874</v>
      </c>
      <c r="D18" s="19" t="s">
        <v>875</v>
      </c>
      <c r="E18" s="73">
        <v>414.21</v>
      </c>
      <c r="F18" s="69">
        <v>2.2E-13</v>
      </c>
      <c r="G18" s="69">
        <f t="shared" si="1"/>
        <v>9.112619999999999E-11</v>
      </c>
      <c r="H18" s="69">
        <f t="shared" si="2"/>
        <v>3.4144E-11</v>
      </c>
      <c r="I18" s="72">
        <v>-4652.2</v>
      </c>
      <c r="J18" s="72">
        <f>AVERAGE(52.02,42.73)</f>
        <v>47.375</v>
      </c>
      <c r="K18" s="69">
        <f t="shared" si="6"/>
        <v>11231.500929480217</v>
      </c>
      <c r="L18" s="69">
        <f t="shared" si="7"/>
        <v>1331648421.6720581</v>
      </c>
      <c r="M18" s="71"/>
      <c r="N18" s="453"/>
      <c r="O18" s="454"/>
      <c r="P18" s="348" t="str">
        <f t="shared" si="3"/>
        <v/>
      </c>
      <c r="Q18" s="612" t="str">
        <f t="shared" si="4"/>
        <v/>
      </c>
      <c r="R18" s="348" t="str">
        <f t="shared" si="8"/>
        <v/>
      </c>
      <c r="S18" s="613" t="str">
        <f t="shared" si="5"/>
        <v/>
      </c>
      <c r="T18" s="613">
        <f t="shared" si="9"/>
        <v>1331648421.6720581</v>
      </c>
      <c r="U18" s="614" t="str">
        <f t="shared" si="10"/>
        <v/>
      </c>
    </row>
    <row r="19" spans="2:21" ht="15" customHeight="1">
      <c r="B19" s="690">
        <v>1008</v>
      </c>
      <c r="C19" s="71" t="s">
        <v>873</v>
      </c>
      <c r="D19" s="19" t="s">
        <v>997</v>
      </c>
      <c r="E19" s="73">
        <v>151.41</v>
      </c>
      <c r="F19" s="69">
        <v>1.29E-7</v>
      </c>
      <c r="G19" s="69">
        <f t="shared" si="1"/>
        <v>1.9531890000000001E-5</v>
      </c>
      <c r="H19" s="69">
        <f t="shared" si="2"/>
        <v>2.00208E-5</v>
      </c>
      <c r="I19" s="72">
        <v>-282.7</v>
      </c>
      <c r="J19" s="72">
        <v>1958.81</v>
      </c>
      <c r="K19" s="69">
        <f t="shared" si="6"/>
        <v>1867.1157783501751</v>
      </c>
      <c r="L19" s="69">
        <f t="shared" si="7"/>
        <v>221372174.11369365</v>
      </c>
      <c r="M19" s="71"/>
      <c r="N19" s="453"/>
      <c r="O19" s="454"/>
      <c r="P19" s="348" t="str">
        <f t="shared" si="3"/>
        <v/>
      </c>
      <c r="Q19" s="612" t="str">
        <f t="shared" si="4"/>
        <v/>
      </c>
      <c r="R19" s="348" t="str">
        <f t="shared" si="8"/>
        <v/>
      </c>
      <c r="S19" s="613" t="str">
        <f t="shared" si="5"/>
        <v/>
      </c>
      <c r="T19" s="613">
        <f t="shared" si="9"/>
        <v>221372174.11369365</v>
      </c>
      <c r="U19" s="614" t="str">
        <f t="shared" si="10"/>
        <v/>
      </c>
    </row>
    <row r="20" spans="2:21" ht="15" customHeight="1">
      <c r="B20" s="690">
        <v>1009</v>
      </c>
      <c r="C20" s="71" t="s">
        <v>871</v>
      </c>
      <c r="D20" s="19" t="s">
        <v>872</v>
      </c>
      <c r="E20" s="73">
        <v>220.15</v>
      </c>
      <c r="F20" s="69">
        <v>1.0100000000000001E-6</v>
      </c>
      <c r="G20" s="69">
        <f t="shared" si="1"/>
        <v>2.2235150000000003E-4</v>
      </c>
      <c r="H20" s="69">
        <f t="shared" si="2"/>
        <v>1.5675199999999999E-4</v>
      </c>
      <c r="I20" s="72">
        <v>-3088.5</v>
      </c>
      <c r="J20" s="72">
        <f>AVERAGE(0.47,258.91,16.22)</f>
        <v>91.866666666666674</v>
      </c>
      <c r="K20" s="69">
        <f t="shared" si="6"/>
        <v>14029.071087894617</v>
      </c>
      <c r="L20" s="69">
        <f t="shared" si="7"/>
        <v>1663338719.2876763</v>
      </c>
      <c r="M20" s="71"/>
      <c r="N20" s="453"/>
      <c r="O20" s="454"/>
      <c r="P20" s="348" t="str">
        <f t="shared" si="3"/>
        <v/>
      </c>
      <c r="Q20" s="612" t="str">
        <f t="shared" si="4"/>
        <v/>
      </c>
      <c r="R20" s="348" t="str">
        <f t="shared" si="8"/>
        <v/>
      </c>
      <c r="S20" s="613" t="str">
        <f t="shared" si="5"/>
        <v/>
      </c>
      <c r="T20" s="613">
        <f t="shared" si="9"/>
        <v>1663338719.2876763</v>
      </c>
      <c r="U20" s="614" t="str">
        <f t="shared" si="10"/>
        <v/>
      </c>
    </row>
    <row r="21" spans="2:21" ht="15" customHeight="1">
      <c r="B21" s="690">
        <v>1010</v>
      </c>
      <c r="C21" s="71" t="s">
        <v>870</v>
      </c>
      <c r="D21" s="19" t="s">
        <v>143</v>
      </c>
      <c r="E21" s="70">
        <v>79.87</v>
      </c>
      <c r="F21" s="69">
        <v>5.5899999999999996E-7</v>
      </c>
      <c r="G21" s="69">
        <f t="shared" si="1"/>
        <v>4.4647329999999997E-5</v>
      </c>
      <c r="H21" s="69">
        <f t="shared" si="2"/>
        <v>8.6756799999999982E-5</v>
      </c>
      <c r="I21" s="72">
        <v>-883.7</v>
      </c>
      <c r="J21" s="72">
        <f>AVERAGE(25.53,26.79)</f>
        <v>26.16</v>
      </c>
      <c r="K21" s="69">
        <f t="shared" si="6"/>
        <v>11064.229372730686</v>
      </c>
      <c r="L21" s="69">
        <f t="shared" si="7"/>
        <v>1311816085.28757</v>
      </c>
      <c r="M21" s="71"/>
      <c r="N21" s="453"/>
      <c r="O21" s="454"/>
      <c r="P21" s="348" t="str">
        <f t="shared" si="3"/>
        <v/>
      </c>
      <c r="Q21" s="612" t="str">
        <f t="shared" si="4"/>
        <v/>
      </c>
      <c r="R21" s="348" t="str">
        <f t="shared" si="8"/>
        <v/>
      </c>
      <c r="S21" s="613" t="str">
        <f t="shared" si="5"/>
        <v/>
      </c>
      <c r="T21" s="613">
        <f t="shared" si="9"/>
        <v>1311816085.28757</v>
      </c>
      <c r="U21" s="614" t="str">
        <f t="shared" si="10"/>
        <v/>
      </c>
    </row>
    <row r="22" spans="2:21" ht="15" customHeight="1">
      <c r="B22" s="690">
        <v>1011</v>
      </c>
      <c r="C22" s="71" t="s">
        <v>868</v>
      </c>
      <c r="D22" s="19" t="s">
        <v>583</v>
      </c>
      <c r="E22" s="70">
        <v>162.05000000000001</v>
      </c>
      <c r="F22" s="69">
        <v>1.2500000000000001E-5</v>
      </c>
      <c r="G22" s="69">
        <f t="shared" si="1"/>
        <v>2.0256250000000001E-3</v>
      </c>
      <c r="H22" s="69">
        <f t="shared" si="2"/>
        <v>1.9399999999999999E-3</v>
      </c>
      <c r="I22" s="72">
        <v>-2443</v>
      </c>
      <c r="J22" s="72">
        <f>AVERAGE(10.09,13.22)</f>
        <v>11.655000000000001</v>
      </c>
      <c r="K22" s="69">
        <f t="shared" si="6"/>
        <v>15075.5939524838</v>
      </c>
      <c r="L22" s="69">
        <f t="shared" si="7"/>
        <v>1787418352.9558721</v>
      </c>
      <c r="M22" s="71"/>
      <c r="N22" s="453"/>
      <c r="O22" s="454"/>
      <c r="P22" s="348" t="str">
        <f t="shared" si="3"/>
        <v/>
      </c>
      <c r="Q22" s="612" t="str">
        <f t="shared" si="4"/>
        <v/>
      </c>
      <c r="R22" s="348" t="str">
        <f t="shared" si="8"/>
        <v/>
      </c>
      <c r="S22" s="613" t="str">
        <f t="shared" si="5"/>
        <v/>
      </c>
      <c r="T22" s="613">
        <f t="shared" si="9"/>
        <v>1787418352.9558721</v>
      </c>
      <c r="U22" s="614" t="str">
        <f t="shared" si="10"/>
        <v/>
      </c>
    </row>
    <row r="23" spans="2:21" ht="15" customHeight="1">
      <c r="B23" s="690">
        <v>1012</v>
      </c>
      <c r="C23" s="71" t="s">
        <v>867</v>
      </c>
      <c r="D23" s="19" t="s">
        <v>998</v>
      </c>
      <c r="E23" s="73">
        <v>268.62</v>
      </c>
      <c r="F23" s="69">
        <v>2.03E-4</v>
      </c>
      <c r="G23" s="69">
        <f t="shared" si="1"/>
        <v>5.4529859999999999E-2</v>
      </c>
      <c r="H23" s="69">
        <f t="shared" si="2"/>
        <v>3.1505599999999995E-2</v>
      </c>
      <c r="I23" s="72">
        <v>-763.7</v>
      </c>
      <c r="J23" s="72">
        <v>24.8</v>
      </c>
      <c r="K23" s="69">
        <f t="shared" si="6"/>
        <v>2843.0496612314791</v>
      </c>
      <c r="L23" s="69">
        <f t="shared" si="7"/>
        <v>337082516.20911258</v>
      </c>
      <c r="M23" s="71"/>
      <c r="N23" s="453"/>
      <c r="O23" s="487"/>
      <c r="P23" s="348" t="str">
        <f t="shared" si="3"/>
        <v/>
      </c>
      <c r="Q23" s="612" t="str">
        <f t="shared" si="4"/>
        <v/>
      </c>
      <c r="R23" s="348" t="str">
        <f t="shared" si="8"/>
        <v/>
      </c>
      <c r="S23" s="613" t="str">
        <f t="shared" si="5"/>
        <v/>
      </c>
      <c r="T23" s="613">
        <f t="shared" si="9"/>
        <v>337082516.20911258</v>
      </c>
      <c r="U23" s="614" t="str">
        <f t="shared" si="10"/>
        <v/>
      </c>
    </row>
    <row r="24" spans="2:21" ht="15" customHeight="1">
      <c r="B24" s="690">
        <v>1013</v>
      </c>
      <c r="C24" s="71" t="s">
        <v>865</v>
      </c>
      <c r="D24" s="19" t="s">
        <v>866</v>
      </c>
      <c r="E24" s="73">
        <v>508.18</v>
      </c>
      <c r="F24" s="69">
        <v>1.96E-8</v>
      </c>
      <c r="G24" s="69">
        <f t="shared" si="1"/>
        <v>9.9603280000000001E-6</v>
      </c>
      <c r="H24" s="69">
        <f t="shared" si="2"/>
        <v>3.0419199999999998E-6</v>
      </c>
      <c r="I24" s="72">
        <v>-5419.4</v>
      </c>
      <c r="J24" s="72">
        <v>114.91</v>
      </c>
      <c r="K24" s="69">
        <f t="shared" si="6"/>
        <v>10664.331536069896</v>
      </c>
      <c r="L24" s="69">
        <f t="shared" si="7"/>
        <v>1264402714.0593619</v>
      </c>
      <c r="M24" s="71"/>
      <c r="N24" s="453"/>
      <c r="O24" s="454"/>
      <c r="P24" s="348" t="str">
        <f t="shared" si="3"/>
        <v/>
      </c>
      <c r="Q24" s="612" t="str">
        <f t="shared" si="4"/>
        <v/>
      </c>
      <c r="R24" s="348" t="str">
        <f t="shared" si="8"/>
        <v/>
      </c>
      <c r="S24" s="613" t="str">
        <f t="shared" si="5"/>
        <v/>
      </c>
      <c r="T24" s="613">
        <f t="shared" si="9"/>
        <v>1264402714.0593619</v>
      </c>
      <c r="U24" s="614" t="str">
        <f t="shared" si="10"/>
        <v/>
      </c>
    </row>
    <row r="25" spans="2:21" ht="15" customHeight="1">
      <c r="B25" s="690">
        <v>1014</v>
      </c>
      <c r="C25" s="71" t="s">
        <v>863</v>
      </c>
      <c r="D25" s="19" t="s">
        <v>864</v>
      </c>
      <c r="E25" s="70">
        <v>303.26</v>
      </c>
      <c r="F25" s="69">
        <v>3.8200000000000003E-10</v>
      </c>
      <c r="G25" s="69">
        <f t="shared" si="1"/>
        <v>1.1584532E-7</v>
      </c>
      <c r="H25" s="69">
        <f t="shared" si="2"/>
        <v>5.9286400000000001E-8</v>
      </c>
      <c r="I25" s="72">
        <v>-784.5</v>
      </c>
      <c r="J25" s="72">
        <v>33.549999999999997</v>
      </c>
      <c r="K25" s="69">
        <f t="shared" si="6"/>
        <v>2586.8891380333707</v>
      </c>
      <c r="L25" s="69">
        <f t="shared" si="7"/>
        <v>306711174.16380358</v>
      </c>
      <c r="M25" s="71"/>
      <c r="N25" s="453"/>
      <c r="O25" s="454"/>
      <c r="P25" s="348" t="str">
        <f t="shared" si="3"/>
        <v/>
      </c>
      <c r="Q25" s="612" t="str">
        <f t="shared" si="4"/>
        <v/>
      </c>
      <c r="R25" s="348" t="str">
        <f t="shared" si="8"/>
        <v/>
      </c>
      <c r="S25" s="613" t="str">
        <f t="shared" si="5"/>
        <v/>
      </c>
      <c r="T25" s="613">
        <f t="shared" si="9"/>
        <v>306711174.16380358</v>
      </c>
      <c r="U25" s="614" t="str">
        <f t="shared" si="10"/>
        <v/>
      </c>
    </row>
    <row r="26" spans="2:21" ht="15" customHeight="1">
      <c r="B26" s="690">
        <v>1015</v>
      </c>
      <c r="C26" s="71" t="s">
        <v>862</v>
      </c>
      <c r="D26" s="19" t="s">
        <v>87</v>
      </c>
      <c r="E26" s="70">
        <v>136.13999999999999</v>
      </c>
      <c r="F26" s="69">
        <v>1.73E-6</v>
      </c>
      <c r="G26" s="69">
        <f t="shared" si="1"/>
        <v>2.3552219999999996E-4</v>
      </c>
      <c r="H26" s="69">
        <f t="shared" si="2"/>
        <v>2.6849599999999996E-4</v>
      </c>
      <c r="I26" s="72">
        <v>-1322.7</v>
      </c>
      <c r="J26" s="455">
        <v>23.65</v>
      </c>
      <c r="K26" s="69">
        <f t="shared" si="6"/>
        <v>9715.7338034376389</v>
      </c>
      <c r="L26" s="69">
        <f t="shared" si="7"/>
        <v>1151933447.3609262</v>
      </c>
      <c r="M26" s="71"/>
      <c r="N26" s="453"/>
      <c r="O26" s="488">
        <f>'EmCF Library'!Z25</f>
        <v>0.74449999999999994</v>
      </c>
      <c r="P26" s="348">
        <f t="shared" si="3"/>
        <v>0.84873218745409129</v>
      </c>
      <c r="Q26" s="612">
        <f t="shared" si="4"/>
        <v>146.73106840213879</v>
      </c>
      <c r="R26" s="348">
        <f>IF(ISNUMBER(Q26),Q26*$G26*crust_mass/crust_age,"")</f>
        <v>299967120653504.75</v>
      </c>
      <c r="S26" s="613">
        <f t="shared" si="5"/>
        <v>8106152969.0631437</v>
      </c>
      <c r="T26" s="613">
        <f t="shared" si="9"/>
        <v>8106152969.0631437</v>
      </c>
      <c r="U26" s="614" t="str">
        <f t="shared" si="10"/>
        <v/>
      </c>
    </row>
    <row r="27" spans="2:21" ht="15" customHeight="1">
      <c r="B27" s="690">
        <v>1016</v>
      </c>
      <c r="C27" s="71" t="s">
        <v>861</v>
      </c>
      <c r="D27" s="19" t="s">
        <v>999</v>
      </c>
      <c r="E27" s="73">
        <v>206.39</v>
      </c>
      <c r="F27" s="69">
        <v>1.36E-5</v>
      </c>
      <c r="G27" s="69">
        <f t="shared" si="1"/>
        <v>2.8069039999999998E-3</v>
      </c>
      <c r="H27" s="69">
        <f t="shared" si="2"/>
        <v>2.11072E-3</v>
      </c>
      <c r="I27" s="72">
        <v>-1923.1</v>
      </c>
      <c r="J27" s="72">
        <v>105.34</v>
      </c>
      <c r="K27" s="69">
        <f t="shared" si="6"/>
        <v>9317.7964048645772</v>
      </c>
      <c r="L27" s="69">
        <f t="shared" si="7"/>
        <v>1104752512.946079</v>
      </c>
      <c r="M27" s="71"/>
      <c r="N27" s="453"/>
      <c r="O27" s="454"/>
      <c r="P27" s="348" t="str">
        <f t="shared" si="3"/>
        <v/>
      </c>
      <c r="Q27" s="612" t="str">
        <f t="shared" si="4"/>
        <v/>
      </c>
      <c r="R27" s="348" t="str">
        <f t="shared" si="8"/>
        <v/>
      </c>
      <c r="S27" s="613" t="str">
        <f t="shared" si="5"/>
        <v/>
      </c>
      <c r="T27" s="613">
        <f t="shared" si="9"/>
        <v>1104752512.946079</v>
      </c>
      <c r="U27" s="614" t="str">
        <f t="shared" si="10"/>
        <v/>
      </c>
    </row>
    <row r="28" spans="2:21" ht="15" customHeight="1">
      <c r="B28" s="690">
        <v>1017</v>
      </c>
      <c r="C28" s="71" t="s">
        <v>208</v>
      </c>
      <c r="D28" s="19" t="s">
        <v>209</v>
      </c>
      <c r="E28" s="70">
        <v>278.20999999999998</v>
      </c>
      <c r="F28" s="69">
        <v>9.9000000000000005E-7</v>
      </c>
      <c r="G28" s="69">
        <f t="shared" si="1"/>
        <v>2.754279E-4</v>
      </c>
      <c r="H28" s="69">
        <f t="shared" si="2"/>
        <v>1.5364799999999999E-4</v>
      </c>
      <c r="I28" s="72">
        <v>-4021</v>
      </c>
      <c r="J28" s="72">
        <v>26.68</v>
      </c>
      <c r="K28" s="69">
        <f t="shared" si="6"/>
        <v>14453.110959347257</v>
      </c>
      <c r="L28" s="69">
        <f t="shared" si="7"/>
        <v>1713614459.7333536</v>
      </c>
      <c r="M28" s="71"/>
      <c r="N28" s="453"/>
      <c r="O28" s="454"/>
      <c r="P28" s="348" t="str">
        <f t="shared" si="3"/>
        <v/>
      </c>
      <c r="Q28" s="612" t="str">
        <f t="shared" si="4"/>
        <v/>
      </c>
      <c r="R28" s="348" t="str">
        <f t="shared" si="8"/>
        <v/>
      </c>
      <c r="S28" s="613" t="str">
        <f t="shared" si="5"/>
        <v/>
      </c>
      <c r="T28" s="613">
        <f t="shared" si="9"/>
        <v>1713614459.7333536</v>
      </c>
      <c r="U28" s="614" t="str">
        <f t="shared" si="10"/>
        <v/>
      </c>
    </row>
    <row r="29" spans="2:21" ht="15" customHeight="1">
      <c r="B29" s="690">
        <v>1018</v>
      </c>
      <c r="C29" s="71" t="s">
        <v>859</v>
      </c>
      <c r="D29" s="19" t="s">
        <v>860</v>
      </c>
      <c r="E29" s="73">
        <v>780.82</v>
      </c>
      <c r="F29" s="69">
        <v>2.6700000000000001E-8</v>
      </c>
      <c r="G29" s="69">
        <f t="shared" si="1"/>
        <v>2.0847894000000001E-5</v>
      </c>
      <c r="H29" s="69">
        <f t="shared" si="2"/>
        <v>4.1438399999999994E-6</v>
      </c>
      <c r="I29" s="72">
        <v>-11396</v>
      </c>
      <c r="J29" s="72">
        <f>AVERAGE(153.29,181.76)</f>
        <v>167.52499999999998</v>
      </c>
      <c r="K29" s="69">
        <f t="shared" si="6"/>
        <v>14594.913040137291</v>
      </c>
      <c r="L29" s="69">
        <f t="shared" si="7"/>
        <v>1730427040.5504217</v>
      </c>
      <c r="M29" s="71"/>
      <c r="N29" s="453"/>
      <c r="O29" s="454"/>
      <c r="P29" s="348" t="str">
        <f t="shared" si="3"/>
        <v/>
      </c>
      <c r="Q29" s="612" t="str">
        <f t="shared" si="4"/>
        <v/>
      </c>
      <c r="R29" s="348" t="str">
        <f t="shared" si="8"/>
        <v/>
      </c>
      <c r="S29" s="613" t="str">
        <f t="shared" si="5"/>
        <v/>
      </c>
      <c r="T29" s="613">
        <f t="shared" si="9"/>
        <v>1730427040.5504217</v>
      </c>
      <c r="U29" s="614" t="str">
        <f t="shared" si="10"/>
        <v/>
      </c>
    </row>
    <row r="30" spans="2:21" ht="15" customHeight="1">
      <c r="B30" s="690">
        <v>1019</v>
      </c>
      <c r="C30" s="71" t="s">
        <v>216</v>
      </c>
      <c r="D30" s="19" t="s">
        <v>1000</v>
      </c>
      <c r="E30" s="73">
        <v>509.12</v>
      </c>
      <c r="F30" s="69">
        <v>7.9100000000000003E-7</v>
      </c>
      <c r="G30" s="69">
        <f t="shared" si="1"/>
        <v>4.0271392000000003E-4</v>
      </c>
      <c r="H30" s="69">
        <f t="shared" si="2"/>
        <v>1.227632E-4</v>
      </c>
      <c r="I30" s="72">
        <v>-6386.9</v>
      </c>
      <c r="J30" s="72">
        <v>17.71</v>
      </c>
      <c r="K30" s="69">
        <f t="shared" si="6"/>
        <v>12544.979572595852</v>
      </c>
      <c r="L30" s="69">
        <f t="shared" si="7"/>
        <v>1487379322.9101918</v>
      </c>
      <c r="M30" s="71" t="s">
        <v>124</v>
      </c>
      <c r="N30" s="453">
        <f>3*30.97/'Singular Minerals'!E30</f>
        <v>0.18249135763670646</v>
      </c>
      <c r="O30" s="454">
        <f>'EmCF Library'!AA78/N30</f>
        <v>0.6575653858572813</v>
      </c>
      <c r="P30" s="348">
        <f t="shared" si="3"/>
        <v>0.2004520503713271</v>
      </c>
      <c r="Q30" s="612">
        <f t="shared" si="4"/>
        <v>36.019965391935052</v>
      </c>
      <c r="R30" s="348">
        <f t="shared" si="8"/>
        <v>125909835883654.38</v>
      </c>
      <c r="S30" s="613">
        <f t="shared" si="5"/>
        <v>1989921784.0298231</v>
      </c>
      <c r="T30" s="613">
        <f t="shared" si="9"/>
        <v>1989921784.0298231</v>
      </c>
      <c r="U30" s="614">
        <f t="shared" si="10"/>
        <v>10904197381.178167</v>
      </c>
    </row>
    <row r="31" spans="2:21" ht="15" customHeight="1">
      <c r="B31" s="690">
        <v>1020</v>
      </c>
      <c r="C31" s="71" t="s">
        <v>1397</v>
      </c>
      <c r="D31" s="19" t="s">
        <v>1000</v>
      </c>
      <c r="E31" s="73">
        <v>509.12</v>
      </c>
      <c r="F31" s="69">
        <v>7.9100000000000003E-7</v>
      </c>
      <c r="G31" s="69">
        <f t="shared" si="1"/>
        <v>4.0271392000000003E-4</v>
      </c>
      <c r="H31" s="69">
        <f t="shared" si="2"/>
        <v>1.227632E-4</v>
      </c>
      <c r="I31" s="72">
        <v>-6386.9</v>
      </c>
      <c r="J31" s="72">
        <v>17.71</v>
      </c>
      <c r="K31" s="69">
        <f t="shared" si="6"/>
        <v>12544.979572595852</v>
      </c>
      <c r="L31" s="69">
        <f t="shared" si="7"/>
        <v>1487379322.9101918</v>
      </c>
      <c r="M31" s="71" t="s">
        <v>97</v>
      </c>
      <c r="N31" s="462">
        <v>4.4999999999999998E-2</v>
      </c>
      <c r="O31" s="454">
        <f>'EmCF Library'!AA44/N31</f>
        <v>0.22222222222222224</v>
      </c>
      <c r="P31" s="348">
        <f>IF(ISNUMBER(O31),(O31/E31)/(1/$L$2),"")</f>
        <v>6.7742160765416587E-2</v>
      </c>
      <c r="Q31" s="612">
        <f t="shared" si="4"/>
        <v>30.737934902897894</v>
      </c>
      <c r="R31" s="348">
        <f>IF(ISNUMBER(Q31),Q31*$G31*crust_mass/crust_age,"")</f>
        <v>107446198154673.22</v>
      </c>
      <c r="S31" s="613">
        <f t="shared" si="5"/>
        <v>1698116186.2266076</v>
      </c>
      <c r="T31" s="613">
        <f t="shared" si="9"/>
        <v>1698116186.2266076</v>
      </c>
      <c r="U31" s="614">
        <f t="shared" si="10"/>
        <v>37735915249.480171</v>
      </c>
    </row>
    <row r="32" spans="2:21" ht="15" customHeight="1">
      <c r="B32" s="690">
        <v>1021</v>
      </c>
      <c r="C32" s="71" t="s">
        <v>1398</v>
      </c>
      <c r="D32" s="19" t="s">
        <v>1000</v>
      </c>
      <c r="E32" s="73">
        <v>509.12</v>
      </c>
      <c r="F32" s="69">
        <v>7.9100000000000003E-7</v>
      </c>
      <c r="G32" s="69">
        <f t="shared" si="1"/>
        <v>4.0271392000000003E-4</v>
      </c>
      <c r="H32" s="69">
        <f t="shared" si="2"/>
        <v>1.227632E-4</v>
      </c>
      <c r="I32" s="72">
        <v>-6386.9</v>
      </c>
      <c r="J32" s="72">
        <v>17.71</v>
      </c>
      <c r="K32" s="69">
        <f t="shared" si="6"/>
        <v>12544.979572595852</v>
      </c>
      <c r="L32" s="69">
        <f t="shared" si="7"/>
        <v>1487379322.9101918</v>
      </c>
      <c r="M32" s="71" t="s">
        <v>97</v>
      </c>
      <c r="N32" s="462">
        <v>4.4999999999999998E-2</v>
      </c>
      <c r="O32" s="454">
        <f>'EmCF Library'!AA45/N32</f>
        <v>0.66666666666666663</v>
      </c>
      <c r="P32" s="348">
        <f t="shared" si="3"/>
        <v>0.20322648229624971</v>
      </c>
      <c r="Q32" s="612">
        <f t="shared" si="4"/>
        <v>36.086892171607083</v>
      </c>
      <c r="R32" s="348">
        <f t="shared" si="8"/>
        <v>126143782245152.36</v>
      </c>
      <c r="S32" s="613">
        <f t="shared" si="5"/>
        <v>1993619151.7356277</v>
      </c>
      <c r="T32" s="613">
        <f t="shared" si="9"/>
        <v>1993619151.7356277</v>
      </c>
      <c r="U32" s="614">
        <f t="shared" si="10"/>
        <v>44302647816.347282</v>
      </c>
    </row>
    <row r="33" spans="2:21" ht="15" customHeight="1">
      <c r="B33" s="690">
        <v>1022</v>
      </c>
      <c r="C33" s="71" t="s">
        <v>1396</v>
      </c>
      <c r="D33" s="19" t="s">
        <v>1000</v>
      </c>
      <c r="E33" s="73">
        <v>509.12</v>
      </c>
      <c r="F33" s="69">
        <v>7.9100000000000003E-7</v>
      </c>
      <c r="G33" s="69">
        <f t="shared" si="1"/>
        <v>4.0271392000000003E-4</v>
      </c>
      <c r="H33" s="69">
        <f t="shared" si="2"/>
        <v>1.227632E-4</v>
      </c>
      <c r="I33" s="72">
        <v>-6386.9</v>
      </c>
      <c r="J33" s="72">
        <v>17.71</v>
      </c>
      <c r="K33" s="69">
        <f t="shared" si="6"/>
        <v>12544.979572595852</v>
      </c>
      <c r="L33" s="69">
        <f t="shared" si="7"/>
        <v>1487379322.9101918</v>
      </c>
      <c r="M33" s="71" t="s">
        <v>124</v>
      </c>
      <c r="N33" s="453">
        <f>3*30.97/'Singular Minerals'!E33</f>
        <v>0.18249135763670646</v>
      </c>
      <c r="O33" s="454">
        <f>'EmCF Library'!AA79/N33</f>
        <v>0.21918846195242711</v>
      </c>
      <c r="P33" s="348">
        <f t="shared" si="3"/>
        <v>6.6817350123775696E-2</v>
      </c>
      <c r="Q33" s="612">
        <f t="shared" si="4"/>
        <v>30.671008123225857</v>
      </c>
      <c r="R33" s="348">
        <f t="shared" si="8"/>
        <v>107212251793175.2</v>
      </c>
      <c r="S33" s="613">
        <f t="shared" si="5"/>
        <v>1694418818.5208027</v>
      </c>
      <c r="T33" s="613">
        <f t="shared" si="9"/>
        <v>1694418818.5208027</v>
      </c>
      <c r="U33" s="614">
        <f t="shared" si="10"/>
        <v>9284926368.3705864</v>
      </c>
    </row>
    <row r="34" spans="2:21" ht="15" customHeight="1">
      <c r="B34" s="690">
        <v>1023</v>
      </c>
      <c r="C34" s="71" t="s">
        <v>858</v>
      </c>
      <c r="D34" s="19" t="s">
        <v>90</v>
      </c>
      <c r="E34" s="70">
        <v>100.08750000000001</v>
      </c>
      <c r="F34" s="69">
        <v>7.6400000000000001E-7</v>
      </c>
      <c r="G34" s="69">
        <f t="shared" si="1"/>
        <v>7.6466850000000001E-5</v>
      </c>
      <c r="H34" s="69">
        <f t="shared" si="2"/>
        <v>1.1857279999999999E-4</v>
      </c>
      <c r="I34" s="72">
        <v>-1128.5999999999999</v>
      </c>
      <c r="J34" s="72">
        <f>AVERAGE(19.06,18.43)</f>
        <v>18.744999999999997</v>
      </c>
      <c r="K34" s="69">
        <f t="shared" si="6"/>
        <v>11276.133383289622</v>
      </c>
      <c r="L34" s="69">
        <f t="shared" si="7"/>
        <v>1336940210.9924543</v>
      </c>
      <c r="M34" s="71"/>
      <c r="N34" s="453"/>
      <c r="O34" s="454"/>
      <c r="P34" s="348" t="str">
        <f t="shared" si="3"/>
        <v/>
      </c>
      <c r="Q34" s="612" t="str">
        <f t="shared" si="4"/>
        <v/>
      </c>
      <c r="R34" s="348" t="str">
        <f t="shared" si="8"/>
        <v/>
      </c>
      <c r="S34" s="613" t="str">
        <f t="shared" si="5"/>
        <v/>
      </c>
      <c r="T34" s="613">
        <f t="shared" si="9"/>
        <v>1336940210.9924543</v>
      </c>
      <c r="U34" s="614" t="str">
        <f t="shared" si="10"/>
        <v/>
      </c>
    </row>
    <row r="35" spans="2:21" ht="15" customHeight="1">
      <c r="B35" s="690">
        <v>1024</v>
      </c>
      <c r="C35" s="71" t="s">
        <v>856</v>
      </c>
      <c r="D35" s="19" t="s">
        <v>857</v>
      </c>
      <c r="E35" s="73">
        <v>958.89</v>
      </c>
      <c r="F35" s="69">
        <v>1.09E-7</v>
      </c>
      <c r="G35" s="69">
        <f t="shared" si="1"/>
        <v>1.0451900999999999E-4</v>
      </c>
      <c r="H35" s="69">
        <f t="shared" si="2"/>
        <v>1.6916799999999997E-5</v>
      </c>
      <c r="I35" s="72">
        <v>-11201.5</v>
      </c>
      <c r="J35" s="72">
        <v>-1189.8900000000001</v>
      </c>
      <c r="K35" s="69">
        <f t="shared" si="6"/>
        <v>11681.73617411799</v>
      </c>
      <c r="L35" s="69">
        <f t="shared" si="7"/>
        <v>1385029982.7534735</v>
      </c>
      <c r="M35" s="71"/>
      <c r="N35" s="453"/>
      <c r="O35" s="454"/>
      <c r="P35" s="348" t="str">
        <f t="shared" si="3"/>
        <v/>
      </c>
      <c r="Q35" s="612" t="str">
        <f t="shared" si="4"/>
        <v/>
      </c>
      <c r="R35" s="348" t="str">
        <f t="shared" si="8"/>
        <v/>
      </c>
      <c r="S35" s="613" t="str">
        <f t="shared" si="5"/>
        <v/>
      </c>
      <c r="T35" s="613">
        <f t="shared" si="9"/>
        <v>1385029982.7534735</v>
      </c>
      <c r="U35" s="614" t="str">
        <f t="shared" si="10"/>
        <v/>
      </c>
    </row>
    <row r="36" spans="2:21" ht="15" customHeight="1">
      <c r="B36" s="690">
        <v>1025</v>
      </c>
      <c r="C36" s="71" t="s">
        <v>854</v>
      </c>
      <c r="D36" s="19" t="s">
        <v>855</v>
      </c>
      <c r="E36" s="73">
        <v>247.80189999999999</v>
      </c>
      <c r="F36" s="69">
        <v>4.9899999999999997E-11</v>
      </c>
      <c r="G36" s="69">
        <f t="shared" si="1"/>
        <v>1.2365314809999999E-8</v>
      </c>
      <c r="H36" s="69">
        <f t="shared" si="2"/>
        <v>7.7444799999999989E-9</v>
      </c>
      <c r="I36" s="72">
        <v>-39.4</v>
      </c>
      <c r="J36" s="72">
        <v>707.35</v>
      </c>
      <c r="K36" s="69">
        <f t="shared" si="6"/>
        <v>158.99797378470464</v>
      </c>
      <c r="L36" s="69">
        <f t="shared" si="7"/>
        <v>18851389.691266831</v>
      </c>
      <c r="M36" s="71"/>
      <c r="N36" s="453"/>
      <c r="O36" s="454"/>
      <c r="P36" s="348" t="str">
        <f t="shared" si="3"/>
        <v/>
      </c>
      <c r="Q36" s="612" t="str">
        <f t="shared" si="4"/>
        <v/>
      </c>
      <c r="R36" s="348" t="str">
        <f t="shared" si="8"/>
        <v/>
      </c>
      <c r="S36" s="613" t="str">
        <f t="shared" si="5"/>
        <v/>
      </c>
      <c r="T36" s="613">
        <f t="shared" si="9"/>
        <v>18851389.691266831</v>
      </c>
      <c r="U36" s="614" t="str">
        <f t="shared" si="10"/>
        <v/>
      </c>
    </row>
    <row r="37" spans="2:21" ht="15" customHeight="1">
      <c r="B37" s="690">
        <v>1026</v>
      </c>
      <c r="C37" s="71" t="s">
        <v>852</v>
      </c>
      <c r="D37" s="19" t="s">
        <v>853</v>
      </c>
      <c r="E37" s="70">
        <v>197.84</v>
      </c>
      <c r="F37" s="69">
        <v>2.8000000000000002E-10</v>
      </c>
      <c r="G37" s="69">
        <f t="shared" si="1"/>
        <v>5.5395200000000005E-8</v>
      </c>
      <c r="H37" s="69">
        <f t="shared" si="2"/>
        <v>4.3456000000000002E-8</v>
      </c>
      <c r="I37" s="72">
        <v>-579.1</v>
      </c>
      <c r="J37" s="72">
        <v>414.17</v>
      </c>
      <c r="K37" s="69">
        <f t="shared" si="6"/>
        <v>2927.1128184391428</v>
      </c>
      <c r="L37" s="69">
        <f t="shared" si="7"/>
        <v>347049356.02145958</v>
      </c>
      <c r="M37" s="71"/>
      <c r="N37" s="453"/>
      <c r="O37" s="454"/>
      <c r="P37" s="348" t="str">
        <f t="shared" si="3"/>
        <v/>
      </c>
      <c r="Q37" s="612" t="str">
        <f t="shared" si="4"/>
        <v/>
      </c>
      <c r="R37" s="348" t="str">
        <f t="shared" si="8"/>
        <v/>
      </c>
      <c r="S37" s="613" t="str">
        <f t="shared" si="5"/>
        <v/>
      </c>
      <c r="T37" s="613">
        <f t="shared" si="9"/>
        <v>347049356.02145958</v>
      </c>
      <c r="U37" s="614" t="str">
        <f t="shared" si="10"/>
        <v/>
      </c>
    </row>
    <row r="38" spans="2:21" ht="15" customHeight="1">
      <c r="B38" s="690">
        <v>1027</v>
      </c>
      <c r="C38" s="71" t="s">
        <v>850</v>
      </c>
      <c r="D38" s="19" t="s">
        <v>851</v>
      </c>
      <c r="E38" s="73">
        <v>162.8323</v>
      </c>
      <c r="F38" s="69">
        <v>2.8900000000000001E-8</v>
      </c>
      <c r="G38" s="69">
        <f t="shared" si="1"/>
        <v>4.7058534700000001E-6</v>
      </c>
      <c r="H38" s="69">
        <f t="shared" si="2"/>
        <v>4.4852799999999995E-6</v>
      </c>
      <c r="I38" s="72">
        <v>-50.2</v>
      </c>
      <c r="J38" s="72">
        <v>1427.63</v>
      </c>
      <c r="K38" s="69">
        <f t="shared" si="6"/>
        <v>308.29264218462799</v>
      </c>
      <c r="L38" s="69">
        <f t="shared" si="7"/>
        <v>36552319.494600952</v>
      </c>
      <c r="M38" s="71"/>
      <c r="N38" s="453"/>
      <c r="O38" s="454"/>
      <c r="P38" s="348" t="str">
        <f t="shared" si="3"/>
        <v/>
      </c>
      <c r="Q38" s="612" t="str">
        <f t="shared" si="4"/>
        <v/>
      </c>
      <c r="R38" s="348" t="str">
        <f t="shared" si="8"/>
        <v/>
      </c>
      <c r="S38" s="613" t="str">
        <f t="shared" si="5"/>
        <v/>
      </c>
      <c r="T38" s="613">
        <f t="shared" si="9"/>
        <v>36552319.494600952</v>
      </c>
      <c r="U38" s="614" t="str">
        <f t="shared" si="10"/>
        <v/>
      </c>
    </row>
    <row r="39" spans="2:21" ht="15" customHeight="1">
      <c r="B39" s="690">
        <v>1028</v>
      </c>
      <c r="C39" s="71" t="s">
        <v>849</v>
      </c>
      <c r="D39" s="19" t="s">
        <v>1001</v>
      </c>
      <c r="E39" s="73">
        <v>236.35</v>
      </c>
      <c r="F39" s="69">
        <v>1.27E-4</v>
      </c>
      <c r="G39" s="69">
        <f t="shared" si="1"/>
        <v>3.001645E-2</v>
      </c>
      <c r="H39" s="69">
        <f t="shared" si="2"/>
        <v>1.9710399999999999E-2</v>
      </c>
      <c r="I39" s="72">
        <v>-3026.8</v>
      </c>
      <c r="J39" s="72">
        <v>-440.02</v>
      </c>
      <c r="K39" s="69">
        <f t="shared" si="6"/>
        <v>12806.431140258092</v>
      </c>
      <c r="L39" s="69">
        <f t="shared" si="7"/>
        <v>1518377990.8181701</v>
      </c>
      <c r="M39" s="71"/>
      <c r="N39" s="453"/>
      <c r="O39" s="454"/>
      <c r="P39" s="348" t="str">
        <f t="shared" si="3"/>
        <v/>
      </c>
      <c r="Q39" s="612" t="str">
        <f t="shared" si="4"/>
        <v/>
      </c>
      <c r="R39" s="348" t="str">
        <f t="shared" si="8"/>
        <v/>
      </c>
      <c r="S39" s="613" t="str">
        <f t="shared" si="5"/>
        <v/>
      </c>
      <c r="T39" s="613">
        <f t="shared" si="9"/>
        <v>1518377990.8181701</v>
      </c>
      <c r="U39" s="614" t="str">
        <f t="shared" si="10"/>
        <v/>
      </c>
    </row>
    <row r="40" spans="2:21" ht="15" customHeight="1">
      <c r="B40" s="690">
        <v>1029</v>
      </c>
      <c r="C40" s="71" t="s">
        <v>847</v>
      </c>
      <c r="D40" s="19" t="s">
        <v>848</v>
      </c>
      <c r="E40" s="73">
        <v>570.12</v>
      </c>
      <c r="F40" s="69">
        <v>1.9300000000000001E-10</v>
      </c>
      <c r="G40" s="69">
        <f t="shared" si="1"/>
        <v>1.1003316E-7</v>
      </c>
      <c r="H40" s="69">
        <f t="shared" si="2"/>
        <v>2.9953599999999996E-8</v>
      </c>
      <c r="I40" s="72">
        <v>-7180.9</v>
      </c>
      <c r="J40" s="72">
        <v>445.9</v>
      </c>
      <c r="K40" s="69">
        <f t="shared" si="6"/>
        <v>12595.4185083842</v>
      </c>
      <c r="L40" s="69">
        <f t="shared" si="7"/>
        <v>1493359550.2774062</v>
      </c>
      <c r="M40" s="71"/>
      <c r="N40" s="453"/>
      <c r="O40" s="454"/>
      <c r="P40" s="348" t="str">
        <f t="shared" si="3"/>
        <v/>
      </c>
      <c r="Q40" s="612" t="str">
        <f t="shared" si="4"/>
        <v/>
      </c>
      <c r="R40" s="348" t="str">
        <f t="shared" si="8"/>
        <v/>
      </c>
      <c r="S40" s="613" t="str">
        <f t="shared" si="5"/>
        <v/>
      </c>
      <c r="T40" s="613">
        <f t="shared" si="9"/>
        <v>1493359550.2774062</v>
      </c>
      <c r="U40" s="614" t="str">
        <f t="shared" si="10"/>
        <v/>
      </c>
    </row>
    <row r="41" spans="2:21" ht="15" customHeight="1">
      <c r="B41" s="690">
        <v>1030</v>
      </c>
      <c r="C41" s="71" t="s">
        <v>845</v>
      </c>
      <c r="D41" s="19" t="s">
        <v>846</v>
      </c>
      <c r="E41" s="70">
        <v>344.67</v>
      </c>
      <c r="F41" s="69">
        <v>4.3800000000000002E-9</v>
      </c>
      <c r="G41" s="69">
        <f t="shared" si="1"/>
        <v>1.5096546000000002E-6</v>
      </c>
      <c r="H41" s="69">
        <f t="shared" si="2"/>
        <v>6.7977600000000001E-7</v>
      </c>
      <c r="I41" s="72">
        <v>-1447.5</v>
      </c>
      <c r="J41" s="72">
        <v>27.73</v>
      </c>
      <c r="K41" s="69">
        <f t="shared" si="6"/>
        <v>4199.6692488467224</v>
      </c>
      <c r="L41" s="69">
        <f t="shared" si="7"/>
        <v>497928367.89002788</v>
      </c>
      <c r="M41" s="71"/>
      <c r="N41" s="453"/>
      <c r="O41" s="454"/>
      <c r="P41" s="348" t="str">
        <f t="shared" si="3"/>
        <v/>
      </c>
      <c r="Q41" s="612" t="str">
        <f t="shared" si="4"/>
        <v/>
      </c>
      <c r="R41" s="348" t="str">
        <f t="shared" si="8"/>
        <v/>
      </c>
      <c r="S41" s="613" t="str">
        <f t="shared" si="5"/>
        <v/>
      </c>
      <c r="T41" s="613">
        <f t="shared" si="9"/>
        <v>497928367.89002788</v>
      </c>
      <c r="U41" s="614" t="str">
        <f t="shared" si="10"/>
        <v/>
      </c>
    </row>
    <row r="42" spans="2:21" ht="15" customHeight="1">
      <c r="B42" s="690">
        <v>1031</v>
      </c>
      <c r="C42" s="71" t="s">
        <v>844</v>
      </c>
      <c r="D42" s="19" t="s">
        <v>148</v>
      </c>
      <c r="E42" s="70">
        <v>123.22</v>
      </c>
      <c r="F42" s="69">
        <v>9.7499999999999999E-11</v>
      </c>
      <c r="G42" s="69">
        <f t="shared" si="1"/>
        <v>1.201395E-8</v>
      </c>
      <c r="H42" s="69">
        <f t="shared" si="2"/>
        <v>1.5131999999999999E-8</v>
      </c>
      <c r="I42" s="72">
        <v>-1043.3</v>
      </c>
      <c r="J42" s="72">
        <f>AVERAGE(41.33,44.01)</f>
        <v>42.67</v>
      </c>
      <c r="K42" s="69">
        <f t="shared" si="6"/>
        <v>8466.96964778445</v>
      </c>
      <c r="L42" s="69">
        <f t="shared" si="7"/>
        <v>1003875335.8620949</v>
      </c>
      <c r="M42" s="71"/>
      <c r="N42" s="453"/>
      <c r="O42" s="463">
        <f>'EmCF Library'!Z105</f>
        <v>3.8999999999999998E-3</v>
      </c>
      <c r="P42" s="348">
        <f t="shared" si="3"/>
        <v>4.912189579613699E-3</v>
      </c>
      <c r="Q42" s="612">
        <f t="shared" si="4"/>
        <v>255.29339476652976</v>
      </c>
      <c r="R42" s="348">
        <f t="shared" si="8"/>
        <v>26622272454.88044</v>
      </c>
      <c r="S42" s="613">
        <f t="shared" si="5"/>
        <v>14103675060.126188</v>
      </c>
      <c r="T42" s="613">
        <f t="shared" si="9"/>
        <v>14103675060.126188</v>
      </c>
      <c r="U42" s="614" t="str">
        <f t="shared" si="10"/>
        <v/>
      </c>
    </row>
    <row r="43" spans="2:21" ht="15" customHeight="1">
      <c r="B43" s="690">
        <v>1032</v>
      </c>
      <c r="C43" s="71" t="s">
        <v>843</v>
      </c>
      <c r="D43" s="19" t="s">
        <v>88</v>
      </c>
      <c r="E43" s="70">
        <v>233.39</v>
      </c>
      <c r="F43" s="69">
        <v>3.0400000000000001E-6</v>
      </c>
      <c r="G43" s="69">
        <f t="shared" si="1"/>
        <v>7.0950560000000002E-4</v>
      </c>
      <c r="H43" s="69">
        <f t="shared" si="2"/>
        <v>4.7180799999999999E-4</v>
      </c>
      <c r="I43" s="72">
        <v>-1361.9</v>
      </c>
      <c r="J43" s="72">
        <f>AVERAGE(28.53,34.39)</f>
        <v>31.46</v>
      </c>
      <c r="K43" s="69">
        <f t="shared" si="6"/>
        <v>5835.2971421226275</v>
      </c>
      <c r="L43" s="69">
        <f t="shared" si="7"/>
        <v>691854479.47558355</v>
      </c>
      <c r="M43" s="71" t="s">
        <v>300</v>
      </c>
      <c r="N43" s="453">
        <f>137/E43</f>
        <v>0.58700029992716063</v>
      </c>
      <c r="O43" s="454">
        <v>0.15</v>
      </c>
      <c r="P43" s="348">
        <f t="shared" si="3"/>
        <v>9.9747204250396321E-2</v>
      </c>
      <c r="Q43" s="612">
        <f t="shared" si="4"/>
        <v>56.862576317659887</v>
      </c>
      <c r="R43" s="348">
        <f t="shared" si="8"/>
        <v>350188665725365.38</v>
      </c>
      <c r="S43" s="613">
        <f t="shared" si="5"/>
        <v>3141371127.9107647</v>
      </c>
      <c r="T43" s="613">
        <f t="shared" si="9"/>
        <v>3141371127.9107647</v>
      </c>
      <c r="U43" s="614">
        <f t="shared" si="10"/>
        <v>5351566478.4167395</v>
      </c>
    </row>
    <row r="44" spans="2:21" ht="15" customHeight="1">
      <c r="B44" s="690">
        <v>1033</v>
      </c>
      <c r="C44" s="71" t="s">
        <v>351</v>
      </c>
      <c r="D44" s="19" t="s">
        <v>350</v>
      </c>
      <c r="E44" s="70">
        <v>217.91</v>
      </c>
      <c r="F44" s="69">
        <v>1.1600000000000001E-7</v>
      </c>
      <c r="G44" s="69">
        <f t="shared" si="1"/>
        <v>2.5277560000000001E-5</v>
      </c>
      <c r="H44" s="69">
        <f t="shared" si="2"/>
        <v>1.8003200000000001E-5</v>
      </c>
      <c r="I44" s="72">
        <v>-1527.8</v>
      </c>
      <c r="J44" s="72">
        <v>105.72</v>
      </c>
      <c r="K44" s="69">
        <f t="shared" si="6"/>
        <v>7011.1513927768347</v>
      </c>
      <c r="L44" s="69">
        <f t="shared" si="7"/>
        <v>831268122.12508118</v>
      </c>
      <c r="M44" s="71" t="s">
        <v>95</v>
      </c>
      <c r="N44" s="453">
        <f>'Crust Element Composition'!E38/'Singular Minerals'!E44</f>
        <v>0.63744435776237895</v>
      </c>
      <c r="O44" s="454">
        <f>'EmCF Library'!Z42/N44</f>
        <v>0.10981350630464598</v>
      </c>
      <c r="P44" s="348">
        <f t="shared" si="3"/>
        <v>7.8211445911069044E-2</v>
      </c>
      <c r="Q44" s="612">
        <f t="shared" si="4"/>
        <v>95.287641778002879</v>
      </c>
      <c r="R44" s="348">
        <f t="shared" si="8"/>
        <v>20906987234381.137</v>
      </c>
      <c r="S44" s="613">
        <f t="shared" si="5"/>
        <v>5264162584.8239536</v>
      </c>
      <c r="T44" s="613">
        <f t="shared" si="9"/>
        <v>5264162584.8239536</v>
      </c>
      <c r="U44" s="614">
        <f t="shared" si="10"/>
        <v>8258230731.3892374</v>
      </c>
    </row>
    <row r="45" spans="2:21" ht="15" customHeight="1">
      <c r="B45" s="690">
        <v>1034</v>
      </c>
      <c r="C45" s="71" t="s">
        <v>842</v>
      </c>
      <c r="D45" s="19" t="s">
        <v>1002</v>
      </c>
      <c r="E45" s="70">
        <v>367.54039999999998</v>
      </c>
      <c r="F45" s="69">
        <v>1.3900000000000001E-5</v>
      </c>
      <c r="G45" s="69">
        <f t="shared" si="1"/>
        <v>5.1088115599999999E-3</v>
      </c>
      <c r="H45" s="69">
        <f t="shared" si="2"/>
        <v>2.1572800000000001E-3</v>
      </c>
      <c r="I45" s="72">
        <v>-5317.2</v>
      </c>
      <c r="J45" s="72">
        <v>10.76</v>
      </c>
      <c r="K45" s="69">
        <f t="shared" si="6"/>
        <v>14466.981044804872</v>
      </c>
      <c r="L45" s="69">
        <f t="shared" si="7"/>
        <v>1715258948.5264416</v>
      </c>
      <c r="M45" s="71"/>
      <c r="N45" s="453"/>
      <c r="O45" s="454"/>
      <c r="P45" s="348" t="str">
        <f t="shared" si="3"/>
        <v/>
      </c>
      <c r="Q45" s="612" t="str">
        <f t="shared" si="4"/>
        <v/>
      </c>
      <c r="R45" s="348" t="str">
        <f t="shared" si="8"/>
        <v/>
      </c>
      <c r="S45" s="613" t="str">
        <f t="shared" si="5"/>
        <v/>
      </c>
      <c r="T45" s="613">
        <f t="shared" si="9"/>
        <v>1715258948.5264416</v>
      </c>
      <c r="U45" s="614" t="str">
        <f t="shared" si="10"/>
        <v/>
      </c>
    </row>
    <row r="46" spans="2:21" ht="15" customHeight="1">
      <c r="B46" s="690">
        <v>1035</v>
      </c>
      <c r="C46" s="71" t="s">
        <v>840</v>
      </c>
      <c r="D46" s="19" t="s">
        <v>841</v>
      </c>
      <c r="E46" s="70">
        <v>238.23</v>
      </c>
      <c r="F46" s="69">
        <v>3.3799999999999999E-9</v>
      </c>
      <c r="G46" s="69">
        <f t="shared" si="1"/>
        <v>8.0521739999999995E-7</v>
      </c>
      <c r="H46" s="69">
        <f t="shared" si="2"/>
        <v>5.24576E-7</v>
      </c>
      <c r="I46" s="72">
        <v>-4300.6000000000004</v>
      </c>
      <c r="J46" s="72">
        <v>79.67</v>
      </c>
      <c r="K46" s="69">
        <f t="shared" si="6"/>
        <v>18052.302396843388</v>
      </c>
      <c r="L46" s="69">
        <f t="shared" si="7"/>
        <v>2140347950.3977323</v>
      </c>
      <c r="M46" s="71"/>
      <c r="N46" s="453"/>
      <c r="O46" s="454"/>
      <c r="P46" s="348" t="str">
        <f t="shared" si="3"/>
        <v/>
      </c>
      <c r="Q46" s="612" t="str">
        <f t="shared" si="4"/>
        <v/>
      </c>
      <c r="R46" s="348" t="str">
        <f t="shared" si="8"/>
        <v/>
      </c>
      <c r="S46" s="613" t="str">
        <f t="shared" si="5"/>
        <v/>
      </c>
      <c r="T46" s="613">
        <f t="shared" si="9"/>
        <v>2140347950.3977323</v>
      </c>
      <c r="U46" s="614" t="str">
        <f t="shared" si="10"/>
        <v/>
      </c>
    </row>
    <row r="47" spans="2:21" ht="15" customHeight="1">
      <c r="B47" s="690">
        <v>1036</v>
      </c>
      <c r="C47" s="71" t="s">
        <v>838</v>
      </c>
      <c r="D47" s="19" t="s">
        <v>839</v>
      </c>
      <c r="E47" s="70">
        <v>537.5</v>
      </c>
      <c r="F47" s="69">
        <v>5.99E-8</v>
      </c>
      <c r="G47" s="69">
        <f t="shared" si="1"/>
        <v>3.2196249999999999E-5</v>
      </c>
      <c r="H47" s="69">
        <f t="shared" si="2"/>
        <v>9.2964800000000001E-6</v>
      </c>
      <c r="I47" s="72">
        <v>-8500.4</v>
      </c>
      <c r="J47" s="72">
        <v>65.760000000000005</v>
      </c>
      <c r="K47" s="69">
        <f t="shared" si="6"/>
        <v>15814.697674418605</v>
      </c>
      <c r="L47" s="69">
        <f t="shared" si="7"/>
        <v>1875049232.4746592</v>
      </c>
      <c r="M47" s="71"/>
      <c r="N47" s="453"/>
      <c r="O47" s="454"/>
      <c r="P47" s="348" t="str">
        <f t="shared" si="3"/>
        <v/>
      </c>
      <c r="Q47" s="612" t="str">
        <f t="shared" si="4"/>
        <v/>
      </c>
      <c r="R47" s="348" t="str">
        <f t="shared" si="8"/>
        <v/>
      </c>
      <c r="S47" s="613" t="str">
        <f t="shared" si="5"/>
        <v/>
      </c>
      <c r="T47" s="613">
        <f t="shared" si="9"/>
        <v>1875049232.4746592</v>
      </c>
      <c r="U47" s="614" t="str">
        <f t="shared" si="10"/>
        <v/>
      </c>
    </row>
    <row r="48" spans="2:21" ht="15" customHeight="1">
      <c r="B48" s="690">
        <v>1037</v>
      </c>
      <c r="C48" s="71" t="s">
        <v>837</v>
      </c>
      <c r="D48" s="19" t="s">
        <v>1003</v>
      </c>
      <c r="E48" s="73">
        <v>433.53</v>
      </c>
      <c r="F48" s="69">
        <v>8.7999999999999998E-5</v>
      </c>
      <c r="G48" s="69">
        <f t="shared" si="1"/>
        <v>3.815064E-2</v>
      </c>
      <c r="H48" s="69">
        <f t="shared" si="2"/>
        <v>1.3657599999999999E-2</v>
      </c>
      <c r="I48" s="72">
        <v>-5706.7</v>
      </c>
      <c r="J48" s="72">
        <v>74.05</v>
      </c>
      <c r="K48" s="69">
        <f t="shared" si="6"/>
        <v>13163.33356399788</v>
      </c>
      <c r="L48" s="69">
        <f t="shared" si="7"/>
        <v>1560693666.3675125</v>
      </c>
      <c r="M48" s="71"/>
      <c r="N48" s="453"/>
      <c r="O48" s="454"/>
      <c r="P48" s="348" t="str">
        <f t="shared" si="3"/>
        <v/>
      </c>
      <c r="Q48" s="612" t="str">
        <f t="shared" si="4"/>
        <v/>
      </c>
      <c r="R48" s="348" t="str">
        <f t="shared" si="8"/>
        <v/>
      </c>
      <c r="S48" s="613" t="str">
        <f t="shared" si="5"/>
        <v/>
      </c>
      <c r="T48" s="613">
        <f t="shared" si="9"/>
        <v>1560693666.3675125</v>
      </c>
      <c r="U48" s="614" t="str">
        <f t="shared" si="10"/>
        <v/>
      </c>
    </row>
    <row r="49" spans="2:21" ht="15" customHeight="1">
      <c r="B49" s="690">
        <v>1038</v>
      </c>
      <c r="C49" s="71" t="s">
        <v>835</v>
      </c>
      <c r="D49" s="19" t="s">
        <v>836</v>
      </c>
      <c r="E49" s="70">
        <v>964.1</v>
      </c>
      <c r="F49" s="69">
        <v>3.9599999999999998E-10</v>
      </c>
      <c r="G49" s="69">
        <f t="shared" si="1"/>
        <v>3.817836E-7</v>
      </c>
      <c r="H49" s="69">
        <f t="shared" si="2"/>
        <v>6.1459199999999992E-8</v>
      </c>
      <c r="I49" s="72">
        <v>-2116.4</v>
      </c>
      <c r="J49" s="72">
        <v>284.51</v>
      </c>
      <c r="K49" s="69">
        <f t="shared" si="6"/>
        <v>2195.2079659786327</v>
      </c>
      <c r="L49" s="69">
        <f t="shared" si="7"/>
        <v>260272001.17701989</v>
      </c>
      <c r="M49" s="71"/>
      <c r="N49" s="453"/>
      <c r="O49" s="454"/>
      <c r="P49" s="348" t="str">
        <f t="shared" si="3"/>
        <v/>
      </c>
      <c r="Q49" s="612" t="str">
        <f t="shared" si="4"/>
        <v/>
      </c>
      <c r="R49" s="348" t="str">
        <f t="shared" si="8"/>
        <v/>
      </c>
      <c r="S49" s="613" t="str">
        <f t="shared" si="5"/>
        <v/>
      </c>
      <c r="T49" s="613">
        <f t="shared" si="9"/>
        <v>260272001.17701989</v>
      </c>
      <c r="U49" s="614" t="str">
        <f t="shared" si="10"/>
        <v/>
      </c>
    </row>
    <row r="50" spans="2:21" ht="15" customHeight="1">
      <c r="B50" s="690">
        <v>1039</v>
      </c>
      <c r="C50" s="71" t="s">
        <v>833</v>
      </c>
      <c r="D50" s="19" t="s">
        <v>834</v>
      </c>
      <c r="E50" s="70">
        <v>465.96</v>
      </c>
      <c r="F50" s="69">
        <v>9.9099999999999999E-11</v>
      </c>
      <c r="G50" s="69">
        <f t="shared" si="1"/>
        <v>4.6176636E-8</v>
      </c>
      <c r="H50" s="69">
        <f t="shared" si="2"/>
        <v>1.5380319999999999E-8</v>
      </c>
      <c r="I50" s="72">
        <v>-493.7</v>
      </c>
      <c r="J50" s="72">
        <f>AVERAGE(61.76,60.92)</f>
        <v>61.34</v>
      </c>
      <c r="K50" s="69">
        <f t="shared" si="6"/>
        <v>1059.5330071250751</v>
      </c>
      <c r="L50" s="69">
        <f t="shared" si="7"/>
        <v>125622164.43789689</v>
      </c>
      <c r="M50" s="71"/>
      <c r="N50" s="453"/>
      <c r="O50" s="454"/>
      <c r="P50" s="348" t="str">
        <f t="shared" si="3"/>
        <v/>
      </c>
      <c r="Q50" s="612" t="str">
        <f t="shared" si="4"/>
        <v/>
      </c>
      <c r="R50" s="348" t="str">
        <f t="shared" si="8"/>
        <v/>
      </c>
      <c r="S50" s="613" t="str">
        <f t="shared" si="5"/>
        <v/>
      </c>
      <c r="T50" s="613">
        <f t="shared" si="9"/>
        <v>125622164.43789689</v>
      </c>
      <c r="U50" s="614" t="str">
        <f t="shared" si="10"/>
        <v/>
      </c>
    </row>
    <row r="51" spans="2:21" ht="15" customHeight="1">
      <c r="B51" s="690">
        <v>1040</v>
      </c>
      <c r="C51" s="71" t="s">
        <v>349</v>
      </c>
      <c r="D51" s="19" t="s">
        <v>330</v>
      </c>
      <c r="E51" s="73">
        <v>208.98</v>
      </c>
      <c r="F51" s="69">
        <v>1.2999999999999999E-10</v>
      </c>
      <c r="G51" s="69">
        <f t="shared" si="1"/>
        <v>2.7167399999999996E-8</v>
      </c>
      <c r="H51" s="69">
        <f t="shared" si="2"/>
        <v>2.0175999999999998E-8</v>
      </c>
      <c r="I51" s="71">
        <v>0</v>
      </c>
      <c r="J51" s="71">
        <v>274.92</v>
      </c>
      <c r="K51" s="69">
        <f t="shared" si="6"/>
        <v>0</v>
      </c>
      <c r="L51" s="69">
        <f t="shared" si="7"/>
        <v>0</v>
      </c>
      <c r="M51" s="71"/>
      <c r="N51" s="453"/>
      <c r="O51" s="454"/>
      <c r="P51" s="348" t="str">
        <f t="shared" si="3"/>
        <v/>
      </c>
      <c r="Q51" s="612" t="str">
        <f t="shared" si="4"/>
        <v/>
      </c>
      <c r="R51" s="348" t="str">
        <f t="shared" si="8"/>
        <v/>
      </c>
      <c r="S51" s="613" t="str">
        <f t="shared" si="5"/>
        <v/>
      </c>
      <c r="T51" s="613">
        <f t="shared" si="9"/>
        <v>0</v>
      </c>
      <c r="U51" s="614" t="str">
        <f t="shared" si="10"/>
        <v/>
      </c>
    </row>
    <row r="52" spans="2:21" ht="15" customHeight="1">
      <c r="B52" s="690">
        <v>1041</v>
      </c>
      <c r="C52" s="71" t="s">
        <v>831</v>
      </c>
      <c r="D52" s="19" t="s">
        <v>832</v>
      </c>
      <c r="E52" s="70">
        <v>514.16</v>
      </c>
      <c r="F52" s="69">
        <v>9.9099999999999999E-11</v>
      </c>
      <c r="G52" s="69">
        <f t="shared" si="1"/>
        <v>5.0953255999999995E-8</v>
      </c>
      <c r="H52" s="69">
        <f t="shared" si="2"/>
        <v>1.5380319999999999E-8</v>
      </c>
      <c r="I52" s="72">
        <v>-140.6</v>
      </c>
      <c r="J52" s="72">
        <v>2230.31</v>
      </c>
      <c r="K52" s="69">
        <f t="shared" si="6"/>
        <v>273.45573362377473</v>
      </c>
      <c r="L52" s="69">
        <f t="shared" si="7"/>
        <v>32421926.36261721</v>
      </c>
      <c r="M52" s="71"/>
      <c r="N52" s="453"/>
      <c r="O52" s="454"/>
      <c r="P52" s="348" t="str">
        <f t="shared" si="3"/>
        <v/>
      </c>
      <c r="Q52" s="612" t="str">
        <f t="shared" si="4"/>
        <v/>
      </c>
      <c r="R52" s="348" t="str">
        <f t="shared" si="8"/>
        <v/>
      </c>
      <c r="S52" s="613" t="str">
        <f t="shared" si="5"/>
        <v/>
      </c>
      <c r="T52" s="613">
        <f t="shared" si="9"/>
        <v>32421926.36261721</v>
      </c>
      <c r="U52" s="614" t="str">
        <f t="shared" si="10"/>
        <v/>
      </c>
    </row>
    <row r="53" spans="2:21" ht="15" customHeight="1">
      <c r="B53" s="690">
        <v>1042</v>
      </c>
      <c r="C53" s="71" t="s">
        <v>829</v>
      </c>
      <c r="D53" s="19" t="s">
        <v>830</v>
      </c>
      <c r="E53" s="70">
        <v>509.97</v>
      </c>
      <c r="F53" s="69">
        <v>1.19E-10</v>
      </c>
      <c r="G53" s="69">
        <f t="shared" si="1"/>
        <v>6.0686430000000003E-8</v>
      </c>
      <c r="H53" s="69">
        <f t="shared" si="2"/>
        <v>1.8468800000000001E-8</v>
      </c>
      <c r="I53" s="72">
        <v>-888.7</v>
      </c>
      <c r="J53" s="72">
        <v>81.36</v>
      </c>
      <c r="K53" s="69">
        <f t="shared" si="6"/>
        <v>1742.6515285212854</v>
      </c>
      <c r="L53" s="69">
        <f t="shared" si="7"/>
        <v>206615230.86275205</v>
      </c>
      <c r="M53" s="71"/>
      <c r="N53" s="453"/>
      <c r="O53" s="454"/>
      <c r="P53" s="348" t="str">
        <f t="shared" si="3"/>
        <v/>
      </c>
      <c r="Q53" s="612" t="str">
        <f t="shared" si="4"/>
        <v/>
      </c>
      <c r="R53" s="348" t="str">
        <f t="shared" si="8"/>
        <v/>
      </c>
      <c r="S53" s="613" t="str">
        <f t="shared" si="5"/>
        <v/>
      </c>
      <c r="T53" s="613">
        <f t="shared" si="9"/>
        <v>206615230.86275205</v>
      </c>
      <c r="U53" s="614" t="str">
        <f t="shared" si="10"/>
        <v/>
      </c>
    </row>
    <row r="54" spans="2:21" ht="15" customHeight="1">
      <c r="B54" s="690">
        <v>1043</v>
      </c>
      <c r="C54" s="71" t="s">
        <v>828</v>
      </c>
      <c r="D54" s="19" t="s">
        <v>1004</v>
      </c>
      <c r="E54" s="70">
        <v>417.12</v>
      </c>
      <c r="F54" s="69">
        <v>4.9600000000000004E-10</v>
      </c>
      <c r="G54" s="69">
        <f t="shared" si="1"/>
        <v>2.0689152000000003E-7</v>
      </c>
      <c r="H54" s="69">
        <f t="shared" si="2"/>
        <v>7.6979200000000002E-8</v>
      </c>
      <c r="I54" s="72">
        <v>-2683.8</v>
      </c>
      <c r="J54" s="72">
        <v>95.54</v>
      </c>
      <c r="K54" s="69">
        <f t="shared" si="6"/>
        <v>6434.1196777905634</v>
      </c>
      <c r="L54" s="69">
        <f t="shared" si="7"/>
        <v>762853101.07484031</v>
      </c>
      <c r="M54" s="71"/>
      <c r="N54" s="453"/>
      <c r="O54" s="454"/>
      <c r="P54" s="348" t="str">
        <f t="shared" si="3"/>
        <v/>
      </c>
      <c r="Q54" s="612" t="str">
        <f t="shared" si="4"/>
        <v/>
      </c>
      <c r="R54" s="348" t="str">
        <f t="shared" si="8"/>
        <v/>
      </c>
      <c r="S54" s="613" t="str">
        <f t="shared" si="5"/>
        <v/>
      </c>
      <c r="T54" s="613">
        <f t="shared" si="9"/>
        <v>762853101.07484031</v>
      </c>
      <c r="U54" s="614" t="str">
        <f t="shared" si="10"/>
        <v/>
      </c>
    </row>
    <row r="55" spans="2:21" ht="15" customHeight="1">
      <c r="B55" s="690">
        <v>1044</v>
      </c>
      <c r="C55" s="71" t="s">
        <v>290</v>
      </c>
      <c r="D55" s="19" t="s">
        <v>289</v>
      </c>
      <c r="E55" s="70">
        <v>59.988</v>
      </c>
      <c r="F55" s="69">
        <v>9.6500000000000008E-6</v>
      </c>
      <c r="G55" s="69">
        <f t="shared" si="1"/>
        <v>5.7888420000000006E-4</v>
      </c>
      <c r="H55" s="69">
        <f t="shared" si="2"/>
        <v>1.4976799999999999E-3</v>
      </c>
      <c r="I55" s="72">
        <v>-914.1</v>
      </c>
      <c r="J55" s="72">
        <f>AVERAGE(3.89,3.3)</f>
        <v>3.5949999999999998</v>
      </c>
      <c r="K55" s="69">
        <f t="shared" si="6"/>
        <v>15238.047609521904</v>
      </c>
      <c r="L55" s="69">
        <f t="shared" si="7"/>
        <v>1806679461.275048</v>
      </c>
      <c r="M55" s="71"/>
      <c r="N55" s="453"/>
      <c r="O55" s="454"/>
      <c r="P55" s="348" t="str">
        <f t="shared" si="3"/>
        <v/>
      </c>
      <c r="Q55" s="612" t="str">
        <f t="shared" si="4"/>
        <v/>
      </c>
      <c r="R55" s="348" t="str">
        <f t="shared" si="8"/>
        <v/>
      </c>
      <c r="S55" s="613" t="str">
        <f t="shared" si="5"/>
        <v/>
      </c>
      <c r="T55" s="613">
        <f t="shared" si="9"/>
        <v>1806679461.275048</v>
      </c>
      <c r="U55" s="614" t="str">
        <f t="shared" si="10"/>
        <v/>
      </c>
    </row>
    <row r="56" spans="2:21" ht="15" customHeight="1">
      <c r="B56" s="690">
        <v>1045</v>
      </c>
      <c r="C56" s="71" t="s">
        <v>825</v>
      </c>
      <c r="D56" s="19" t="s">
        <v>826</v>
      </c>
      <c r="E56" s="73">
        <v>501.83870000000002</v>
      </c>
      <c r="F56" s="69">
        <v>2.6500000000000002E-9</v>
      </c>
      <c r="G56" s="69">
        <f t="shared" si="1"/>
        <v>1.329872555E-6</v>
      </c>
      <c r="H56" s="69">
        <f t="shared" si="2"/>
        <v>4.1128000000000001E-7</v>
      </c>
      <c r="I56" s="72">
        <v>-393.1</v>
      </c>
      <c r="J56" s="72">
        <v>3113.44</v>
      </c>
      <c r="K56" s="69">
        <f t="shared" si="6"/>
        <v>783.31942116062385</v>
      </c>
      <c r="L56" s="69">
        <f t="shared" si="7"/>
        <v>92873256.869497389</v>
      </c>
      <c r="M56" s="71"/>
      <c r="N56" s="453"/>
      <c r="O56" s="454"/>
      <c r="P56" s="348" t="str">
        <f t="shared" si="3"/>
        <v/>
      </c>
      <c r="Q56" s="612" t="str">
        <f t="shared" si="4"/>
        <v/>
      </c>
      <c r="R56" s="348" t="str">
        <f t="shared" si="8"/>
        <v/>
      </c>
      <c r="S56" s="613" t="str">
        <f t="shared" si="5"/>
        <v/>
      </c>
      <c r="T56" s="613">
        <f t="shared" si="9"/>
        <v>92873256.869497389</v>
      </c>
      <c r="U56" s="614" t="str">
        <f t="shared" si="10"/>
        <v/>
      </c>
    </row>
    <row r="57" spans="2:21" ht="15" customHeight="1">
      <c r="B57" s="690">
        <v>1046</v>
      </c>
      <c r="C57" s="71" t="s">
        <v>823</v>
      </c>
      <c r="D57" s="19" t="s">
        <v>824</v>
      </c>
      <c r="E57" s="73">
        <v>1887.9</v>
      </c>
      <c r="F57" s="69">
        <v>2.1200000000000001E-15</v>
      </c>
      <c r="G57" s="69">
        <f t="shared" si="1"/>
        <v>4.0023480000000007E-12</v>
      </c>
      <c r="H57" s="69">
        <f t="shared" si="2"/>
        <v>3.2902399999999998E-13</v>
      </c>
      <c r="I57" s="72">
        <v>-1023.7</v>
      </c>
      <c r="J57" s="72">
        <v>8567.98</v>
      </c>
      <c r="K57" s="69">
        <f t="shared" si="6"/>
        <v>542.24270353302609</v>
      </c>
      <c r="L57" s="69">
        <f t="shared" si="7"/>
        <v>64290306.777044527</v>
      </c>
      <c r="M57" s="71"/>
      <c r="N57" s="453"/>
      <c r="O57" s="454"/>
      <c r="P57" s="348" t="str">
        <f t="shared" si="3"/>
        <v/>
      </c>
      <c r="Q57" s="612" t="str">
        <f t="shared" si="4"/>
        <v/>
      </c>
      <c r="R57" s="348" t="str">
        <f t="shared" si="8"/>
        <v/>
      </c>
      <c r="S57" s="613" t="str">
        <f t="shared" si="5"/>
        <v/>
      </c>
      <c r="T57" s="613">
        <f t="shared" si="9"/>
        <v>64290306.777044527</v>
      </c>
      <c r="U57" s="614" t="str">
        <f t="shared" si="10"/>
        <v/>
      </c>
    </row>
    <row r="58" spans="2:21" ht="15" customHeight="1">
      <c r="B58" s="690">
        <v>1047</v>
      </c>
      <c r="C58" s="71" t="s">
        <v>821</v>
      </c>
      <c r="D58" s="19" t="s">
        <v>822</v>
      </c>
      <c r="E58" s="73">
        <v>604.64</v>
      </c>
      <c r="F58" s="69">
        <v>4.0600000000000001E-7</v>
      </c>
      <c r="G58" s="69">
        <f t="shared" si="1"/>
        <v>2.4548384000000001E-4</v>
      </c>
      <c r="H58" s="69">
        <f t="shared" si="2"/>
        <v>6.3011199999999997E-5</v>
      </c>
      <c r="I58" s="72">
        <v>-3944.7</v>
      </c>
      <c r="J58" s="72">
        <v>408.16</v>
      </c>
      <c r="K58" s="69">
        <f t="shared" si="6"/>
        <v>6524.0473670283145</v>
      </c>
      <c r="L58" s="69">
        <f t="shared" si="7"/>
        <v>773515261.56344819</v>
      </c>
      <c r="M58" s="71"/>
      <c r="N58" s="453"/>
      <c r="O58" s="454"/>
      <c r="P58" s="348" t="str">
        <f t="shared" si="3"/>
        <v/>
      </c>
      <c r="Q58" s="612" t="str">
        <f t="shared" si="4"/>
        <v/>
      </c>
      <c r="R58" s="348" t="str">
        <f t="shared" si="8"/>
        <v/>
      </c>
      <c r="S58" s="613" t="str">
        <f t="shared" si="5"/>
        <v/>
      </c>
      <c r="T58" s="613">
        <f t="shared" si="9"/>
        <v>773515261.56344819</v>
      </c>
      <c r="U58" s="614" t="str">
        <f t="shared" si="10"/>
        <v/>
      </c>
    </row>
    <row r="59" spans="2:21" ht="15" customHeight="1">
      <c r="B59" s="690">
        <v>1048</v>
      </c>
      <c r="C59" s="71" t="s">
        <v>820</v>
      </c>
      <c r="D59" s="19" t="s">
        <v>1005</v>
      </c>
      <c r="E59" s="70">
        <v>766.678</v>
      </c>
      <c r="F59" s="69">
        <v>2.18E-10</v>
      </c>
      <c r="G59" s="69">
        <f t="shared" si="1"/>
        <v>1.67135804E-7</v>
      </c>
      <c r="H59" s="69">
        <f t="shared" si="2"/>
        <v>3.3833599999999995E-8</v>
      </c>
      <c r="I59" s="72">
        <v>-6666.9</v>
      </c>
      <c r="J59" s="72">
        <v>673.84</v>
      </c>
      <c r="K59" s="69">
        <f t="shared" si="6"/>
        <v>8695.8279747168963</v>
      </c>
      <c r="L59" s="69">
        <f t="shared" si="7"/>
        <v>1031009628.2206678</v>
      </c>
      <c r="M59" s="71"/>
      <c r="N59" s="453"/>
      <c r="O59" s="454"/>
      <c r="P59" s="348" t="str">
        <f t="shared" si="3"/>
        <v/>
      </c>
      <c r="Q59" s="612" t="str">
        <f t="shared" si="4"/>
        <v/>
      </c>
      <c r="R59" s="348" t="str">
        <f t="shared" si="8"/>
        <v/>
      </c>
      <c r="S59" s="613" t="str">
        <f t="shared" si="5"/>
        <v/>
      </c>
      <c r="T59" s="613">
        <f t="shared" si="9"/>
        <v>1031009628.2206678</v>
      </c>
      <c r="U59" s="614" t="str">
        <f t="shared" si="10"/>
        <v/>
      </c>
    </row>
    <row r="60" spans="2:21" ht="15" customHeight="1">
      <c r="B60" s="690">
        <v>1049</v>
      </c>
      <c r="C60" s="71" t="s">
        <v>818</v>
      </c>
      <c r="D60" s="19" t="s">
        <v>819</v>
      </c>
      <c r="E60" s="70">
        <v>232.32</v>
      </c>
      <c r="F60" s="69">
        <v>1.77E-6</v>
      </c>
      <c r="G60" s="69">
        <f t="shared" si="1"/>
        <v>4.1120639999999998E-4</v>
      </c>
      <c r="H60" s="69">
        <f t="shared" si="2"/>
        <v>2.7470399999999996E-4</v>
      </c>
      <c r="I60" s="72">
        <v>-2585.3000000000002</v>
      </c>
      <c r="J60" s="72">
        <v>141.16</v>
      </c>
      <c r="K60" s="69">
        <f t="shared" si="6"/>
        <v>11128.185261707989</v>
      </c>
      <c r="L60" s="69">
        <f t="shared" si="7"/>
        <v>1319398932.7758977</v>
      </c>
      <c r="M60" s="71"/>
      <c r="N60" s="453"/>
      <c r="O60" s="454"/>
      <c r="P60" s="348" t="str">
        <f t="shared" si="3"/>
        <v/>
      </c>
      <c r="Q60" s="612" t="str">
        <f t="shared" si="4"/>
        <v/>
      </c>
      <c r="R60" s="348" t="str">
        <f t="shared" si="8"/>
        <v/>
      </c>
      <c r="S60" s="613" t="str">
        <f t="shared" si="5"/>
        <v/>
      </c>
      <c r="T60" s="613">
        <f t="shared" si="9"/>
        <v>1319398932.7758977</v>
      </c>
      <c r="U60" s="614" t="str">
        <f t="shared" si="10"/>
        <v/>
      </c>
    </row>
    <row r="61" spans="2:21" ht="15" customHeight="1">
      <c r="B61" s="690">
        <v>1050</v>
      </c>
      <c r="C61" s="71" t="s">
        <v>817</v>
      </c>
      <c r="D61" s="19" t="s">
        <v>143</v>
      </c>
      <c r="E61" s="70">
        <v>79.865799999999993</v>
      </c>
      <c r="F61" s="69">
        <v>5.2700000000000002E-9</v>
      </c>
      <c r="G61" s="69">
        <f t="shared" si="1"/>
        <v>4.2089276599999998E-7</v>
      </c>
      <c r="H61" s="69">
        <f t="shared" si="2"/>
        <v>8.1790399999999994E-7</v>
      </c>
      <c r="I61" s="72">
        <v>-821.9</v>
      </c>
      <c r="J61" s="72">
        <v>88.72</v>
      </c>
      <c r="K61" s="69">
        <f t="shared" si="6"/>
        <v>10291.013174600394</v>
      </c>
      <c r="L61" s="69">
        <f t="shared" si="7"/>
        <v>1220140704.0258491</v>
      </c>
      <c r="M61" s="71"/>
      <c r="N61" s="453"/>
      <c r="O61" s="454"/>
      <c r="P61" s="348" t="str">
        <f t="shared" si="3"/>
        <v/>
      </c>
      <c r="Q61" s="612" t="str">
        <f t="shared" si="4"/>
        <v/>
      </c>
      <c r="R61" s="348" t="str">
        <f t="shared" si="8"/>
        <v/>
      </c>
      <c r="S61" s="613" t="str">
        <f t="shared" si="5"/>
        <v/>
      </c>
      <c r="T61" s="613">
        <f t="shared" si="9"/>
        <v>1220140704.0258491</v>
      </c>
      <c r="U61" s="614" t="str">
        <f t="shared" si="10"/>
        <v/>
      </c>
    </row>
    <row r="62" spans="2:21" ht="15" customHeight="1">
      <c r="B62" s="690">
        <v>1051</v>
      </c>
      <c r="C62" s="71" t="s">
        <v>815</v>
      </c>
      <c r="D62" s="19" t="s">
        <v>568</v>
      </c>
      <c r="E62" s="70">
        <v>58.32</v>
      </c>
      <c r="F62" s="69">
        <v>2.7100000000000001E-8</v>
      </c>
      <c r="G62" s="69">
        <f t="shared" si="1"/>
        <v>1.580472E-6</v>
      </c>
      <c r="H62" s="69">
        <f t="shared" si="2"/>
        <v>4.2059199999999995E-6</v>
      </c>
      <c r="I62" s="72">
        <v>-834.8</v>
      </c>
      <c r="J62" s="72">
        <f>AVERAGE(35.39,34.63,34.59)</f>
        <v>34.870000000000005</v>
      </c>
      <c r="K62" s="69">
        <f t="shared" si="6"/>
        <v>14314.128943758573</v>
      </c>
      <c r="L62" s="69">
        <f t="shared" si="7"/>
        <v>1697136236.3096533</v>
      </c>
      <c r="M62" s="71"/>
      <c r="N62" s="453"/>
      <c r="O62" s="454"/>
      <c r="P62" s="348" t="str">
        <f t="shared" si="3"/>
        <v/>
      </c>
      <c r="Q62" s="612" t="str">
        <f t="shared" si="4"/>
        <v/>
      </c>
      <c r="R62" s="348" t="str">
        <f t="shared" si="8"/>
        <v/>
      </c>
      <c r="S62" s="613" t="str">
        <f t="shared" si="5"/>
        <v/>
      </c>
      <c r="T62" s="613">
        <f t="shared" si="9"/>
        <v>1697136236.3096533</v>
      </c>
      <c r="U62" s="614" t="str">
        <f t="shared" si="10"/>
        <v/>
      </c>
    </row>
    <row r="63" spans="2:21" ht="15" customHeight="1">
      <c r="B63" s="690">
        <v>1052</v>
      </c>
      <c r="C63" s="71" t="s">
        <v>814</v>
      </c>
      <c r="D63" s="19" t="s">
        <v>1006</v>
      </c>
      <c r="E63" s="73">
        <v>275.01</v>
      </c>
      <c r="F63" s="69">
        <v>9.0799999999999995E-6</v>
      </c>
      <c r="G63" s="69">
        <f t="shared" si="1"/>
        <v>2.4970907999999998E-3</v>
      </c>
      <c r="H63" s="69">
        <f t="shared" si="2"/>
        <v>1.4092159999999998E-3</v>
      </c>
      <c r="I63" s="72">
        <v>-3960.7</v>
      </c>
      <c r="J63" s="72">
        <v>-372.41</v>
      </c>
      <c r="K63" s="69">
        <f t="shared" si="6"/>
        <v>14402.021744663831</v>
      </c>
      <c r="L63" s="69">
        <f t="shared" si="7"/>
        <v>1707557132.8876531</v>
      </c>
      <c r="M63" s="71"/>
      <c r="N63" s="453"/>
      <c r="O63" s="454"/>
      <c r="P63" s="348" t="str">
        <f t="shared" si="3"/>
        <v/>
      </c>
      <c r="Q63" s="612" t="str">
        <f t="shared" si="4"/>
        <v/>
      </c>
      <c r="R63" s="348" t="str">
        <f t="shared" si="8"/>
        <v/>
      </c>
      <c r="S63" s="613" t="str">
        <f t="shared" si="5"/>
        <v/>
      </c>
      <c r="T63" s="613">
        <f t="shared" si="9"/>
        <v>1707557132.8876531</v>
      </c>
      <c r="U63" s="614" t="str">
        <f t="shared" si="10"/>
        <v/>
      </c>
    </row>
    <row r="64" spans="2:21" ht="15" customHeight="1">
      <c r="B64" s="690">
        <v>1053</v>
      </c>
      <c r="C64" s="71" t="s">
        <v>813</v>
      </c>
      <c r="D64" s="19" t="s">
        <v>168</v>
      </c>
      <c r="E64" s="70">
        <v>12.01</v>
      </c>
      <c r="F64" s="69">
        <v>1.84E-5</v>
      </c>
      <c r="G64" s="69">
        <f t="shared" si="1"/>
        <v>2.20984E-4</v>
      </c>
      <c r="H64" s="69">
        <f t="shared" si="2"/>
        <v>2.8556799999999998E-3</v>
      </c>
      <c r="I64" s="71">
        <v>0</v>
      </c>
      <c r="J64" s="71">
        <v>410.25</v>
      </c>
      <c r="K64" s="69">
        <f t="shared" si="6"/>
        <v>0</v>
      </c>
      <c r="L64" s="69">
        <f t="shared" si="7"/>
        <v>0</v>
      </c>
      <c r="M64" s="71"/>
      <c r="N64" s="453"/>
      <c r="O64" s="454"/>
      <c r="P64" s="348" t="str">
        <f t="shared" si="3"/>
        <v/>
      </c>
      <c r="Q64" s="612" t="str">
        <f t="shared" si="4"/>
        <v/>
      </c>
      <c r="R64" s="348" t="str">
        <f t="shared" si="8"/>
        <v/>
      </c>
      <c r="S64" s="613" t="str">
        <f t="shared" si="5"/>
        <v/>
      </c>
      <c r="T64" s="613">
        <f t="shared" si="9"/>
        <v>0</v>
      </c>
      <c r="U64" s="614" t="str">
        <f t="shared" si="10"/>
        <v/>
      </c>
    </row>
    <row r="65" spans="2:21" ht="15" customHeight="1">
      <c r="B65" s="690">
        <v>1054</v>
      </c>
      <c r="C65" s="71" t="s">
        <v>265</v>
      </c>
      <c r="D65" s="19" t="s">
        <v>812</v>
      </c>
      <c r="E65" s="73">
        <v>452.17259999999999</v>
      </c>
      <c r="F65" s="69">
        <v>5.7099999999999999E-13</v>
      </c>
      <c r="G65" s="69">
        <f t="shared" si="1"/>
        <v>2.5819055459999997E-10</v>
      </c>
      <c r="H65" s="69">
        <f t="shared" si="2"/>
        <v>8.8619199999999991E-11</v>
      </c>
      <c r="I65" s="72">
        <v>-17.399999999999999</v>
      </c>
      <c r="J65" s="72">
        <v>700.69</v>
      </c>
      <c r="K65" s="69">
        <f t="shared" si="6"/>
        <v>38.480880973327444</v>
      </c>
      <c r="L65" s="69">
        <f t="shared" si="7"/>
        <v>4562436.0211893152</v>
      </c>
      <c r="M65" s="71"/>
      <c r="N65" s="453"/>
      <c r="O65" s="464"/>
      <c r="P65" s="348" t="str">
        <f t="shared" si="3"/>
        <v/>
      </c>
      <c r="Q65" s="612" t="str">
        <f t="shared" si="4"/>
        <v/>
      </c>
      <c r="R65" s="348" t="str">
        <f t="shared" si="8"/>
        <v/>
      </c>
      <c r="S65" s="613" t="str">
        <f t="shared" si="5"/>
        <v/>
      </c>
      <c r="T65" s="613">
        <f t="shared" si="9"/>
        <v>4562436.0211893152</v>
      </c>
      <c r="U65" s="614" t="str">
        <f t="shared" si="10"/>
        <v/>
      </c>
    </row>
    <row r="66" spans="2:21" ht="15" customHeight="1">
      <c r="B66" s="690">
        <v>1055</v>
      </c>
      <c r="C66" s="71" t="s">
        <v>91</v>
      </c>
      <c r="D66" s="19" t="s">
        <v>90</v>
      </c>
      <c r="E66" s="73">
        <v>100.09</v>
      </c>
      <c r="F66" s="69">
        <v>8.0000000000000007E-5</v>
      </c>
      <c r="G66" s="69">
        <f t="shared" si="1"/>
        <v>8.0072000000000008E-3</v>
      </c>
      <c r="H66" s="69">
        <f t="shared" si="2"/>
        <v>1.2416E-2</v>
      </c>
      <c r="I66" s="72">
        <v>-1129</v>
      </c>
      <c r="J66" s="72">
        <f>AVERAGE(18.01,17.59)</f>
        <v>17.8</v>
      </c>
      <c r="K66" s="69">
        <f t="shared" si="6"/>
        <v>11279.84813667699</v>
      </c>
      <c r="L66" s="69">
        <f t="shared" si="7"/>
        <v>1337380645.9366572</v>
      </c>
      <c r="M66" s="71"/>
      <c r="N66" s="453"/>
      <c r="O66" s="489">
        <v>0.95</v>
      </c>
      <c r="P66" s="348">
        <f t="shared" si="3"/>
        <v>1.4730742331901285</v>
      </c>
      <c r="Q66" s="612">
        <f t="shared" si="4"/>
        <v>118.28493936574414</v>
      </c>
      <c r="R66" s="348">
        <f t="shared" si="8"/>
        <v>8221098525127876</v>
      </c>
      <c r="S66" s="613">
        <f t="shared" si="5"/>
        <v>6534647521.3227892</v>
      </c>
      <c r="T66" s="613">
        <f t="shared" si="9"/>
        <v>6534647521.3227892</v>
      </c>
      <c r="U66" s="614" t="str">
        <f t="shared" si="10"/>
        <v/>
      </c>
    </row>
    <row r="67" spans="2:21" ht="15" customHeight="1">
      <c r="B67" s="690">
        <v>1056</v>
      </c>
      <c r="C67" s="71" t="s">
        <v>810</v>
      </c>
      <c r="D67" s="19" t="s">
        <v>811</v>
      </c>
      <c r="E67" s="73">
        <v>1052.5</v>
      </c>
      <c r="F67" s="69">
        <v>4.1999999999999997E-11</v>
      </c>
      <c r="G67" s="69">
        <f t="shared" si="1"/>
        <v>4.4204999999999998E-8</v>
      </c>
      <c r="H67" s="69">
        <f t="shared" si="2"/>
        <v>6.5183999999999993E-9</v>
      </c>
      <c r="I67" s="72">
        <v>-14136.3</v>
      </c>
      <c r="J67" s="72">
        <v>128.01</v>
      </c>
      <c r="K67" s="69">
        <f t="shared" si="6"/>
        <v>13431.163895486936</v>
      </c>
      <c r="L67" s="69">
        <f t="shared" si="7"/>
        <v>1592448624.1814909</v>
      </c>
      <c r="M67" s="71"/>
      <c r="N67" s="453"/>
      <c r="O67" s="454"/>
      <c r="P67" s="348" t="str">
        <f t="shared" si="3"/>
        <v/>
      </c>
      <c r="Q67" s="612" t="str">
        <f t="shared" si="4"/>
        <v/>
      </c>
      <c r="R67" s="348" t="str">
        <f t="shared" si="8"/>
        <v/>
      </c>
      <c r="S67" s="613" t="str">
        <f t="shared" si="5"/>
        <v/>
      </c>
      <c r="T67" s="613">
        <f t="shared" si="9"/>
        <v>1592448624.1814909</v>
      </c>
      <c r="U67" s="614" t="str">
        <f t="shared" si="10"/>
        <v/>
      </c>
    </row>
    <row r="68" spans="2:21" ht="15" customHeight="1">
      <c r="B68" s="690">
        <v>1057</v>
      </c>
      <c r="C68" s="71" t="s">
        <v>240</v>
      </c>
      <c r="D68" s="19" t="s">
        <v>239</v>
      </c>
      <c r="E68" s="73">
        <v>277.85000000000002</v>
      </c>
      <c r="F68" s="69">
        <v>1.45E-9</v>
      </c>
      <c r="G68" s="69">
        <f t="shared" si="1"/>
        <v>4.0288250000000003E-7</v>
      </c>
      <c r="H68" s="69">
        <f t="shared" si="2"/>
        <v>2.2503999999999998E-7</v>
      </c>
      <c r="I68" s="71">
        <v>0</v>
      </c>
      <c r="J68" s="71" t="s">
        <v>85</v>
      </c>
      <c r="K68" s="69">
        <f t="shared" si="6"/>
        <v>0</v>
      </c>
      <c r="L68" s="69">
        <f t="shared" si="7"/>
        <v>0</v>
      </c>
      <c r="M68" s="71"/>
      <c r="N68" s="453"/>
      <c r="O68" s="454"/>
      <c r="P68" s="348" t="str">
        <f t="shared" si="3"/>
        <v/>
      </c>
      <c r="Q68" s="612" t="str">
        <f t="shared" si="4"/>
        <v/>
      </c>
      <c r="R68" s="348" t="str">
        <f t="shared" si="8"/>
        <v/>
      </c>
      <c r="S68" s="613" t="str">
        <f t="shared" si="5"/>
        <v/>
      </c>
      <c r="T68" s="613">
        <f t="shared" si="9"/>
        <v>0</v>
      </c>
      <c r="U68" s="614" t="str">
        <f t="shared" si="10"/>
        <v/>
      </c>
    </row>
    <row r="69" spans="2:21" ht="15" customHeight="1">
      <c r="B69" s="690">
        <v>1058</v>
      </c>
      <c r="C69" s="71" t="s">
        <v>809</v>
      </c>
      <c r="D69" s="19" t="s">
        <v>251</v>
      </c>
      <c r="E69" s="73">
        <v>902.18</v>
      </c>
      <c r="F69" s="69">
        <v>2.7999999999999998E-9</v>
      </c>
      <c r="G69" s="69">
        <f t="shared" si="1"/>
        <v>2.5261039999999995E-6</v>
      </c>
      <c r="H69" s="69">
        <f t="shared" si="2"/>
        <v>4.3455999999999994E-7</v>
      </c>
      <c r="I69" s="72">
        <v>-4585.5</v>
      </c>
      <c r="J69" s="72">
        <v>721.28</v>
      </c>
      <c r="K69" s="69">
        <f t="shared" si="6"/>
        <v>5082.6885987275273</v>
      </c>
      <c r="L69" s="69">
        <f t="shared" si="7"/>
        <v>602622418.21844459</v>
      </c>
      <c r="M69" s="71"/>
      <c r="N69" s="453"/>
      <c r="O69" s="454"/>
      <c r="P69" s="348" t="str">
        <f t="shared" si="3"/>
        <v/>
      </c>
      <c r="Q69" s="612" t="str">
        <f t="shared" si="4"/>
        <v/>
      </c>
      <c r="R69" s="348" t="str">
        <f t="shared" si="8"/>
        <v/>
      </c>
      <c r="S69" s="613" t="str">
        <f t="shared" si="5"/>
        <v/>
      </c>
      <c r="T69" s="613">
        <f t="shared" si="9"/>
        <v>602622418.21844459</v>
      </c>
      <c r="U69" s="614" t="str">
        <f t="shared" si="10"/>
        <v/>
      </c>
    </row>
    <row r="70" spans="2:21" ht="15" customHeight="1">
      <c r="B70" s="690">
        <v>1059</v>
      </c>
      <c r="C70" s="71" t="s">
        <v>807</v>
      </c>
      <c r="D70" s="19" t="s">
        <v>808</v>
      </c>
      <c r="E70" s="70">
        <v>150.7088</v>
      </c>
      <c r="F70" s="69">
        <v>1.7299999999999999E-8</v>
      </c>
      <c r="G70" s="69">
        <f t="shared" si="1"/>
        <v>2.6072622399999998E-6</v>
      </c>
      <c r="H70" s="69">
        <f t="shared" si="2"/>
        <v>2.6849599999999999E-6</v>
      </c>
      <c r="I70" s="72">
        <v>-519.6</v>
      </c>
      <c r="J70" s="72">
        <v>42.64</v>
      </c>
      <c r="K70" s="69">
        <f t="shared" si="6"/>
        <v>3447.7084284394809</v>
      </c>
      <c r="L70" s="69">
        <f t="shared" si="7"/>
        <v>408773103.07353193</v>
      </c>
      <c r="M70" s="71" t="s">
        <v>171</v>
      </c>
      <c r="N70" s="453">
        <f>(E70-32)/E70</f>
        <v>0.78766999670888493</v>
      </c>
      <c r="O70" s="490">
        <f>'EmCF Library'!AA98/N70</f>
        <v>1.2695672098445945E-3</v>
      </c>
      <c r="P70" s="348">
        <f t="shared" si="3"/>
        <v>1.3074009677462833E-3</v>
      </c>
      <c r="Q70" s="612">
        <f t="shared" si="4"/>
        <v>101.78076115603848</v>
      </c>
      <c r="R70" s="348">
        <f t="shared" si="8"/>
        <v>2303404094582.7896</v>
      </c>
      <c r="S70" s="613">
        <f t="shared" si="5"/>
        <v>5622874747.8165426</v>
      </c>
      <c r="T70" s="613">
        <f t="shared" si="9"/>
        <v>5622874747.8165426</v>
      </c>
      <c r="U70" s="614">
        <f t="shared" si="10"/>
        <v>7138617404.8910761</v>
      </c>
    </row>
    <row r="71" spans="2:21" ht="15" customHeight="1">
      <c r="B71" s="690">
        <v>1060</v>
      </c>
      <c r="C71" s="71" t="s">
        <v>805</v>
      </c>
      <c r="D71" s="19" t="s">
        <v>806</v>
      </c>
      <c r="E71" s="70">
        <v>183.68</v>
      </c>
      <c r="F71" s="69">
        <v>3.6500000000000002E-6</v>
      </c>
      <c r="G71" s="69">
        <f t="shared" si="1"/>
        <v>6.704320000000001E-4</v>
      </c>
      <c r="H71" s="69">
        <f t="shared" si="2"/>
        <v>5.6647999999999996E-4</v>
      </c>
      <c r="I71" s="72">
        <v>-1341.6</v>
      </c>
      <c r="J71" s="72">
        <v>46.98</v>
      </c>
      <c r="K71" s="69">
        <f t="shared" si="6"/>
        <v>7304.0069686411143</v>
      </c>
      <c r="L71" s="69">
        <f t="shared" si="7"/>
        <v>865990165.76164591</v>
      </c>
      <c r="M71" s="71"/>
      <c r="N71" s="453"/>
      <c r="O71" s="454"/>
      <c r="P71" s="348" t="str">
        <f t="shared" si="3"/>
        <v/>
      </c>
      <c r="Q71" s="612" t="str">
        <f t="shared" si="4"/>
        <v/>
      </c>
      <c r="R71" s="348" t="str">
        <f t="shared" si="8"/>
        <v/>
      </c>
      <c r="S71" s="613" t="str">
        <f t="shared" si="5"/>
        <v/>
      </c>
      <c r="T71" s="613">
        <f t="shared" si="9"/>
        <v>865990165.76164591</v>
      </c>
      <c r="U71" s="614" t="str">
        <f t="shared" si="10"/>
        <v/>
      </c>
    </row>
    <row r="72" spans="2:21" ht="15" customHeight="1">
      <c r="B72" s="690">
        <v>1061</v>
      </c>
      <c r="C72" s="71" t="s">
        <v>803</v>
      </c>
      <c r="D72" s="19" t="s">
        <v>804</v>
      </c>
      <c r="E72" s="70">
        <v>267.20999999999998</v>
      </c>
      <c r="F72" s="69">
        <v>8.2700000000000004E-10</v>
      </c>
      <c r="G72" s="69">
        <f t="shared" si="1"/>
        <v>2.2098266999999998E-7</v>
      </c>
      <c r="H72" s="69">
        <f t="shared" si="2"/>
        <v>1.283504E-7</v>
      </c>
      <c r="I72" s="72">
        <v>-627.5</v>
      </c>
      <c r="J72" s="72">
        <f>AVERAGE(22.69,21.02)</f>
        <v>21.855</v>
      </c>
      <c r="K72" s="69">
        <f t="shared" si="6"/>
        <v>2348.3402567269191</v>
      </c>
      <c r="L72" s="69">
        <f t="shared" si="7"/>
        <v>278427933.72444475</v>
      </c>
      <c r="M72" s="71"/>
      <c r="N72" s="453"/>
      <c r="O72" s="454"/>
      <c r="P72" s="348" t="str">
        <f t="shared" si="3"/>
        <v/>
      </c>
      <c r="Q72" s="612" t="str">
        <f t="shared" si="4"/>
        <v/>
      </c>
      <c r="R72" s="348" t="str">
        <f t="shared" si="8"/>
        <v/>
      </c>
      <c r="S72" s="613" t="str">
        <f t="shared" si="5"/>
        <v/>
      </c>
      <c r="T72" s="613">
        <f t="shared" si="9"/>
        <v>278427933.72444475</v>
      </c>
      <c r="U72" s="614" t="str">
        <f t="shared" si="10"/>
        <v/>
      </c>
    </row>
    <row r="73" spans="2:21" ht="15" customHeight="1">
      <c r="B73" s="690">
        <v>1062</v>
      </c>
      <c r="C73" s="71" t="s">
        <v>801</v>
      </c>
      <c r="D73" s="19" t="s">
        <v>802</v>
      </c>
      <c r="E73" s="73">
        <v>159.15809999999999</v>
      </c>
      <c r="F73" s="69">
        <v>6.8300000000000002E-10</v>
      </c>
      <c r="G73" s="69">
        <f t="shared" si="1"/>
        <v>1.0870498229999999E-7</v>
      </c>
      <c r="H73" s="69">
        <f t="shared" si="2"/>
        <v>1.0600159999999999E-7</v>
      </c>
      <c r="I73" s="72">
        <v>-86.2</v>
      </c>
      <c r="J73" s="72">
        <v>789.3</v>
      </c>
      <c r="K73" s="69">
        <f t="shared" si="6"/>
        <v>541.5998306086841</v>
      </c>
      <c r="L73" s="69">
        <f t="shared" si="7"/>
        <v>64214085.377926916</v>
      </c>
      <c r="M73" s="71"/>
      <c r="N73" s="453"/>
      <c r="O73" s="454"/>
      <c r="P73" s="348" t="str">
        <f t="shared" si="3"/>
        <v/>
      </c>
      <c r="Q73" s="612" t="str">
        <f t="shared" si="4"/>
        <v/>
      </c>
      <c r="R73" s="348" t="str">
        <f t="shared" si="8"/>
        <v/>
      </c>
      <c r="S73" s="613" t="str">
        <f t="shared" si="5"/>
        <v/>
      </c>
      <c r="T73" s="613">
        <f t="shared" si="9"/>
        <v>64214085.377926916</v>
      </c>
      <c r="U73" s="614" t="str">
        <f t="shared" si="10"/>
        <v/>
      </c>
    </row>
    <row r="74" spans="2:21" ht="15" customHeight="1">
      <c r="B74" s="690">
        <v>1063</v>
      </c>
      <c r="C74" s="71" t="s">
        <v>800</v>
      </c>
      <c r="D74" s="19" t="s">
        <v>172</v>
      </c>
      <c r="E74" s="70">
        <v>183.52250000000001</v>
      </c>
      <c r="F74" s="69">
        <v>3.6199999999999999E-7</v>
      </c>
      <c r="G74" s="69">
        <f t="shared" si="1"/>
        <v>6.6435145E-5</v>
      </c>
      <c r="H74" s="69">
        <f t="shared" si="2"/>
        <v>5.6182399999999993E-5</v>
      </c>
      <c r="I74" s="72">
        <v>-195.1</v>
      </c>
      <c r="J74" s="72">
        <v>1534.4</v>
      </c>
      <c r="K74" s="69">
        <f t="shared" si="6"/>
        <v>1063.0849078450872</v>
      </c>
      <c r="L74" s="69">
        <f t="shared" si="7"/>
        <v>126043290.96563683</v>
      </c>
      <c r="M74" s="71" t="s">
        <v>308</v>
      </c>
      <c r="N74" s="453">
        <f>63.546/E74</f>
        <v>0.346257270906837</v>
      </c>
      <c r="O74" s="491">
        <f>'EmCF Library'!AA37/N74</f>
        <v>2.8591457369464644E-2</v>
      </c>
      <c r="P74" s="348">
        <f t="shared" si="3"/>
        <v>2.4179019922575772E-2</v>
      </c>
      <c r="Q74" s="612">
        <f t="shared" si="4"/>
        <v>81.914414606259669</v>
      </c>
      <c r="R74" s="348">
        <f t="shared" si="8"/>
        <v>47236525383786.578</v>
      </c>
      <c r="S74" s="613">
        <f t="shared" si="5"/>
        <v>4525359096.750927</v>
      </c>
      <c r="T74" s="613">
        <f t="shared" si="9"/>
        <v>4525359096.750927</v>
      </c>
      <c r="U74" s="614">
        <f t="shared" si="10"/>
        <v>13069354716.795267</v>
      </c>
    </row>
    <row r="75" spans="2:21" ht="15" customHeight="1">
      <c r="B75" s="690">
        <v>1064</v>
      </c>
      <c r="C75" s="71" t="s">
        <v>1383</v>
      </c>
      <c r="D75" s="19" t="s">
        <v>172</v>
      </c>
      <c r="E75" s="70">
        <v>183.52250000000001</v>
      </c>
      <c r="F75" s="69">
        <v>3.6199999999999999E-7</v>
      </c>
      <c r="G75" s="69">
        <f t="shared" si="1"/>
        <v>6.6435145E-5</v>
      </c>
      <c r="H75" s="69">
        <f t="shared" si="2"/>
        <v>5.6182399999999993E-5</v>
      </c>
      <c r="I75" s="72">
        <v>-195.1</v>
      </c>
      <c r="J75" s="72">
        <v>1534.4</v>
      </c>
      <c r="K75" s="69">
        <f t="shared" si="6"/>
        <v>1063.0849078450872</v>
      </c>
      <c r="L75" s="69">
        <f t="shared" si="7"/>
        <v>126043290.96563683</v>
      </c>
      <c r="M75" s="71" t="s">
        <v>308</v>
      </c>
      <c r="N75" s="453">
        <f>63.546/E75</f>
        <v>0.346257270906837</v>
      </c>
      <c r="O75" s="491">
        <f>'EmCF Library'!AA38/N75</f>
        <v>3.4078706763604319E-2</v>
      </c>
      <c r="P75" s="348">
        <f t="shared" si="3"/>
        <v>2.8819437887514555E-2</v>
      </c>
      <c r="Q75" s="612">
        <f t="shared" si="4"/>
        <v>84.285749542842694</v>
      </c>
      <c r="R75" s="348">
        <f t="shared" si="8"/>
        <v>48603972413271.961</v>
      </c>
      <c r="S75" s="613">
        <f t="shared" si="5"/>
        <v>4656363416.0552998</v>
      </c>
      <c r="T75" s="613">
        <f t="shared" si="9"/>
        <v>4656363416.0552998</v>
      </c>
      <c r="U75" s="614">
        <f t="shared" si="10"/>
        <v>13447698596.654531</v>
      </c>
    </row>
    <row r="76" spans="2:21" ht="15" customHeight="1">
      <c r="B76" s="690">
        <v>1065</v>
      </c>
      <c r="C76" s="71" t="s">
        <v>1384</v>
      </c>
      <c r="D76" s="19" t="s">
        <v>172</v>
      </c>
      <c r="E76" s="70">
        <v>183.52250000000001</v>
      </c>
      <c r="F76" s="69">
        <v>3.6199999999999999E-7</v>
      </c>
      <c r="G76" s="69">
        <f t="shared" ref="G76:G139" si="11">F76*E76</f>
        <v>6.6435145E-5</v>
      </c>
      <c r="H76" s="69">
        <f t="shared" ref="H76:H139" si="12">F76*$L$2</f>
        <v>5.6182399999999993E-5</v>
      </c>
      <c r="I76" s="72">
        <v>-195.1</v>
      </c>
      <c r="J76" s="72">
        <v>1534.4</v>
      </c>
      <c r="K76" s="69">
        <f t="shared" si="6"/>
        <v>1063.0849078450872</v>
      </c>
      <c r="L76" s="69">
        <f t="shared" ref="L76:L139" si="13">IF(ISNUMBER(K76),$L$6*K76,0)</f>
        <v>126043290.96563683</v>
      </c>
      <c r="M76" s="71" t="s">
        <v>308</v>
      </c>
      <c r="N76" s="453">
        <f>63.546/E76</f>
        <v>0.346257270906837</v>
      </c>
      <c r="O76" s="491">
        <f>'EmCF Library'!AA39/N76</f>
        <v>4.1009969156201816E-2</v>
      </c>
      <c r="P76" s="348">
        <f t="shared" ref="P76:P139" si="14">IF(ISNUMBER(O76),(O76/E76)/(1/$L$2),"")</f>
        <v>3.4681018474805654E-2</v>
      </c>
      <c r="Q76" s="612">
        <f t="shared" ref="Q76:Q139" si="15">IF(ISNUMBER(O76),standard_temperature*gas_constant*LN(P76/H76)/E76,"")</f>
        <v>86.786448909279983</v>
      </c>
      <c r="R76" s="348">
        <f t="shared" ref="R76:R139" si="16">IF(ISNUMBER(Q76),Q76*$G76*crust_mass/crust_age,"")</f>
        <v>50046018354364.57</v>
      </c>
      <c r="S76" s="613">
        <f t="shared" ref="S76:S139" si="17">IF(ISNUMBER(O76),$S$6*Q76,"")</f>
        <v>4794514468.962678</v>
      </c>
      <c r="T76" s="613">
        <f t="shared" si="9"/>
        <v>4794514468.962678</v>
      </c>
      <c r="U76" s="614">
        <f t="shared" si="10"/>
        <v>13846682428.952305</v>
      </c>
    </row>
    <row r="77" spans="2:21" ht="15" customHeight="1">
      <c r="B77" s="690">
        <v>1066</v>
      </c>
      <c r="C77" s="71" t="s">
        <v>1385</v>
      </c>
      <c r="D77" s="19" t="s">
        <v>172</v>
      </c>
      <c r="E77" s="70">
        <v>183.52250000000001</v>
      </c>
      <c r="F77" s="69">
        <v>3.6199999999999999E-7</v>
      </c>
      <c r="G77" s="69">
        <f t="shared" si="11"/>
        <v>6.6435145E-5</v>
      </c>
      <c r="H77" s="69">
        <f t="shared" si="12"/>
        <v>5.6182399999999993E-5</v>
      </c>
      <c r="I77" s="72">
        <v>-195.1</v>
      </c>
      <c r="J77" s="72">
        <v>1534.4</v>
      </c>
      <c r="K77" s="69">
        <f t="shared" ref="K77:K140" si="18">-I77*1000/E77</f>
        <v>1063.0849078450872</v>
      </c>
      <c r="L77" s="69">
        <f t="shared" si="13"/>
        <v>126043290.96563683</v>
      </c>
      <c r="M77" s="71" t="s">
        <v>308</v>
      </c>
      <c r="N77" s="453">
        <f>63.546/E77</f>
        <v>0.346257270906837</v>
      </c>
      <c r="O77" s="491">
        <f>'EmCF Library'!AA40/N77</f>
        <v>6.3247769332452089E-2</v>
      </c>
      <c r="P77" s="348">
        <f t="shared" si="14"/>
        <v>5.3486922859031248E-2</v>
      </c>
      <c r="Q77" s="612">
        <f t="shared" si="15"/>
        <v>92.638239117349158</v>
      </c>
      <c r="R77" s="348">
        <f t="shared" si="16"/>
        <v>53420494483294.031</v>
      </c>
      <c r="S77" s="613">
        <f t="shared" si="17"/>
        <v>5117796423.3983288</v>
      </c>
      <c r="T77" s="613">
        <f t="shared" ref="T77:T140" si="19">MAX(L77,S77)</f>
        <v>5117796423.3983288</v>
      </c>
      <c r="U77" s="614">
        <f t="shared" ref="U77:U140" si="20">IF(ISNUMBER(N77),T77/N77,"")</f>
        <v>14780329117.696156</v>
      </c>
    </row>
    <row r="78" spans="2:21" ht="15" customHeight="1">
      <c r="B78" s="690">
        <v>1067</v>
      </c>
      <c r="C78" s="71" t="s">
        <v>799</v>
      </c>
      <c r="D78" s="19" t="s">
        <v>1008</v>
      </c>
      <c r="E78" s="70">
        <v>1212.5630000000001</v>
      </c>
      <c r="F78" s="69">
        <v>2.76E-11</v>
      </c>
      <c r="G78" s="69">
        <f t="shared" si="11"/>
        <v>3.3466738800000001E-8</v>
      </c>
      <c r="H78" s="69">
        <f t="shared" si="12"/>
        <v>4.2835199999999997E-9</v>
      </c>
      <c r="I78" s="72">
        <v>-9894.5</v>
      </c>
      <c r="J78" s="72">
        <v>1019.01</v>
      </c>
      <c r="K78" s="69">
        <f t="shared" si="18"/>
        <v>8159.9883882321983</v>
      </c>
      <c r="L78" s="69">
        <f t="shared" si="13"/>
        <v>967478498.75792217</v>
      </c>
      <c r="M78" s="71"/>
      <c r="N78" s="453"/>
      <c r="O78" s="454"/>
      <c r="P78" s="348" t="str">
        <f t="shared" si="14"/>
        <v/>
      </c>
      <c r="Q78" s="612" t="str">
        <f t="shared" si="15"/>
        <v/>
      </c>
      <c r="R78" s="348" t="str">
        <f t="shared" si="16"/>
        <v/>
      </c>
      <c r="S78" s="613" t="str">
        <f t="shared" si="17"/>
        <v/>
      </c>
      <c r="T78" s="613">
        <f t="shared" si="19"/>
        <v>967478498.75792217</v>
      </c>
      <c r="U78" s="614" t="str">
        <f t="shared" si="20"/>
        <v/>
      </c>
    </row>
    <row r="79" spans="2:21" ht="15" customHeight="1">
      <c r="B79" s="690">
        <v>1068</v>
      </c>
      <c r="C79" s="71" t="s">
        <v>797</v>
      </c>
      <c r="D79" s="19" t="s">
        <v>798</v>
      </c>
      <c r="E79" s="73">
        <v>143.32</v>
      </c>
      <c r="F79" s="69">
        <v>5.4699999999999999E-12</v>
      </c>
      <c r="G79" s="69">
        <f t="shared" si="11"/>
        <v>7.8396039999999997E-10</v>
      </c>
      <c r="H79" s="69">
        <f t="shared" si="12"/>
        <v>8.489439999999999E-10</v>
      </c>
      <c r="I79" s="72">
        <v>-109.9</v>
      </c>
      <c r="J79" s="72">
        <v>21.96</v>
      </c>
      <c r="K79" s="69">
        <f t="shared" si="18"/>
        <v>766.81551772257887</v>
      </c>
      <c r="L79" s="69">
        <f t="shared" si="13"/>
        <v>90916492.84457399</v>
      </c>
      <c r="M79" s="71"/>
      <c r="N79" s="453"/>
      <c r="O79" s="454"/>
      <c r="P79" s="348" t="str">
        <f t="shared" si="14"/>
        <v/>
      </c>
      <c r="Q79" s="612" t="str">
        <f t="shared" si="15"/>
        <v/>
      </c>
      <c r="R79" s="348" t="str">
        <f t="shared" si="16"/>
        <v/>
      </c>
      <c r="S79" s="613" t="str">
        <f t="shared" si="17"/>
        <v/>
      </c>
      <c r="T79" s="613">
        <f t="shared" si="19"/>
        <v>90916492.84457399</v>
      </c>
      <c r="U79" s="614" t="str">
        <f t="shared" si="20"/>
        <v/>
      </c>
    </row>
    <row r="80" spans="2:21" ht="15" customHeight="1">
      <c r="B80" s="690">
        <v>1069</v>
      </c>
      <c r="C80" s="71" t="s">
        <v>796</v>
      </c>
      <c r="D80" s="19" t="s">
        <v>1009</v>
      </c>
      <c r="E80" s="73">
        <v>484.71</v>
      </c>
      <c r="F80" s="69">
        <v>6.1799999999999998E-8</v>
      </c>
      <c r="G80" s="69">
        <f t="shared" si="11"/>
        <v>2.9955077999999997E-5</v>
      </c>
      <c r="H80" s="69">
        <f t="shared" si="12"/>
        <v>9.5913599999999982E-6</v>
      </c>
      <c r="I80" s="72">
        <v>-6152.6</v>
      </c>
      <c r="J80" s="72">
        <v>101.5</v>
      </c>
      <c r="K80" s="69">
        <f t="shared" si="18"/>
        <v>12693.36304181882</v>
      </c>
      <c r="L80" s="69">
        <f t="shared" si="13"/>
        <v>1504972217.558346</v>
      </c>
      <c r="M80" s="71"/>
      <c r="N80" s="453"/>
      <c r="O80" s="454"/>
      <c r="P80" s="348" t="str">
        <f t="shared" si="14"/>
        <v/>
      </c>
      <c r="Q80" s="612" t="str">
        <f t="shared" si="15"/>
        <v/>
      </c>
      <c r="R80" s="348" t="str">
        <f t="shared" si="16"/>
        <v/>
      </c>
      <c r="S80" s="613" t="str">
        <f t="shared" si="17"/>
        <v/>
      </c>
      <c r="T80" s="613">
        <f t="shared" si="19"/>
        <v>1504972217.558346</v>
      </c>
      <c r="U80" s="614" t="str">
        <f t="shared" si="20"/>
        <v/>
      </c>
    </row>
    <row r="81" spans="2:21" ht="15" customHeight="1">
      <c r="B81" s="690">
        <v>1070</v>
      </c>
      <c r="C81" s="71" t="s">
        <v>795</v>
      </c>
      <c r="D81" s="19" t="s">
        <v>1010</v>
      </c>
      <c r="E81" s="73">
        <v>382.12</v>
      </c>
      <c r="F81" s="69">
        <v>2.9300000000000002E-10</v>
      </c>
      <c r="G81" s="69">
        <f t="shared" si="11"/>
        <v>1.1196116E-7</v>
      </c>
      <c r="H81" s="69">
        <f t="shared" si="12"/>
        <v>4.5473599999999999E-8</v>
      </c>
      <c r="I81" s="72">
        <v>-4701.3999999999996</v>
      </c>
      <c r="J81" s="72">
        <v>488.22</v>
      </c>
      <c r="K81" s="69">
        <f t="shared" si="18"/>
        <v>12303.464880142363</v>
      </c>
      <c r="L81" s="69">
        <f t="shared" si="13"/>
        <v>1458744444.8973932</v>
      </c>
      <c r="M81" s="71"/>
      <c r="N81" s="453"/>
      <c r="O81" s="454"/>
      <c r="P81" s="348" t="str">
        <f t="shared" si="14"/>
        <v/>
      </c>
      <c r="Q81" s="612" t="str">
        <f t="shared" si="15"/>
        <v/>
      </c>
      <c r="R81" s="348" t="str">
        <f t="shared" si="16"/>
        <v/>
      </c>
      <c r="S81" s="613" t="str">
        <f t="shared" si="17"/>
        <v/>
      </c>
      <c r="T81" s="613">
        <f t="shared" si="19"/>
        <v>1458744444.8973932</v>
      </c>
      <c r="U81" s="614" t="str">
        <f t="shared" si="20"/>
        <v/>
      </c>
    </row>
    <row r="82" spans="2:21" ht="15" customHeight="1">
      <c r="B82" s="690">
        <v>1071</v>
      </c>
      <c r="C82" s="71" t="s">
        <v>794</v>
      </c>
      <c r="D82" s="19" t="s">
        <v>352</v>
      </c>
      <c r="E82" s="73">
        <v>223.84</v>
      </c>
      <c r="F82" s="69">
        <v>8.8299999999999995E-7</v>
      </c>
      <c r="G82" s="69">
        <f t="shared" si="11"/>
        <v>1.9765072E-4</v>
      </c>
      <c r="H82" s="69">
        <f t="shared" si="12"/>
        <v>1.3704159999999998E-4</v>
      </c>
      <c r="I82" s="72">
        <v>-1358.4</v>
      </c>
      <c r="J82" s="72">
        <f>AVERAGE(209.11,195.29)</f>
        <v>202.2</v>
      </c>
      <c r="K82" s="69">
        <f t="shared" si="18"/>
        <v>6068.6204431736951</v>
      </c>
      <c r="L82" s="69">
        <f t="shared" si="13"/>
        <v>719518155.73174953</v>
      </c>
      <c r="M82" s="71" t="s">
        <v>305</v>
      </c>
      <c r="N82" s="453">
        <v>0.46500000000000002</v>
      </c>
      <c r="O82" s="465">
        <f>0.116/N82</f>
        <v>0.24946236559139784</v>
      </c>
      <c r="P82" s="348">
        <f t="shared" si="14"/>
        <v>0.17296532853728083</v>
      </c>
      <c r="Q82" s="612">
        <f t="shared" si="15"/>
        <v>79.075059192196207</v>
      </c>
      <c r="R82" s="348">
        <f t="shared" si="16"/>
        <v>135661823887740.14</v>
      </c>
      <c r="S82" s="613">
        <f t="shared" si="17"/>
        <v>4368499001.8127737</v>
      </c>
      <c r="T82" s="613">
        <f t="shared" si="19"/>
        <v>4368499001.8127737</v>
      </c>
      <c r="U82" s="614">
        <f t="shared" si="20"/>
        <v>9394621509.2747822</v>
      </c>
    </row>
    <row r="83" spans="2:21" ht="15" customHeight="1">
      <c r="B83" s="690">
        <v>1072</v>
      </c>
      <c r="C83" s="71" t="s">
        <v>1399</v>
      </c>
      <c r="D83" s="19" t="s">
        <v>352</v>
      </c>
      <c r="E83" s="73">
        <v>223.84</v>
      </c>
      <c r="F83" s="69">
        <v>8.8299999999999995E-7</v>
      </c>
      <c r="G83" s="69">
        <f t="shared" si="11"/>
        <v>1.9765072E-4</v>
      </c>
      <c r="H83" s="69">
        <f t="shared" si="12"/>
        <v>1.3704159999999998E-4</v>
      </c>
      <c r="I83" s="72">
        <v>-1358.4</v>
      </c>
      <c r="J83" s="72">
        <f>AVERAGE(209.11,195.29)</f>
        <v>202.2</v>
      </c>
      <c r="K83" s="69">
        <f t="shared" si="18"/>
        <v>6068.6204431736951</v>
      </c>
      <c r="L83" s="69">
        <f t="shared" si="13"/>
        <v>719518155.73174953</v>
      </c>
      <c r="M83" s="71" t="s">
        <v>131</v>
      </c>
      <c r="N83" s="466">
        <f>'EmCF Library'!AA83/O83</f>
        <v>8.0172413793103446E-7</v>
      </c>
      <c r="O83" s="467">
        <f>$O$82</f>
        <v>0.24946236559139784</v>
      </c>
      <c r="P83" s="348">
        <f t="shared" si="14"/>
        <v>0.17296532853728083</v>
      </c>
      <c r="Q83" s="612">
        <f t="shared" si="15"/>
        <v>79.075059192196207</v>
      </c>
      <c r="R83" s="348">
        <f t="shared" si="16"/>
        <v>135661823887740.14</v>
      </c>
      <c r="S83" s="613">
        <f t="shared" si="17"/>
        <v>4368499001.8127737</v>
      </c>
      <c r="T83" s="613">
        <f t="shared" si="19"/>
        <v>4368499001.8127737</v>
      </c>
      <c r="U83" s="614">
        <f t="shared" si="20"/>
        <v>5448880475379374</v>
      </c>
    </row>
    <row r="84" spans="2:21" ht="15" customHeight="1">
      <c r="B84" s="690">
        <v>1073</v>
      </c>
      <c r="C84" s="71" t="s">
        <v>1400</v>
      </c>
      <c r="D84" s="19" t="s">
        <v>352</v>
      </c>
      <c r="E84" s="73">
        <v>223.84</v>
      </c>
      <c r="F84" s="69">
        <v>8.8299999999999995E-7</v>
      </c>
      <c r="G84" s="69">
        <f t="shared" si="11"/>
        <v>1.9765072E-4</v>
      </c>
      <c r="H84" s="69">
        <f t="shared" si="12"/>
        <v>1.3704159999999998E-4</v>
      </c>
      <c r="I84" s="72">
        <v>-1358.4</v>
      </c>
      <c r="J84" s="72">
        <f>AVERAGE(209.11,195.29)</f>
        <v>202.2</v>
      </c>
      <c r="K84" s="69">
        <f t="shared" si="18"/>
        <v>6068.6204431736951</v>
      </c>
      <c r="L84" s="69">
        <f t="shared" si="13"/>
        <v>719518155.73174953</v>
      </c>
      <c r="M84" s="71" t="s">
        <v>131</v>
      </c>
      <c r="N84" s="466">
        <f>'EmCF Library'!AA84/O84</f>
        <v>9.6206896551724135E-7</v>
      </c>
      <c r="O84" s="467">
        <f>$O$82</f>
        <v>0.24946236559139784</v>
      </c>
      <c r="P84" s="348">
        <f t="shared" si="14"/>
        <v>0.17296532853728083</v>
      </c>
      <c r="Q84" s="612">
        <f t="shared" si="15"/>
        <v>79.075059192196207</v>
      </c>
      <c r="R84" s="348">
        <f t="shared" si="16"/>
        <v>135661823887740.14</v>
      </c>
      <c r="S84" s="613">
        <f t="shared" si="17"/>
        <v>4368499001.8127737</v>
      </c>
      <c r="T84" s="613">
        <f t="shared" si="19"/>
        <v>4368499001.8127737</v>
      </c>
      <c r="U84" s="614">
        <f t="shared" si="20"/>
        <v>4540733729482812</v>
      </c>
    </row>
    <row r="85" spans="2:21" ht="15" customHeight="1">
      <c r="B85" s="690">
        <v>1074</v>
      </c>
      <c r="C85" s="71" t="s">
        <v>792</v>
      </c>
      <c r="D85" s="19" t="s">
        <v>793</v>
      </c>
      <c r="E85" s="70">
        <v>126.97</v>
      </c>
      <c r="F85" s="69">
        <v>1.7999999999999999E-8</v>
      </c>
      <c r="G85" s="69">
        <f t="shared" si="11"/>
        <v>2.2854599999999997E-6</v>
      </c>
      <c r="H85" s="69">
        <f t="shared" si="12"/>
        <v>2.7935999999999998E-6</v>
      </c>
      <c r="I85" s="72">
        <v>-2178.1999999999998</v>
      </c>
      <c r="J85" s="72">
        <f>AVERAGE(24.6,25.02)</f>
        <v>24.810000000000002</v>
      </c>
      <c r="K85" s="69">
        <f t="shared" si="18"/>
        <v>17155.23351972907</v>
      </c>
      <c r="L85" s="69">
        <f t="shared" si="13"/>
        <v>2033988135.9935064</v>
      </c>
      <c r="M85" s="71"/>
      <c r="N85" s="453"/>
      <c r="O85" s="454"/>
      <c r="P85" s="348" t="str">
        <f t="shared" si="14"/>
        <v/>
      </c>
      <c r="Q85" s="612" t="str">
        <f t="shared" si="15"/>
        <v/>
      </c>
      <c r="R85" s="348" t="str">
        <f t="shared" si="16"/>
        <v/>
      </c>
      <c r="S85" s="613" t="str">
        <f t="shared" si="17"/>
        <v/>
      </c>
      <c r="T85" s="613">
        <f t="shared" si="19"/>
        <v>2033988135.9935064</v>
      </c>
      <c r="U85" s="614" t="str">
        <f t="shared" si="20"/>
        <v/>
      </c>
    </row>
    <row r="86" spans="2:21" ht="15" customHeight="1">
      <c r="B86" s="690">
        <v>1075</v>
      </c>
      <c r="C86" s="71" t="s">
        <v>790</v>
      </c>
      <c r="D86" s="19" t="s">
        <v>791</v>
      </c>
      <c r="E86" s="70">
        <v>351.32</v>
      </c>
      <c r="F86" s="69">
        <v>3.5399999999999999E-12</v>
      </c>
      <c r="G86" s="69">
        <f t="shared" si="11"/>
        <v>1.2436728E-9</v>
      </c>
      <c r="H86" s="69">
        <f t="shared" si="12"/>
        <v>5.4940799999999995E-10</v>
      </c>
      <c r="I86" s="72">
        <v>-2964.6</v>
      </c>
      <c r="J86" s="72">
        <v>25.61</v>
      </c>
      <c r="K86" s="69">
        <f t="shared" si="18"/>
        <v>8438.4606626437435</v>
      </c>
      <c r="L86" s="69">
        <f t="shared" si="13"/>
        <v>1000495204.808867</v>
      </c>
      <c r="M86" s="71"/>
      <c r="N86" s="453"/>
      <c r="O86" s="454"/>
      <c r="P86" s="348" t="str">
        <f t="shared" si="14"/>
        <v/>
      </c>
      <c r="Q86" s="612" t="str">
        <f t="shared" si="15"/>
        <v/>
      </c>
      <c r="R86" s="348" t="str">
        <f t="shared" si="16"/>
        <v/>
      </c>
      <c r="S86" s="613" t="str">
        <f t="shared" si="17"/>
        <v/>
      </c>
      <c r="T86" s="613">
        <f t="shared" si="19"/>
        <v>1000495204.808867</v>
      </c>
      <c r="U86" s="614" t="str">
        <f t="shared" si="20"/>
        <v/>
      </c>
    </row>
    <row r="87" spans="2:21" ht="15" customHeight="1">
      <c r="B87" s="690">
        <v>1076</v>
      </c>
      <c r="C87" s="71" t="s">
        <v>789</v>
      </c>
      <c r="D87" s="19" t="s">
        <v>94</v>
      </c>
      <c r="E87" s="73">
        <f>200.59+32</f>
        <v>232.59</v>
      </c>
      <c r="F87" s="69">
        <v>2.4599999999999998E-10</v>
      </c>
      <c r="G87" s="69">
        <f t="shared" si="11"/>
        <v>5.7217139999999994E-8</v>
      </c>
      <c r="H87" s="69">
        <f t="shared" si="12"/>
        <v>3.8179199999999992E-8</v>
      </c>
      <c r="I87" s="72">
        <v>-50.7</v>
      </c>
      <c r="J87" s="72">
        <f>AVERAGE(671.39,678.93)</f>
        <v>675.16</v>
      </c>
      <c r="K87" s="69">
        <f t="shared" si="18"/>
        <v>217.98013672126919</v>
      </c>
      <c r="L87" s="69">
        <f t="shared" si="13"/>
        <v>25844533.766527597</v>
      </c>
      <c r="M87" s="71" t="s">
        <v>116</v>
      </c>
      <c r="N87" s="453">
        <f>'Crust Element Composition'!E32/'Singular Minerals'!E87</f>
        <v>0.86241884861773932</v>
      </c>
      <c r="O87" s="463">
        <f>'EmCF Library'!Z34</f>
        <v>0.01</v>
      </c>
      <c r="P87" s="348">
        <f t="shared" si="14"/>
        <v>6.6726858420396397E-3</v>
      </c>
      <c r="Q87" s="612">
        <f t="shared" si="15"/>
        <v>128.64880517210148</v>
      </c>
      <c r="R87" s="348">
        <f t="shared" si="16"/>
        <v>63892756924.44693</v>
      </c>
      <c r="S87" s="613">
        <f t="shared" si="17"/>
        <v>7107198941.3596849</v>
      </c>
      <c r="T87" s="613">
        <f t="shared" si="19"/>
        <v>7107198941.3596849</v>
      </c>
      <c r="U87" s="614">
        <f t="shared" si="20"/>
        <v>8241006041.0331984</v>
      </c>
    </row>
    <row r="88" spans="2:21" ht="15" customHeight="1">
      <c r="B88" s="690">
        <v>1077</v>
      </c>
      <c r="C88" s="71" t="s">
        <v>788</v>
      </c>
      <c r="D88" s="19" t="s">
        <v>1011</v>
      </c>
      <c r="E88" s="70">
        <v>692.09500000000003</v>
      </c>
      <c r="F88" s="69">
        <v>3.8099999999999997E-8</v>
      </c>
      <c r="G88" s="69">
        <f t="shared" si="11"/>
        <v>2.6368819499999997E-5</v>
      </c>
      <c r="H88" s="69">
        <f t="shared" si="12"/>
        <v>5.913119999999999E-6</v>
      </c>
      <c r="I88" s="72">
        <v>-7043.1</v>
      </c>
      <c r="J88" s="72">
        <v>508.11</v>
      </c>
      <c r="K88" s="69">
        <f t="shared" si="18"/>
        <v>10176.493111494809</v>
      </c>
      <c r="L88" s="69">
        <f t="shared" si="13"/>
        <v>1206562780.448061</v>
      </c>
      <c r="M88" s="71"/>
      <c r="N88" s="453"/>
      <c r="O88" s="454"/>
      <c r="P88" s="348" t="str">
        <f t="shared" si="14"/>
        <v/>
      </c>
      <c r="Q88" s="612" t="str">
        <f t="shared" si="15"/>
        <v/>
      </c>
      <c r="R88" s="348" t="str">
        <f t="shared" si="16"/>
        <v/>
      </c>
      <c r="S88" s="613" t="str">
        <f t="shared" si="17"/>
        <v/>
      </c>
      <c r="T88" s="613">
        <f t="shared" si="19"/>
        <v>1206562780.448061</v>
      </c>
      <c r="U88" s="614" t="str">
        <f t="shared" si="20"/>
        <v/>
      </c>
    </row>
    <row r="89" spans="2:21" ht="15" customHeight="1">
      <c r="B89" s="690">
        <v>1078</v>
      </c>
      <c r="C89" s="71" t="s">
        <v>228</v>
      </c>
      <c r="D89" s="19" t="s">
        <v>1012</v>
      </c>
      <c r="E89" s="73">
        <v>595.22</v>
      </c>
      <c r="F89" s="69">
        <v>7.3300000000000001E-6</v>
      </c>
      <c r="G89" s="69">
        <f t="shared" si="11"/>
        <v>4.3629625999999999E-3</v>
      </c>
      <c r="H89" s="69">
        <f t="shared" si="12"/>
        <v>1.1376159999999999E-3</v>
      </c>
      <c r="I89" s="72">
        <v>-7796.6</v>
      </c>
      <c r="J89" s="72">
        <f>AVERAGE(176.96,124.21,196.22,176.96)</f>
        <v>168.58750000000001</v>
      </c>
      <c r="K89" s="69">
        <f t="shared" si="18"/>
        <v>13098.686200060481</v>
      </c>
      <c r="L89" s="69">
        <f t="shared" si="13"/>
        <v>1553028835.0423834</v>
      </c>
      <c r="M89" s="71"/>
      <c r="N89" s="453"/>
      <c r="O89" s="454"/>
      <c r="P89" s="348" t="str">
        <f t="shared" si="14"/>
        <v/>
      </c>
      <c r="Q89" s="612" t="str">
        <f t="shared" si="15"/>
        <v/>
      </c>
      <c r="R89" s="348" t="str">
        <f t="shared" si="16"/>
        <v/>
      </c>
      <c r="S89" s="613" t="str">
        <f t="shared" si="17"/>
        <v/>
      </c>
      <c r="T89" s="613">
        <f t="shared" si="19"/>
        <v>1553028835.0423834</v>
      </c>
      <c r="U89" s="614" t="str">
        <f t="shared" si="20"/>
        <v/>
      </c>
    </row>
    <row r="90" spans="2:21" ht="15" customHeight="1">
      <c r="B90" s="690">
        <v>1079</v>
      </c>
      <c r="C90" s="71" t="s">
        <v>787</v>
      </c>
      <c r="D90" s="19" t="s">
        <v>1013</v>
      </c>
      <c r="E90" s="73">
        <v>695.05</v>
      </c>
      <c r="F90" s="69">
        <v>1.0999999999999999E-8</v>
      </c>
      <c r="G90" s="69">
        <f t="shared" si="11"/>
        <v>7.6455499999999983E-6</v>
      </c>
      <c r="H90" s="69">
        <f t="shared" si="12"/>
        <v>1.7071999999999997E-6</v>
      </c>
      <c r="I90" s="72">
        <v>-8410</v>
      </c>
      <c r="J90" s="72">
        <v>528.80999999999995</v>
      </c>
      <c r="K90" s="69">
        <f t="shared" si="18"/>
        <v>12099.848931731531</v>
      </c>
      <c r="L90" s="69">
        <f t="shared" si="13"/>
        <v>1434602982.5914204</v>
      </c>
      <c r="M90" s="71"/>
      <c r="N90" s="453"/>
      <c r="O90" s="454"/>
      <c r="P90" s="348" t="str">
        <f t="shared" si="14"/>
        <v/>
      </c>
      <c r="Q90" s="612" t="str">
        <f t="shared" si="15"/>
        <v/>
      </c>
      <c r="R90" s="348" t="str">
        <f t="shared" si="16"/>
        <v/>
      </c>
      <c r="S90" s="613" t="str">
        <f t="shared" si="17"/>
        <v/>
      </c>
      <c r="T90" s="613">
        <f t="shared" si="19"/>
        <v>1434602982.5914204</v>
      </c>
      <c r="U90" s="614" t="str">
        <f t="shared" si="20"/>
        <v/>
      </c>
    </row>
    <row r="91" spans="2:21" ht="15" customHeight="1">
      <c r="B91" s="690">
        <v>1080</v>
      </c>
      <c r="C91" s="71" t="s">
        <v>785</v>
      </c>
      <c r="D91" s="19" t="s">
        <v>786</v>
      </c>
      <c r="E91" s="70">
        <v>454.36</v>
      </c>
      <c r="F91" s="69">
        <v>7.5099999999999999E-7</v>
      </c>
      <c r="G91" s="69">
        <f t="shared" si="11"/>
        <v>3.4122436000000002E-4</v>
      </c>
      <c r="H91" s="69">
        <f t="shared" si="12"/>
        <v>1.1655519999999998E-4</v>
      </c>
      <c r="I91" s="72">
        <v>-6483.9</v>
      </c>
      <c r="J91" s="72">
        <v>68.98</v>
      </c>
      <c r="K91" s="69">
        <f t="shared" si="18"/>
        <v>14270.402324148252</v>
      </c>
      <c r="L91" s="69">
        <f t="shared" si="13"/>
        <v>1691951846.0527551</v>
      </c>
      <c r="M91" s="71"/>
      <c r="N91" s="453"/>
      <c r="O91" s="454"/>
      <c r="P91" s="348" t="str">
        <f t="shared" si="14"/>
        <v/>
      </c>
      <c r="Q91" s="612" t="str">
        <f t="shared" si="15"/>
        <v/>
      </c>
      <c r="R91" s="348" t="str">
        <f t="shared" si="16"/>
        <v/>
      </c>
      <c r="S91" s="613" t="str">
        <f t="shared" si="17"/>
        <v/>
      </c>
      <c r="T91" s="613">
        <f t="shared" si="19"/>
        <v>1691951846.0527551</v>
      </c>
      <c r="U91" s="614" t="str">
        <f t="shared" si="20"/>
        <v/>
      </c>
    </row>
    <row r="92" spans="2:21" ht="15" customHeight="1">
      <c r="B92" s="690">
        <v>1081</v>
      </c>
      <c r="C92" s="71" t="s">
        <v>784</v>
      </c>
      <c r="D92" s="19" t="s">
        <v>342</v>
      </c>
      <c r="E92" s="73">
        <v>165.92</v>
      </c>
      <c r="F92" s="69">
        <v>5.0599999999999998E-11</v>
      </c>
      <c r="G92" s="69">
        <f t="shared" si="11"/>
        <v>8.395551999999999E-9</v>
      </c>
      <c r="H92" s="69">
        <f t="shared" si="12"/>
        <v>7.8531199999999995E-9</v>
      </c>
      <c r="I92" s="71" t="s">
        <v>1007</v>
      </c>
      <c r="J92" s="71" t="s">
        <v>85</v>
      </c>
      <c r="K92" s="69" t="e">
        <f t="shared" si="18"/>
        <v>#VALUE!</v>
      </c>
      <c r="L92" s="69">
        <f t="shared" si="13"/>
        <v>0</v>
      </c>
      <c r="M92" s="71"/>
      <c r="N92" s="453"/>
      <c r="O92" s="454"/>
      <c r="P92" s="348" t="str">
        <f t="shared" si="14"/>
        <v/>
      </c>
      <c r="Q92" s="612" t="str">
        <f t="shared" si="15"/>
        <v/>
      </c>
      <c r="R92" s="348" t="str">
        <f t="shared" si="16"/>
        <v/>
      </c>
      <c r="S92" s="613" t="str">
        <f t="shared" si="17"/>
        <v/>
      </c>
      <c r="T92" s="613">
        <f t="shared" si="19"/>
        <v>0</v>
      </c>
      <c r="U92" s="614" t="str">
        <f t="shared" si="20"/>
        <v/>
      </c>
    </row>
    <row r="93" spans="2:21" ht="15" customHeight="1">
      <c r="B93" s="690">
        <v>1082</v>
      </c>
      <c r="C93" s="71" t="s">
        <v>783</v>
      </c>
      <c r="D93" s="19" t="s">
        <v>174</v>
      </c>
      <c r="E93" s="73">
        <v>411.09</v>
      </c>
      <c r="F93" s="69">
        <v>5.99E-8</v>
      </c>
      <c r="G93" s="69">
        <f t="shared" si="11"/>
        <v>2.4624290999999999E-5</v>
      </c>
      <c r="H93" s="69">
        <f t="shared" si="12"/>
        <v>9.2964800000000001E-6</v>
      </c>
      <c r="I93" s="72">
        <v>-6277</v>
      </c>
      <c r="J93" s="72">
        <v>-781.67</v>
      </c>
      <c r="K93" s="69">
        <f t="shared" si="18"/>
        <v>15269.162470505244</v>
      </c>
      <c r="L93" s="69">
        <f t="shared" si="13"/>
        <v>1810368554.6365821</v>
      </c>
      <c r="M93" s="71" t="s">
        <v>1727</v>
      </c>
      <c r="N93" s="453">
        <f>('Crust Element Composition'!E9*6+16*11)/'Singular Minerals'!E93</f>
        <v>0.58592035807244158</v>
      </c>
      <c r="O93" s="468">
        <f>'EmCF Library'!Z36/N93</f>
        <v>0.52498602542492501</v>
      </c>
      <c r="P93" s="348">
        <f t="shared" si="14"/>
        <v>0.19819949681565682</v>
      </c>
      <c r="Q93" s="612">
        <f t="shared" si="15"/>
        <v>60.102083375800021</v>
      </c>
      <c r="R93" s="348">
        <f t="shared" si="16"/>
        <v>12846149935727.031</v>
      </c>
      <c r="S93" s="613">
        <f t="shared" si="17"/>
        <v>3320337587.0499725</v>
      </c>
      <c r="T93" s="613">
        <f t="shared" si="19"/>
        <v>3320337587.0499725</v>
      </c>
      <c r="U93" s="614">
        <f t="shared" si="20"/>
        <v>5666875269.4874878</v>
      </c>
    </row>
    <row r="94" spans="2:21" ht="15" customHeight="1">
      <c r="B94" s="690">
        <v>1083</v>
      </c>
      <c r="C94" s="71" t="s">
        <v>273</v>
      </c>
      <c r="D94" s="19" t="s">
        <v>1014</v>
      </c>
      <c r="E94" s="73">
        <v>186.91</v>
      </c>
      <c r="F94" s="69">
        <v>2.1100000000000001E-12</v>
      </c>
      <c r="G94" s="69">
        <f t="shared" si="11"/>
        <v>3.9438010000000002E-10</v>
      </c>
      <c r="H94" s="69">
        <f t="shared" si="12"/>
        <v>3.2747199999999997E-10</v>
      </c>
      <c r="I94" s="72">
        <v>-73.8</v>
      </c>
      <c r="J94" s="72">
        <f>AVERAGE(657.59,671.82,671.4)</f>
        <v>666.93666666666661</v>
      </c>
      <c r="K94" s="69">
        <f t="shared" si="18"/>
        <v>394.84243753678243</v>
      </c>
      <c r="L94" s="69">
        <f t="shared" si="13"/>
        <v>46813984.351362877</v>
      </c>
      <c r="M94" s="71" t="s">
        <v>122</v>
      </c>
      <c r="N94" s="469">
        <f>0.3*'Crust Element Composition'!$E$53/'Singular Minerals'!E94</f>
        <v>0.1708094804986357</v>
      </c>
      <c r="O94" s="470">
        <f>'EmCF Library'!Z76/N94</f>
        <v>1.1708951951387584E-5</v>
      </c>
      <c r="P94" s="348">
        <f t="shared" si="14"/>
        <v>9.7224832424982778E-6</v>
      </c>
      <c r="Q94" s="612">
        <f t="shared" si="15"/>
        <v>136.58038696468216</v>
      </c>
      <c r="R94" s="348">
        <f t="shared" si="16"/>
        <v>467544612.28839606</v>
      </c>
      <c r="S94" s="613">
        <f t="shared" si="17"/>
        <v>7545378912.3600054</v>
      </c>
      <c r="T94" s="613">
        <f t="shared" si="19"/>
        <v>7545378912.3600054</v>
      </c>
      <c r="U94" s="614">
        <f t="shared" si="20"/>
        <v>44174239569.918205</v>
      </c>
    </row>
    <row r="95" spans="2:21" ht="15" customHeight="1">
      <c r="B95" s="690">
        <v>1084</v>
      </c>
      <c r="C95" s="71" t="s">
        <v>1404</v>
      </c>
      <c r="D95" s="19" t="s">
        <v>1014</v>
      </c>
      <c r="E95" s="73">
        <v>186.91</v>
      </c>
      <c r="F95" s="69">
        <v>2.1100000000000001E-12</v>
      </c>
      <c r="G95" s="69">
        <f t="shared" si="11"/>
        <v>3.9438010000000002E-10</v>
      </c>
      <c r="H95" s="69">
        <f t="shared" si="12"/>
        <v>3.2747199999999997E-10</v>
      </c>
      <c r="I95" s="72">
        <v>-73.8</v>
      </c>
      <c r="J95" s="72">
        <f>AVERAGE(657.59,671.82,671.4)</f>
        <v>666.93666666666661</v>
      </c>
      <c r="K95" s="69">
        <f t="shared" si="18"/>
        <v>394.84243753678243</v>
      </c>
      <c r="L95" s="69">
        <f t="shared" si="13"/>
        <v>46813984.351362877</v>
      </c>
      <c r="M95" s="71" t="s">
        <v>122</v>
      </c>
      <c r="N95" s="469">
        <f>0.3*'Crust Element Composition'!$E$53/'Singular Minerals'!E95</f>
        <v>0.1708094804986357</v>
      </c>
      <c r="O95" s="470">
        <f>'EmCF Library'!Z77/N95</f>
        <v>4.2737674622564688E-5</v>
      </c>
      <c r="P95" s="348">
        <f t="shared" si="14"/>
        <v>3.5487063835118717E-5</v>
      </c>
      <c r="Q95" s="612">
        <f t="shared" si="15"/>
        <v>153.75118805783876</v>
      </c>
      <c r="R95" s="348">
        <f t="shared" si="16"/>
        <v>526324029.43748516</v>
      </c>
      <c r="S95" s="613">
        <f t="shared" si="17"/>
        <v>8493979244.7791424</v>
      </c>
      <c r="T95" s="613">
        <f t="shared" si="19"/>
        <v>8493979244.7791424</v>
      </c>
      <c r="U95" s="614">
        <f t="shared" si="20"/>
        <v>49727797426.601189</v>
      </c>
    </row>
    <row r="96" spans="2:21" ht="15" customHeight="1">
      <c r="B96" s="690">
        <v>1085</v>
      </c>
      <c r="C96" s="71" t="s">
        <v>1405</v>
      </c>
      <c r="D96" s="19" t="s">
        <v>1014</v>
      </c>
      <c r="E96" s="73">
        <v>186.91</v>
      </c>
      <c r="F96" s="69">
        <v>2.1100000000000001E-12</v>
      </c>
      <c r="G96" s="69">
        <f t="shared" si="11"/>
        <v>3.9438010000000002E-10</v>
      </c>
      <c r="H96" s="69">
        <f t="shared" si="12"/>
        <v>3.2747199999999997E-10</v>
      </c>
      <c r="I96" s="72">
        <v>-73.8</v>
      </c>
      <c r="J96" s="72">
        <f>AVERAGE(657.59,671.82,671.4)</f>
        <v>666.93666666666661</v>
      </c>
      <c r="K96" s="69">
        <f t="shared" si="18"/>
        <v>394.84243753678243</v>
      </c>
      <c r="L96" s="69">
        <f t="shared" si="13"/>
        <v>46813984.351362877</v>
      </c>
      <c r="M96" s="71" t="s">
        <v>125</v>
      </c>
      <c r="N96" s="469">
        <f>'Crust Element Composition'!$E$7*0.63/E96</f>
        <v>0.25253120753303732</v>
      </c>
      <c r="O96" s="470">
        <f>'EmCF Library'!AA80/N96</f>
        <v>9.8997665453800931E-6</v>
      </c>
      <c r="P96" s="348">
        <f t="shared" si="14"/>
        <v>8.2202330953025008E-6</v>
      </c>
      <c r="Q96" s="612">
        <f t="shared" si="15"/>
        <v>134.35444298570698</v>
      </c>
      <c r="R96" s="348">
        <f t="shared" si="16"/>
        <v>459924717.97007966</v>
      </c>
      <c r="S96" s="613">
        <f t="shared" si="17"/>
        <v>7422406711.6486597</v>
      </c>
      <c r="T96" s="613">
        <f t="shared" si="19"/>
        <v>7422406711.6486597</v>
      </c>
      <c r="U96" s="614">
        <f t="shared" si="20"/>
        <v>29392037460.073624</v>
      </c>
    </row>
    <row r="97" spans="2:21" ht="15" customHeight="1">
      <c r="B97" s="690">
        <v>1086</v>
      </c>
      <c r="C97" s="71" t="s">
        <v>1406</v>
      </c>
      <c r="D97" s="19" t="s">
        <v>1014</v>
      </c>
      <c r="E97" s="73">
        <v>186.91</v>
      </c>
      <c r="F97" s="69">
        <v>2.1100000000000001E-12</v>
      </c>
      <c r="G97" s="69">
        <f t="shared" si="11"/>
        <v>3.9438010000000002E-10</v>
      </c>
      <c r="H97" s="69">
        <f t="shared" si="12"/>
        <v>3.2747199999999997E-10</v>
      </c>
      <c r="I97" s="72">
        <v>-73.8</v>
      </c>
      <c r="J97" s="72">
        <f>AVERAGE(657.59,671.82,671.4)</f>
        <v>666.93666666666661</v>
      </c>
      <c r="K97" s="69">
        <f t="shared" si="18"/>
        <v>394.84243753678243</v>
      </c>
      <c r="L97" s="69">
        <f t="shared" si="13"/>
        <v>46813984.351362877</v>
      </c>
      <c r="M97" s="71" t="s">
        <v>125</v>
      </c>
      <c r="N97" s="469">
        <f>'Crust Element Composition'!$E$7*0.63/E97</f>
        <v>0.25253120753303732</v>
      </c>
      <c r="O97" s="470">
        <f>'EmCF Library'!AA81/N97</f>
        <v>1.9007551767129778E-5</v>
      </c>
      <c r="P97" s="348">
        <f t="shared" si="14"/>
        <v>1.57828475429808E-5</v>
      </c>
      <c r="Q97" s="612">
        <f t="shared" si="15"/>
        <v>143.00564479709342</v>
      </c>
      <c r="R97" s="348">
        <f t="shared" si="16"/>
        <v>489539678.70217419</v>
      </c>
      <c r="S97" s="613">
        <f t="shared" si="17"/>
        <v>7900342066.5330009</v>
      </c>
      <c r="T97" s="613">
        <f t="shared" si="19"/>
        <v>7900342066.5330009</v>
      </c>
      <c r="U97" s="614">
        <f t="shared" si="20"/>
        <v>31284616834.92897</v>
      </c>
    </row>
    <row r="98" spans="2:21" ht="15" customHeight="1">
      <c r="B98" s="690">
        <v>1087</v>
      </c>
      <c r="C98" s="71" t="s">
        <v>337</v>
      </c>
      <c r="D98" s="19" t="s">
        <v>308</v>
      </c>
      <c r="E98" s="70">
        <v>63.55</v>
      </c>
      <c r="F98" s="69">
        <v>3.9000000000000002E-9</v>
      </c>
      <c r="G98" s="69">
        <f t="shared" si="11"/>
        <v>2.4784500000000001E-7</v>
      </c>
      <c r="H98" s="69">
        <f t="shared" si="12"/>
        <v>6.0528000000000003E-7</v>
      </c>
      <c r="I98" s="72">
        <f>-160.95848/E98</f>
        <v>-2.532784893784422</v>
      </c>
      <c r="J98" s="72">
        <v>131.75</v>
      </c>
      <c r="K98" s="69">
        <f t="shared" si="18"/>
        <v>39.854994394719462</v>
      </c>
      <c r="L98" s="69">
        <f t="shared" si="13"/>
        <v>4725356.0067089852</v>
      </c>
      <c r="M98" s="71"/>
      <c r="N98" s="471"/>
      <c r="O98" s="454"/>
      <c r="P98" s="348" t="str">
        <f t="shared" si="14"/>
        <v/>
      </c>
      <c r="Q98" s="612" t="str">
        <f t="shared" si="15"/>
        <v/>
      </c>
      <c r="R98" s="348" t="str">
        <f t="shared" si="16"/>
        <v/>
      </c>
      <c r="S98" s="613" t="str">
        <f t="shared" si="17"/>
        <v/>
      </c>
      <c r="T98" s="613">
        <f t="shared" si="19"/>
        <v>4725356.0067089852</v>
      </c>
      <c r="U98" s="614" t="str">
        <f t="shared" si="20"/>
        <v/>
      </c>
    </row>
    <row r="99" spans="2:21" ht="15" customHeight="1">
      <c r="B99" s="690">
        <v>1088</v>
      </c>
      <c r="C99" s="71" t="s">
        <v>781</v>
      </c>
      <c r="D99" s="19" t="s">
        <v>782</v>
      </c>
      <c r="E99" s="70">
        <v>584.95000000000005</v>
      </c>
      <c r="F99" s="69">
        <v>9.5200000000000005E-8</v>
      </c>
      <c r="G99" s="69">
        <f t="shared" si="11"/>
        <v>5.5687240000000007E-5</v>
      </c>
      <c r="H99" s="69">
        <f t="shared" si="12"/>
        <v>1.4775039999999999E-5</v>
      </c>
      <c r="I99" s="72">
        <v>-8603.9</v>
      </c>
      <c r="J99" s="72">
        <f>AVERAGE(60.67,145.5,145.5)</f>
        <v>117.22333333333334</v>
      </c>
      <c r="K99" s="69">
        <f t="shared" si="18"/>
        <v>14708.778528079321</v>
      </c>
      <c r="L99" s="69">
        <f t="shared" si="13"/>
        <v>1743927355.268193</v>
      </c>
      <c r="M99" s="71"/>
      <c r="N99" s="453"/>
      <c r="O99" s="454"/>
      <c r="P99" s="348" t="str">
        <f t="shared" si="14"/>
        <v/>
      </c>
      <c r="Q99" s="612" t="str">
        <f t="shared" si="15"/>
        <v/>
      </c>
      <c r="R99" s="348" t="str">
        <f t="shared" si="16"/>
        <v/>
      </c>
      <c r="S99" s="613" t="str">
        <f t="shared" si="17"/>
        <v/>
      </c>
      <c r="T99" s="613">
        <f t="shared" si="19"/>
        <v>1743927355.268193</v>
      </c>
      <c r="U99" s="614" t="str">
        <f t="shared" si="20"/>
        <v/>
      </c>
    </row>
    <row r="100" spans="2:21" ht="15" customHeight="1">
      <c r="B100" s="690">
        <v>1089</v>
      </c>
      <c r="C100" s="71" t="s">
        <v>204</v>
      </c>
      <c r="D100" s="19" t="s">
        <v>205</v>
      </c>
      <c r="E100" s="70">
        <v>101.9614</v>
      </c>
      <c r="F100" s="69">
        <v>1.1999999999999999E-6</v>
      </c>
      <c r="G100" s="69">
        <f t="shared" si="11"/>
        <v>1.2235367999999998E-4</v>
      </c>
      <c r="H100" s="69">
        <f t="shared" si="12"/>
        <v>1.8623999999999998E-4</v>
      </c>
      <c r="I100" s="72">
        <v>-1563</v>
      </c>
      <c r="J100" s="72">
        <f>AVERAGE(14.7,15.96)</f>
        <v>15.33</v>
      </c>
      <c r="K100" s="69">
        <f t="shared" si="18"/>
        <v>15329.330511350374</v>
      </c>
      <c r="L100" s="69">
        <f t="shared" si="13"/>
        <v>1817502300.7965646</v>
      </c>
      <c r="M100" s="71"/>
      <c r="N100" s="453"/>
      <c r="O100" s="454"/>
      <c r="P100" s="348" t="str">
        <f t="shared" si="14"/>
        <v/>
      </c>
      <c r="Q100" s="612" t="str">
        <f t="shared" si="15"/>
        <v/>
      </c>
      <c r="R100" s="348" t="str">
        <f t="shared" si="16"/>
        <v/>
      </c>
      <c r="S100" s="613" t="str">
        <f t="shared" si="17"/>
        <v/>
      </c>
      <c r="T100" s="613">
        <f t="shared" si="19"/>
        <v>1817502300.7965646</v>
      </c>
      <c r="U100" s="614" t="str">
        <f t="shared" si="20"/>
        <v/>
      </c>
    </row>
    <row r="101" spans="2:21" ht="15" customHeight="1">
      <c r="B101" s="690">
        <v>1090</v>
      </c>
      <c r="C101" s="71" t="s">
        <v>779</v>
      </c>
      <c r="D101" s="19" t="s">
        <v>780</v>
      </c>
      <c r="E101" s="73">
        <v>95.611800000000002</v>
      </c>
      <c r="F101" s="69">
        <v>2.2700000000000001E-8</v>
      </c>
      <c r="G101" s="69">
        <f t="shared" si="11"/>
        <v>2.17038786E-6</v>
      </c>
      <c r="H101" s="69">
        <f t="shared" si="12"/>
        <v>3.5230399999999998E-6</v>
      </c>
      <c r="I101" s="72">
        <v>-53.6</v>
      </c>
      <c r="J101" s="72">
        <f>AVERAGE(687.67,692.31)</f>
        <v>689.99</v>
      </c>
      <c r="K101" s="69">
        <f t="shared" si="18"/>
        <v>560.60026063728537</v>
      </c>
      <c r="L101" s="69">
        <f t="shared" si="13"/>
        <v>66466846.858119234</v>
      </c>
      <c r="M101" s="71"/>
      <c r="N101" s="453"/>
      <c r="O101" s="454"/>
      <c r="P101" s="348" t="str">
        <f t="shared" si="14"/>
        <v/>
      </c>
      <c r="Q101" s="612" t="str">
        <f t="shared" si="15"/>
        <v/>
      </c>
      <c r="R101" s="348" t="str">
        <f t="shared" si="16"/>
        <v/>
      </c>
      <c r="S101" s="613" t="str">
        <f t="shared" si="17"/>
        <v/>
      </c>
      <c r="T101" s="613">
        <f t="shared" si="19"/>
        <v>66466846.858119234</v>
      </c>
      <c r="U101" s="614" t="str">
        <f t="shared" si="20"/>
        <v/>
      </c>
    </row>
    <row r="102" spans="2:21" ht="15" customHeight="1">
      <c r="B102" s="690">
        <v>1091</v>
      </c>
      <c r="C102" s="71" t="s">
        <v>778</v>
      </c>
      <c r="D102" s="19" t="s">
        <v>161</v>
      </c>
      <c r="E102" s="73">
        <v>60.08</v>
      </c>
      <c r="F102" s="69">
        <v>2.0599999999999999E-7</v>
      </c>
      <c r="G102" s="69">
        <f t="shared" si="11"/>
        <v>1.2376479999999999E-5</v>
      </c>
      <c r="H102" s="69">
        <f t="shared" si="12"/>
        <v>3.1971199999999996E-5</v>
      </c>
      <c r="I102" s="72">
        <v>-855.5</v>
      </c>
      <c r="J102" s="72">
        <f>AVERAGE(2.04,3.13)</f>
        <v>2.585</v>
      </c>
      <c r="K102" s="69">
        <f>-I102*1000/E102</f>
        <v>14239.347536617843</v>
      </c>
      <c r="L102" s="69">
        <f>IF(ISNUMBER(K102),$L$6*K102,0)</f>
        <v>1688269875.222687</v>
      </c>
      <c r="M102" s="71"/>
      <c r="N102" s="453"/>
      <c r="O102" s="454"/>
      <c r="P102" s="348" t="str">
        <f t="shared" si="14"/>
        <v/>
      </c>
      <c r="Q102" s="612" t="str">
        <f t="shared" si="15"/>
        <v/>
      </c>
      <c r="R102" s="348" t="str">
        <f t="shared" si="16"/>
        <v/>
      </c>
      <c r="S102" s="613" t="str">
        <f t="shared" si="17"/>
        <v/>
      </c>
      <c r="T102" s="613">
        <f t="shared" si="19"/>
        <v>1688269875.222687</v>
      </c>
      <c r="U102" s="614" t="str">
        <f t="shared" si="20"/>
        <v/>
      </c>
    </row>
    <row r="103" spans="2:21" ht="15" customHeight="1">
      <c r="B103" s="690">
        <v>1092</v>
      </c>
      <c r="C103" s="71" t="s">
        <v>776</v>
      </c>
      <c r="D103" s="19" t="s">
        <v>777</v>
      </c>
      <c r="E103" s="70">
        <v>815.08249999999998</v>
      </c>
      <c r="F103" s="69">
        <v>4.0600000000000001E-7</v>
      </c>
      <c r="G103" s="69">
        <f t="shared" si="11"/>
        <v>3.3092349499999998E-4</v>
      </c>
      <c r="H103" s="69">
        <f t="shared" si="12"/>
        <v>6.3011199999999997E-5</v>
      </c>
      <c r="I103" s="72">
        <v>-10925.8</v>
      </c>
      <c r="J103" s="72">
        <v>92.07</v>
      </c>
      <c r="K103" s="69">
        <f t="shared" si="18"/>
        <v>13404.532670005798</v>
      </c>
      <c r="L103" s="69">
        <f t="shared" si="13"/>
        <v>1589291127.2804253</v>
      </c>
      <c r="M103" s="71"/>
      <c r="N103" s="453"/>
      <c r="O103" s="454"/>
      <c r="P103" s="348" t="str">
        <f t="shared" si="14"/>
        <v/>
      </c>
      <c r="Q103" s="612" t="str">
        <f t="shared" si="15"/>
        <v/>
      </c>
      <c r="R103" s="348" t="str">
        <f t="shared" si="16"/>
        <v/>
      </c>
      <c r="S103" s="613" t="str">
        <f t="shared" si="17"/>
        <v/>
      </c>
      <c r="T103" s="613">
        <f t="shared" si="19"/>
        <v>1589291127.2804253</v>
      </c>
      <c r="U103" s="614" t="str">
        <f t="shared" si="20"/>
        <v/>
      </c>
    </row>
    <row r="104" spans="2:21" ht="15" customHeight="1">
      <c r="B104" s="690">
        <v>1093</v>
      </c>
      <c r="C104" s="71" t="s">
        <v>774</v>
      </c>
      <c r="D104" s="19" t="s">
        <v>775</v>
      </c>
      <c r="E104" s="70">
        <v>209.94130000000001</v>
      </c>
      <c r="F104" s="69">
        <v>2.3600000000000001E-9</v>
      </c>
      <c r="G104" s="69">
        <f t="shared" si="11"/>
        <v>4.9546146800000005E-7</v>
      </c>
      <c r="H104" s="69">
        <f t="shared" si="12"/>
        <v>3.6627200000000001E-7</v>
      </c>
      <c r="I104" s="72">
        <v>-3144.7</v>
      </c>
      <c r="J104" s="72">
        <v>104.05</v>
      </c>
      <c r="K104" s="69">
        <f t="shared" si="18"/>
        <v>14978.948877614837</v>
      </c>
      <c r="L104" s="69">
        <f t="shared" si="13"/>
        <v>1775959754.3037694</v>
      </c>
      <c r="M104" s="71"/>
      <c r="N104" s="453"/>
      <c r="O104" s="454"/>
      <c r="P104" s="348" t="str">
        <f t="shared" si="14"/>
        <v/>
      </c>
      <c r="Q104" s="612" t="str">
        <f t="shared" si="15"/>
        <v/>
      </c>
      <c r="R104" s="348" t="str">
        <f t="shared" si="16"/>
        <v/>
      </c>
      <c r="S104" s="613" t="str">
        <f t="shared" si="17"/>
        <v/>
      </c>
      <c r="T104" s="613">
        <f t="shared" si="19"/>
        <v>1775959754.3037694</v>
      </c>
      <c r="U104" s="614" t="str">
        <f t="shared" si="20"/>
        <v/>
      </c>
    </row>
    <row r="105" spans="2:21" ht="15" customHeight="1">
      <c r="B105" s="690">
        <v>1094</v>
      </c>
      <c r="C105" s="71" t="s">
        <v>773</v>
      </c>
      <c r="D105" s="19" t="s">
        <v>1015</v>
      </c>
      <c r="E105" s="73">
        <v>734.59</v>
      </c>
      <c r="F105" s="69">
        <v>3.0899999999999999E-8</v>
      </c>
      <c r="G105" s="69">
        <f t="shared" si="11"/>
        <v>2.2698831000000002E-5</v>
      </c>
      <c r="H105" s="69">
        <f t="shared" si="12"/>
        <v>4.7956799999999991E-6</v>
      </c>
      <c r="I105" s="72">
        <v>-3432.2</v>
      </c>
      <c r="J105" s="72">
        <v>3504.24</v>
      </c>
      <c r="K105" s="69">
        <f t="shared" si="18"/>
        <v>4672.2661620768049</v>
      </c>
      <c r="L105" s="69">
        <f t="shared" si="13"/>
        <v>553961211.36672342</v>
      </c>
      <c r="M105" s="71"/>
      <c r="N105" s="453"/>
      <c r="O105" s="454"/>
      <c r="P105" s="348" t="str">
        <f t="shared" si="14"/>
        <v/>
      </c>
      <c r="Q105" s="612" t="str">
        <f t="shared" si="15"/>
        <v/>
      </c>
      <c r="R105" s="348" t="str">
        <f t="shared" si="16"/>
        <v/>
      </c>
      <c r="S105" s="613" t="str">
        <f t="shared" si="17"/>
        <v/>
      </c>
      <c r="T105" s="613">
        <f t="shared" si="19"/>
        <v>553961211.36672342</v>
      </c>
      <c r="U105" s="614" t="str">
        <f t="shared" si="20"/>
        <v/>
      </c>
    </row>
    <row r="106" spans="2:21" ht="15" customHeight="1">
      <c r="B106" s="690">
        <v>1095</v>
      </c>
      <c r="C106" s="71" t="s">
        <v>771</v>
      </c>
      <c r="D106" s="19" t="s">
        <v>772</v>
      </c>
      <c r="E106" s="70">
        <v>271.44</v>
      </c>
      <c r="F106" s="69">
        <v>1.33E-8</v>
      </c>
      <c r="G106" s="69">
        <f t="shared" si="11"/>
        <v>3.6101520000000001E-6</v>
      </c>
      <c r="H106" s="69">
        <f t="shared" si="12"/>
        <v>2.0641599999999998E-6</v>
      </c>
      <c r="I106" s="72">
        <v>-302.8</v>
      </c>
      <c r="J106" s="72">
        <v>2405.54</v>
      </c>
      <c r="K106" s="69">
        <f t="shared" si="18"/>
        <v>1115.531977600943</v>
      </c>
      <c r="L106" s="69">
        <f t="shared" si="13"/>
        <v>132261610.14668168</v>
      </c>
      <c r="M106" s="71"/>
      <c r="N106" s="453"/>
      <c r="O106" s="454"/>
      <c r="P106" s="348" t="str">
        <f t="shared" si="14"/>
        <v/>
      </c>
      <c r="Q106" s="612" t="str">
        <f t="shared" si="15"/>
        <v/>
      </c>
      <c r="R106" s="348" t="str">
        <f t="shared" si="16"/>
        <v/>
      </c>
      <c r="S106" s="613" t="str">
        <f t="shared" si="17"/>
        <v/>
      </c>
      <c r="T106" s="613">
        <f t="shared" si="19"/>
        <v>132261610.14668168</v>
      </c>
      <c r="U106" s="614" t="str">
        <f t="shared" si="20"/>
        <v/>
      </c>
    </row>
    <row r="107" spans="2:21" ht="15" customHeight="1">
      <c r="B107" s="690">
        <v>1096</v>
      </c>
      <c r="C107" s="71" t="s">
        <v>770</v>
      </c>
      <c r="D107" s="19" t="s">
        <v>686</v>
      </c>
      <c r="E107" s="70">
        <v>780.82</v>
      </c>
      <c r="F107" s="69">
        <v>3.7299999999999999E-6</v>
      </c>
      <c r="G107" s="69">
        <f t="shared" si="11"/>
        <v>2.9124585999999999E-3</v>
      </c>
      <c r="H107" s="69">
        <f t="shared" si="12"/>
        <v>5.7889599999999997E-4</v>
      </c>
      <c r="I107" s="72">
        <v>-11343</v>
      </c>
      <c r="J107" s="72">
        <v>179.13</v>
      </c>
      <c r="K107" s="69">
        <f t="shared" si="18"/>
        <v>14527.035680438512</v>
      </c>
      <c r="L107" s="69">
        <f t="shared" si="13"/>
        <v>1722379248.9437902</v>
      </c>
      <c r="M107" s="71"/>
      <c r="N107" s="453"/>
      <c r="O107" s="454"/>
      <c r="P107" s="348" t="str">
        <f t="shared" si="14"/>
        <v/>
      </c>
      <c r="Q107" s="612" t="str">
        <f t="shared" si="15"/>
        <v/>
      </c>
      <c r="R107" s="348" t="str">
        <f t="shared" si="16"/>
        <v/>
      </c>
      <c r="S107" s="613" t="str">
        <f t="shared" si="17"/>
        <v/>
      </c>
      <c r="T107" s="613">
        <f t="shared" si="19"/>
        <v>1722379248.9437902</v>
      </c>
      <c r="U107" s="614" t="str">
        <f t="shared" si="20"/>
        <v/>
      </c>
    </row>
    <row r="108" spans="2:21" ht="15" customHeight="1">
      <c r="B108" s="690">
        <v>1097</v>
      </c>
      <c r="C108" s="71" t="s">
        <v>768</v>
      </c>
      <c r="D108" s="19" t="s">
        <v>769</v>
      </c>
      <c r="E108" s="70">
        <v>143.99</v>
      </c>
      <c r="F108" s="69">
        <v>2.5099999999999998E-9</v>
      </c>
      <c r="G108" s="69">
        <f t="shared" si="11"/>
        <v>3.6141489999999999E-7</v>
      </c>
      <c r="H108" s="69">
        <f t="shared" si="12"/>
        <v>3.8955199999999994E-7</v>
      </c>
      <c r="I108" s="72">
        <v>-1787.3</v>
      </c>
      <c r="J108" s="72">
        <v>1.75</v>
      </c>
      <c r="K108" s="69">
        <f t="shared" si="18"/>
        <v>12412.667546357385</v>
      </c>
      <c r="L108" s="69">
        <f t="shared" si="13"/>
        <v>1471691918.1710606</v>
      </c>
      <c r="M108" s="71"/>
      <c r="N108" s="453"/>
      <c r="O108" s="454"/>
      <c r="P108" s="348" t="str">
        <f t="shared" si="14"/>
        <v/>
      </c>
      <c r="Q108" s="612" t="str">
        <f t="shared" si="15"/>
        <v/>
      </c>
      <c r="R108" s="348" t="str">
        <f t="shared" si="16"/>
        <v/>
      </c>
      <c r="S108" s="613" t="str">
        <f t="shared" si="17"/>
        <v/>
      </c>
      <c r="T108" s="613">
        <f t="shared" si="19"/>
        <v>1471691918.1710606</v>
      </c>
      <c r="U108" s="614" t="str">
        <f t="shared" si="20"/>
        <v/>
      </c>
    </row>
    <row r="109" spans="2:21" ht="15" customHeight="1">
      <c r="B109" s="690">
        <v>1098</v>
      </c>
      <c r="C109" s="71" t="s">
        <v>767</v>
      </c>
      <c r="D109" s="19" t="s">
        <v>1016</v>
      </c>
      <c r="E109" s="73">
        <v>480.83</v>
      </c>
      <c r="F109" s="69">
        <v>8.3300000000000003E-12</v>
      </c>
      <c r="G109" s="69">
        <f t="shared" si="11"/>
        <v>4.0053139000000001E-9</v>
      </c>
      <c r="H109" s="69">
        <f t="shared" si="12"/>
        <v>1.2928159999999999E-9</v>
      </c>
      <c r="I109" s="72">
        <v>-2549.9</v>
      </c>
      <c r="J109" s="72">
        <v>-439.84</v>
      </c>
      <c r="K109" s="69">
        <f t="shared" si="18"/>
        <v>5303.1216854189634</v>
      </c>
      <c r="L109" s="69">
        <f t="shared" si="13"/>
        <v>628757782.83444834</v>
      </c>
      <c r="M109" s="71"/>
      <c r="N109" s="453"/>
      <c r="O109" s="454"/>
      <c r="P109" s="348" t="str">
        <f t="shared" si="14"/>
        <v/>
      </c>
      <c r="Q109" s="612" t="str">
        <f t="shared" si="15"/>
        <v/>
      </c>
      <c r="R109" s="348" t="str">
        <f t="shared" si="16"/>
        <v/>
      </c>
      <c r="S109" s="613" t="str">
        <f t="shared" si="17"/>
        <v/>
      </c>
      <c r="T109" s="613">
        <f t="shared" si="19"/>
        <v>628757782.83444834</v>
      </c>
      <c r="U109" s="614" t="str">
        <f t="shared" si="20"/>
        <v/>
      </c>
    </row>
    <row r="110" spans="2:21" ht="15" customHeight="1">
      <c r="B110" s="690">
        <v>1099</v>
      </c>
      <c r="C110" s="71" t="s">
        <v>291</v>
      </c>
      <c r="D110" s="19" t="s">
        <v>289</v>
      </c>
      <c r="E110" s="73">
        <v>59.988</v>
      </c>
      <c r="F110" s="69">
        <v>2.9499999999999999E-5</v>
      </c>
      <c r="G110" s="69">
        <f t="shared" si="11"/>
        <v>1.7696459999999999E-3</v>
      </c>
      <c r="H110" s="69">
        <f t="shared" si="12"/>
        <v>4.5783999999999998E-3</v>
      </c>
      <c r="I110" s="72">
        <v>-917.6</v>
      </c>
      <c r="J110" s="72">
        <v>0.37</v>
      </c>
      <c r="K110" s="69">
        <f t="shared" si="18"/>
        <v>15296.392611855705</v>
      </c>
      <c r="L110" s="69">
        <f t="shared" si="13"/>
        <v>1813597061.2252316</v>
      </c>
      <c r="M110" s="71"/>
      <c r="N110" s="453"/>
      <c r="O110" s="454"/>
      <c r="P110" s="348" t="str">
        <f t="shared" si="14"/>
        <v/>
      </c>
      <c r="Q110" s="612" t="str">
        <f t="shared" si="15"/>
        <v/>
      </c>
      <c r="R110" s="348" t="str">
        <f t="shared" si="16"/>
        <v/>
      </c>
      <c r="S110" s="613" t="str">
        <f t="shared" si="17"/>
        <v/>
      </c>
      <c r="T110" s="613">
        <f t="shared" si="19"/>
        <v>1813597061.2252316</v>
      </c>
      <c r="U110" s="614" t="str">
        <f t="shared" si="20"/>
        <v/>
      </c>
    </row>
    <row r="111" spans="2:21" ht="15" customHeight="1">
      <c r="B111" s="690">
        <v>1100</v>
      </c>
      <c r="C111" s="71" t="s">
        <v>247</v>
      </c>
      <c r="D111" s="19" t="s">
        <v>246</v>
      </c>
      <c r="E111" s="70">
        <v>545.96</v>
      </c>
      <c r="F111" s="69">
        <v>2.76E-9</v>
      </c>
      <c r="G111" s="69">
        <f t="shared" si="11"/>
        <v>1.5068496000000001E-6</v>
      </c>
      <c r="H111" s="69">
        <f t="shared" si="12"/>
        <v>4.2835199999999994E-7</v>
      </c>
      <c r="I111" s="72">
        <v>-2148.1</v>
      </c>
      <c r="J111" s="72">
        <v>93.78</v>
      </c>
      <c r="K111" s="69">
        <f t="shared" si="18"/>
        <v>3934.5373287420321</v>
      </c>
      <c r="L111" s="69">
        <f t="shared" si="13"/>
        <v>466493343.74151164</v>
      </c>
      <c r="M111" s="71"/>
      <c r="N111" s="453"/>
      <c r="O111" s="454"/>
      <c r="P111" s="348" t="str">
        <f t="shared" si="14"/>
        <v/>
      </c>
      <c r="Q111" s="612" t="str">
        <f t="shared" si="15"/>
        <v/>
      </c>
      <c r="R111" s="348" t="str">
        <f t="shared" si="16"/>
        <v/>
      </c>
      <c r="S111" s="613" t="str">
        <f t="shared" si="17"/>
        <v/>
      </c>
      <c r="T111" s="613">
        <f t="shared" si="19"/>
        <v>466493343.74151164</v>
      </c>
      <c r="U111" s="614" t="str">
        <f t="shared" si="20"/>
        <v/>
      </c>
    </row>
    <row r="112" spans="2:21" ht="15" customHeight="1">
      <c r="B112" s="690">
        <v>1101</v>
      </c>
      <c r="C112" s="71" t="s">
        <v>765</v>
      </c>
      <c r="D112" s="19" t="s">
        <v>766</v>
      </c>
      <c r="E112" s="70">
        <v>216.55</v>
      </c>
      <c r="F112" s="69">
        <v>1.4E-5</v>
      </c>
      <c r="G112" s="69">
        <f t="shared" si="11"/>
        <v>3.0317E-3</v>
      </c>
      <c r="H112" s="69">
        <f t="shared" si="12"/>
        <v>2.1727999999999999E-3</v>
      </c>
      <c r="I112" s="72">
        <v>-3026.3</v>
      </c>
      <c r="J112" s="72">
        <f>AVERAGE(49.64,47.12)</f>
        <v>48.379999999999995</v>
      </c>
      <c r="K112" s="69">
        <f t="shared" si="18"/>
        <v>13975.063495728469</v>
      </c>
      <c r="L112" s="69">
        <f t="shared" si="13"/>
        <v>1656935378.7797673</v>
      </c>
      <c r="M112" s="71"/>
      <c r="N112" s="453"/>
      <c r="O112" s="454"/>
      <c r="P112" s="348" t="str">
        <f t="shared" si="14"/>
        <v/>
      </c>
      <c r="Q112" s="612" t="str">
        <f t="shared" si="15"/>
        <v/>
      </c>
      <c r="R112" s="348" t="str">
        <f t="shared" si="16"/>
        <v/>
      </c>
      <c r="S112" s="613" t="str">
        <f t="shared" si="17"/>
        <v/>
      </c>
      <c r="T112" s="613">
        <f t="shared" si="19"/>
        <v>1656935378.7797673</v>
      </c>
      <c r="U112" s="614" t="str">
        <f t="shared" si="20"/>
        <v/>
      </c>
    </row>
    <row r="113" spans="2:21" ht="15" customHeight="1">
      <c r="B113" s="690">
        <v>1102</v>
      </c>
      <c r="C113" s="71" t="s">
        <v>764</v>
      </c>
      <c r="D113" s="19" t="s">
        <v>583</v>
      </c>
      <c r="E113" s="70">
        <v>162.05000000000001</v>
      </c>
      <c r="F113" s="69">
        <v>4.3699999999999997E-6</v>
      </c>
      <c r="G113" s="69">
        <f t="shared" si="11"/>
        <v>7.0815850000000003E-4</v>
      </c>
      <c r="H113" s="69">
        <f t="shared" si="12"/>
        <v>6.7822399999999995E-4</v>
      </c>
      <c r="I113" s="72">
        <v>-2442</v>
      </c>
      <c r="J113" s="72">
        <v>14.22</v>
      </c>
      <c r="K113" s="69">
        <f t="shared" si="18"/>
        <v>15069.423017587163</v>
      </c>
      <c r="L113" s="69">
        <f t="shared" si="13"/>
        <v>1786686704.0189273</v>
      </c>
      <c r="M113" s="71"/>
      <c r="N113" s="453"/>
      <c r="O113" s="454"/>
      <c r="P113" s="348" t="str">
        <f t="shared" si="14"/>
        <v/>
      </c>
      <c r="Q113" s="612" t="str">
        <f t="shared" si="15"/>
        <v/>
      </c>
      <c r="R113" s="348" t="str">
        <f t="shared" si="16"/>
        <v/>
      </c>
      <c r="S113" s="613" t="str">
        <f t="shared" si="17"/>
        <v/>
      </c>
      <c r="T113" s="613">
        <f t="shared" si="19"/>
        <v>1786686704.0189273</v>
      </c>
      <c r="U113" s="614" t="str">
        <f t="shared" si="20"/>
        <v/>
      </c>
    </row>
    <row r="114" spans="2:21" ht="15" customHeight="1">
      <c r="B114" s="690">
        <v>1103</v>
      </c>
      <c r="C114" s="71" t="s">
        <v>154</v>
      </c>
      <c r="D114" s="19" t="s">
        <v>155</v>
      </c>
      <c r="E114" s="70">
        <v>184.4</v>
      </c>
      <c r="F114" s="69">
        <v>7.6299999999999998E-6</v>
      </c>
      <c r="G114" s="69">
        <f t="shared" si="11"/>
        <v>1.406972E-3</v>
      </c>
      <c r="H114" s="69">
        <f t="shared" si="12"/>
        <v>1.1841759999999999E-3</v>
      </c>
      <c r="I114" s="72">
        <v>-2167.9</v>
      </c>
      <c r="J114" s="72">
        <f>AVERAGE(24.84,28.19,39.91)</f>
        <v>30.98</v>
      </c>
      <c r="K114" s="69">
        <f t="shared" si="18"/>
        <v>11756.507592190888</v>
      </c>
      <c r="L114" s="69">
        <f t="shared" si="13"/>
        <v>1393895159.499496</v>
      </c>
      <c r="M114" s="71"/>
      <c r="N114" s="453"/>
      <c r="O114" s="454"/>
      <c r="P114" s="348" t="str">
        <f t="shared" si="14"/>
        <v/>
      </c>
      <c r="Q114" s="612" t="str">
        <f t="shared" si="15"/>
        <v/>
      </c>
      <c r="R114" s="348" t="str">
        <f t="shared" si="16"/>
        <v/>
      </c>
      <c r="S114" s="613" t="str">
        <f t="shared" si="17"/>
        <v/>
      </c>
      <c r="T114" s="613">
        <f t="shared" si="19"/>
        <v>1393895159.499496</v>
      </c>
      <c r="U114" s="614" t="str">
        <f t="shared" si="20"/>
        <v/>
      </c>
    </row>
    <row r="115" spans="2:21" ht="15" customHeight="1">
      <c r="B115" s="690">
        <v>1104</v>
      </c>
      <c r="C115" s="71" t="s">
        <v>763</v>
      </c>
      <c r="D115" s="19" t="s">
        <v>1017</v>
      </c>
      <c r="E115" s="73">
        <v>569.73</v>
      </c>
      <c r="F115" s="69">
        <v>1.3299999999999999E-13</v>
      </c>
      <c r="G115" s="69">
        <f t="shared" si="11"/>
        <v>7.5774089999999996E-11</v>
      </c>
      <c r="H115" s="69">
        <f t="shared" si="12"/>
        <v>2.0641599999999996E-11</v>
      </c>
      <c r="I115" s="72">
        <v>-8568</v>
      </c>
      <c r="J115" s="72">
        <v>120.84</v>
      </c>
      <c r="K115" s="69">
        <f t="shared" si="18"/>
        <v>15038.702543309988</v>
      </c>
      <c r="L115" s="69">
        <f t="shared" si="13"/>
        <v>1783044370.6085422</v>
      </c>
      <c r="M115" s="71"/>
      <c r="N115" s="453"/>
      <c r="O115" s="454"/>
      <c r="P115" s="348" t="str">
        <f t="shared" si="14"/>
        <v/>
      </c>
      <c r="Q115" s="612" t="str">
        <f t="shared" si="15"/>
        <v/>
      </c>
      <c r="R115" s="348" t="str">
        <f t="shared" si="16"/>
        <v/>
      </c>
      <c r="S115" s="613" t="str">
        <f t="shared" si="17"/>
        <v/>
      </c>
      <c r="T115" s="613">
        <f t="shared" si="19"/>
        <v>1783044370.6085422</v>
      </c>
      <c r="U115" s="614" t="str">
        <f t="shared" si="20"/>
        <v/>
      </c>
    </row>
    <row r="116" spans="2:21" ht="15" customHeight="1">
      <c r="B116" s="690">
        <v>1105</v>
      </c>
      <c r="C116" s="71" t="s">
        <v>210</v>
      </c>
      <c r="D116" s="19" t="s">
        <v>762</v>
      </c>
      <c r="E116" s="70">
        <v>200.78</v>
      </c>
      <c r="F116" s="69">
        <v>1.39E-6</v>
      </c>
      <c r="G116" s="69">
        <f t="shared" si="11"/>
        <v>2.7908419999999999E-4</v>
      </c>
      <c r="H116" s="69">
        <f t="shared" si="12"/>
        <v>2.1572799999999999E-4</v>
      </c>
      <c r="I116" s="72">
        <v>-2919.9</v>
      </c>
      <c r="J116" s="72">
        <v>29.49</v>
      </c>
      <c r="K116" s="69">
        <f t="shared" si="18"/>
        <v>14542.783145731646</v>
      </c>
      <c r="L116" s="69">
        <f t="shared" si="13"/>
        <v>1724246326.8556919</v>
      </c>
      <c r="M116" s="71"/>
      <c r="N116" s="453"/>
      <c r="O116" s="454"/>
      <c r="P116" s="348" t="str">
        <f t="shared" si="14"/>
        <v/>
      </c>
      <c r="Q116" s="612" t="str">
        <f t="shared" si="15"/>
        <v/>
      </c>
      <c r="R116" s="348" t="str">
        <f t="shared" si="16"/>
        <v/>
      </c>
      <c r="S116" s="613" t="str">
        <f t="shared" si="17"/>
        <v/>
      </c>
      <c r="T116" s="613">
        <f t="shared" si="19"/>
        <v>1724246326.8556919</v>
      </c>
      <c r="U116" s="614" t="str">
        <f t="shared" si="20"/>
        <v/>
      </c>
    </row>
    <row r="117" spans="2:21" ht="15" customHeight="1">
      <c r="B117" s="690">
        <v>1106</v>
      </c>
      <c r="C117" s="71" t="s">
        <v>760</v>
      </c>
      <c r="D117" s="19" t="s">
        <v>761</v>
      </c>
      <c r="E117" s="70">
        <v>483.21249999999998</v>
      </c>
      <c r="F117" s="69">
        <v>1.8700000000000001E-5</v>
      </c>
      <c r="G117" s="69">
        <f t="shared" si="11"/>
        <v>9.03607375E-3</v>
      </c>
      <c r="H117" s="69">
        <f t="shared" si="12"/>
        <v>2.9022399999999999E-3</v>
      </c>
      <c r="I117" s="72">
        <v>-6076.3</v>
      </c>
      <c r="J117" s="72">
        <f>AVERAGE(90.7,61.85)</f>
        <v>76.275000000000006</v>
      </c>
      <c r="K117" s="69">
        <f t="shared" si="18"/>
        <v>12574.798872131827</v>
      </c>
      <c r="L117" s="69">
        <f t="shared" si="13"/>
        <v>1490914809.699693</v>
      </c>
      <c r="M117" s="71"/>
      <c r="N117" s="453"/>
      <c r="O117" s="454"/>
      <c r="P117" s="348" t="str">
        <f t="shared" si="14"/>
        <v/>
      </c>
      <c r="Q117" s="612" t="str">
        <f t="shared" si="15"/>
        <v/>
      </c>
      <c r="R117" s="348" t="str">
        <f t="shared" si="16"/>
        <v/>
      </c>
      <c r="S117" s="613" t="str">
        <f t="shared" si="17"/>
        <v/>
      </c>
      <c r="T117" s="613">
        <f t="shared" si="19"/>
        <v>1490914809.699693</v>
      </c>
      <c r="U117" s="614" t="str">
        <f t="shared" si="20"/>
        <v/>
      </c>
    </row>
    <row r="118" spans="2:21" ht="15" customHeight="1">
      <c r="B118" s="690">
        <v>1107</v>
      </c>
      <c r="C118" s="71" t="s">
        <v>759</v>
      </c>
      <c r="D118" s="19" t="s">
        <v>1018</v>
      </c>
      <c r="E118" s="70">
        <v>974.31200000000001</v>
      </c>
      <c r="F118" s="69">
        <v>4.3000000000000001E-10</v>
      </c>
      <c r="G118" s="69">
        <f t="shared" si="11"/>
        <v>4.1895416000000003E-7</v>
      </c>
      <c r="H118" s="69">
        <f t="shared" si="12"/>
        <v>6.6735999999999996E-8</v>
      </c>
      <c r="I118" s="72">
        <v>-11062.9</v>
      </c>
      <c r="J118" s="72">
        <v>553.83000000000004</v>
      </c>
      <c r="K118" s="69">
        <f t="shared" si="18"/>
        <v>11354.576357470707</v>
      </c>
      <c r="L118" s="69">
        <f t="shared" si="13"/>
        <v>1346240701.0529881</v>
      </c>
      <c r="M118" s="71"/>
      <c r="N118" s="453"/>
      <c r="O118" s="454"/>
      <c r="P118" s="348" t="str">
        <f t="shared" si="14"/>
        <v/>
      </c>
      <c r="Q118" s="612" t="str">
        <f t="shared" si="15"/>
        <v/>
      </c>
      <c r="R118" s="348" t="str">
        <f t="shared" si="16"/>
        <v/>
      </c>
      <c r="S118" s="613" t="str">
        <f t="shared" si="17"/>
        <v/>
      </c>
      <c r="T118" s="613">
        <f t="shared" si="19"/>
        <v>1346240701.0529881</v>
      </c>
      <c r="U118" s="614" t="str">
        <f t="shared" si="20"/>
        <v/>
      </c>
    </row>
    <row r="119" spans="2:21" ht="15" customHeight="1">
      <c r="B119" s="690">
        <v>1108</v>
      </c>
      <c r="C119" s="71" t="s">
        <v>758</v>
      </c>
      <c r="D119" s="19" t="s">
        <v>1019</v>
      </c>
      <c r="E119" s="70">
        <v>388.68900000000002</v>
      </c>
      <c r="F119" s="69">
        <v>1.02E-8</v>
      </c>
      <c r="G119" s="69">
        <f t="shared" si="11"/>
        <v>3.9646278000000002E-6</v>
      </c>
      <c r="H119" s="69">
        <f t="shared" si="12"/>
        <v>1.58304E-6</v>
      </c>
      <c r="I119" s="72">
        <v>-2506.3000000000002</v>
      </c>
      <c r="J119" s="72">
        <v>138.5</v>
      </c>
      <c r="K119" s="69">
        <f t="shared" si="18"/>
        <v>6448.0857446441751</v>
      </c>
      <c r="L119" s="69">
        <f t="shared" si="13"/>
        <v>764508969.77835107</v>
      </c>
      <c r="M119" s="71"/>
      <c r="N119" s="453"/>
      <c r="O119" s="454"/>
      <c r="P119" s="348" t="str">
        <f t="shared" si="14"/>
        <v/>
      </c>
      <c r="Q119" s="612" t="str">
        <f t="shared" si="15"/>
        <v/>
      </c>
      <c r="R119" s="348" t="str">
        <f t="shared" si="16"/>
        <v/>
      </c>
      <c r="S119" s="613" t="str">
        <f t="shared" si="17"/>
        <v/>
      </c>
      <c r="T119" s="613">
        <f t="shared" si="19"/>
        <v>764508969.77835107</v>
      </c>
      <c r="U119" s="614" t="str">
        <f t="shared" si="20"/>
        <v/>
      </c>
    </row>
    <row r="120" spans="2:21" ht="15" customHeight="1">
      <c r="B120" s="690">
        <v>1109</v>
      </c>
      <c r="C120" s="71" t="s">
        <v>756</v>
      </c>
      <c r="D120" s="19" t="s">
        <v>757</v>
      </c>
      <c r="E120" s="73">
        <v>203.78</v>
      </c>
      <c r="F120" s="69">
        <v>2.34E-7</v>
      </c>
      <c r="G120" s="69">
        <f t="shared" si="11"/>
        <v>4.7684520000000002E-5</v>
      </c>
      <c r="H120" s="69">
        <f t="shared" si="12"/>
        <v>3.6316799999999998E-5</v>
      </c>
      <c r="I120" s="72">
        <v>-1369.2</v>
      </c>
      <c r="J120" s="72">
        <f>AVERAGE(236.05,277.08)</f>
        <v>256.565</v>
      </c>
      <c r="K120" s="69">
        <f t="shared" si="18"/>
        <v>6719.0106978113654</v>
      </c>
      <c r="L120" s="69">
        <f t="shared" si="13"/>
        <v>796630837.42025328</v>
      </c>
      <c r="M120" s="71"/>
      <c r="N120" s="453"/>
      <c r="O120" s="454"/>
      <c r="P120" s="348" t="str">
        <f t="shared" si="14"/>
        <v/>
      </c>
      <c r="Q120" s="612" t="str">
        <f t="shared" si="15"/>
        <v/>
      </c>
      <c r="R120" s="348" t="str">
        <f t="shared" si="16"/>
        <v/>
      </c>
      <c r="S120" s="613" t="str">
        <f t="shared" si="17"/>
        <v/>
      </c>
      <c r="T120" s="613">
        <f t="shared" si="19"/>
        <v>796630837.42025328</v>
      </c>
      <c r="U120" s="614" t="str">
        <f t="shared" si="20"/>
        <v/>
      </c>
    </row>
    <row r="121" spans="2:21" ht="15" customHeight="1">
      <c r="B121" s="690">
        <v>1110</v>
      </c>
      <c r="C121" s="71" t="s">
        <v>755</v>
      </c>
      <c r="D121" s="19" t="s">
        <v>1020</v>
      </c>
      <c r="E121" s="70">
        <v>294.58100000000002</v>
      </c>
      <c r="F121" s="69">
        <v>8.0799999999999995E-11</v>
      </c>
      <c r="G121" s="69">
        <f t="shared" si="11"/>
        <v>2.38021448E-8</v>
      </c>
      <c r="H121" s="69">
        <f t="shared" si="12"/>
        <v>1.2540159999999998E-8</v>
      </c>
      <c r="I121" s="72">
        <v>-2631.2</v>
      </c>
      <c r="J121" s="72">
        <v>-717.15</v>
      </c>
      <c r="K121" s="69">
        <f t="shared" si="18"/>
        <v>8932.0085137873793</v>
      </c>
      <c r="L121" s="69">
        <f t="shared" si="13"/>
        <v>1059012069.2174314</v>
      </c>
      <c r="M121" s="71"/>
      <c r="N121" s="453"/>
      <c r="O121" s="454"/>
      <c r="P121" s="348" t="str">
        <f t="shared" si="14"/>
        <v/>
      </c>
      <c r="Q121" s="612" t="str">
        <f t="shared" si="15"/>
        <v/>
      </c>
      <c r="R121" s="348" t="str">
        <f t="shared" si="16"/>
        <v/>
      </c>
      <c r="S121" s="613" t="str">
        <f t="shared" si="17"/>
        <v/>
      </c>
      <c r="T121" s="613">
        <f t="shared" si="19"/>
        <v>1059012069.2174314</v>
      </c>
      <c r="U121" s="614" t="str">
        <f t="shared" si="20"/>
        <v/>
      </c>
    </row>
    <row r="122" spans="2:21" ht="15" customHeight="1">
      <c r="B122" s="690">
        <v>1111</v>
      </c>
      <c r="C122" s="71" t="s">
        <v>753</v>
      </c>
      <c r="D122" s="19" t="s">
        <v>754</v>
      </c>
      <c r="E122" s="73">
        <v>337.66</v>
      </c>
      <c r="F122" s="69">
        <v>2.4E-8</v>
      </c>
      <c r="G122" s="69">
        <f t="shared" si="11"/>
        <v>8.1038400000000013E-6</v>
      </c>
      <c r="H122" s="69">
        <f t="shared" si="12"/>
        <v>3.7247999999999999E-6</v>
      </c>
      <c r="I122" s="72">
        <v>-2018.6</v>
      </c>
      <c r="J122" s="72">
        <v>547.87</v>
      </c>
      <c r="K122" s="69">
        <f t="shared" si="18"/>
        <v>5978.2029260202562</v>
      </c>
      <c r="L122" s="69">
        <f t="shared" si="13"/>
        <v>708797919.42808259</v>
      </c>
      <c r="M122" s="71"/>
      <c r="N122" s="453"/>
      <c r="O122" s="454"/>
      <c r="P122" s="348" t="str">
        <f t="shared" si="14"/>
        <v/>
      </c>
      <c r="Q122" s="612" t="str">
        <f t="shared" si="15"/>
        <v/>
      </c>
      <c r="R122" s="348" t="str">
        <f t="shared" si="16"/>
        <v/>
      </c>
      <c r="S122" s="613" t="str">
        <f t="shared" si="17"/>
        <v/>
      </c>
      <c r="T122" s="613">
        <f t="shared" si="19"/>
        <v>708797919.42808259</v>
      </c>
      <c r="U122" s="614" t="str">
        <f t="shared" si="20"/>
        <v/>
      </c>
    </row>
    <row r="123" spans="2:21" ht="15" customHeight="1">
      <c r="B123" s="690">
        <v>1112</v>
      </c>
      <c r="C123" s="71" t="s">
        <v>212</v>
      </c>
      <c r="D123" s="19" t="s">
        <v>752</v>
      </c>
      <c r="E123" s="73">
        <v>232.32</v>
      </c>
      <c r="F123" s="69">
        <v>2.3199999999999998E-6</v>
      </c>
      <c r="G123" s="69">
        <f t="shared" si="11"/>
        <v>5.3898239999999994E-4</v>
      </c>
      <c r="H123" s="69">
        <f t="shared" si="12"/>
        <v>3.6006399999999995E-4</v>
      </c>
      <c r="I123" s="72">
        <v>-2594.6</v>
      </c>
      <c r="J123" s="72">
        <f>AVERAGE(118.5,161.46)</f>
        <v>139.98000000000002</v>
      </c>
      <c r="K123" s="69">
        <f t="shared" si="18"/>
        <v>11168.216253443527</v>
      </c>
      <c r="L123" s="69">
        <f t="shared" si="13"/>
        <v>1324145155.680325</v>
      </c>
      <c r="M123" s="71"/>
      <c r="N123" s="453"/>
      <c r="O123" s="454"/>
      <c r="P123" s="348" t="str">
        <f t="shared" si="14"/>
        <v/>
      </c>
      <c r="Q123" s="612" t="str">
        <f t="shared" si="15"/>
        <v/>
      </c>
      <c r="R123" s="348" t="str">
        <f t="shared" si="16"/>
        <v/>
      </c>
      <c r="S123" s="613" t="str">
        <f t="shared" si="17"/>
        <v/>
      </c>
      <c r="T123" s="613">
        <f t="shared" si="19"/>
        <v>1324145155.680325</v>
      </c>
      <c r="U123" s="614" t="str">
        <f t="shared" si="20"/>
        <v/>
      </c>
    </row>
    <row r="124" spans="2:21" ht="15" customHeight="1">
      <c r="B124" s="690">
        <v>1113</v>
      </c>
      <c r="C124" s="71" t="s">
        <v>750</v>
      </c>
      <c r="D124" s="19" t="s">
        <v>751</v>
      </c>
      <c r="E124" s="73">
        <v>513.74</v>
      </c>
      <c r="F124" s="69">
        <v>3.0700000000000003E-10</v>
      </c>
      <c r="G124" s="69">
        <f t="shared" si="11"/>
        <v>1.5771818000000003E-7</v>
      </c>
      <c r="H124" s="69">
        <f t="shared" si="12"/>
        <v>4.7646400000000004E-8</v>
      </c>
      <c r="I124" s="72">
        <v>-2163.9</v>
      </c>
      <c r="J124" s="72">
        <v>551.61</v>
      </c>
      <c r="K124" s="69">
        <f t="shared" si="18"/>
        <v>4212.0527893486978</v>
      </c>
      <c r="L124" s="69">
        <f t="shared" si="13"/>
        <v>499396606.39774895</v>
      </c>
      <c r="M124" s="71" t="s">
        <v>141</v>
      </c>
      <c r="N124" s="453">
        <f>2*'Crust Element Composition'!E68/'Singular Minerals'!E124</f>
        <v>0.70443376026783977</v>
      </c>
      <c r="O124" s="472">
        <f>'EmCF Library'!Z96/N124</f>
        <v>2.2713278241969096E-6</v>
      </c>
      <c r="P124" s="348">
        <f t="shared" si="14"/>
        <v>6.8616436001744135E-7</v>
      </c>
      <c r="Q124" s="612">
        <f t="shared" si="15"/>
        <v>12.869893832553073</v>
      </c>
      <c r="R124" s="348">
        <f t="shared" si="16"/>
        <v>17618804894.311142</v>
      </c>
      <c r="S124" s="613">
        <f t="shared" si="17"/>
        <v>710996854.57450724</v>
      </c>
      <c r="T124" s="613">
        <f t="shared" si="19"/>
        <v>710996854.57450724</v>
      </c>
      <c r="U124" s="614">
        <f t="shared" si="20"/>
        <v>1009316836.6947263</v>
      </c>
    </row>
    <row r="125" spans="2:21" ht="15" customHeight="1">
      <c r="B125" s="690">
        <v>1114</v>
      </c>
      <c r="C125" s="71" t="s">
        <v>749</v>
      </c>
      <c r="D125" s="19" t="s">
        <v>98</v>
      </c>
      <c r="E125" s="70">
        <v>78.075199999999995</v>
      </c>
      <c r="F125" s="69">
        <v>1.4399999999999999E-7</v>
      </c>
      <c r="G125" s="69">
        <f t="shared" si="11"/>
        <v>1.1242828799999998E-5</v>
      </c>
      <c r="H125" s="69">
        <f t="shared" si="12"/>
        <v>2.2348799999999999E-5</v>
      </c>
      <c r="I125" s="72">
        <v>-1168.0999999999999</v>
      </c>
      <c r="J125" s="72">
        <f>AVERAGE(44.82,50.27)</f>
        <v>47.545000000000002</v>
      </c>
      <c r="K125" s="69">
        <f t="shared" si="18"/>
        <v>14961.216878086769</v>
      </c>
      <c r="L125" s="69">
        <f t="shared" si="13"/>
        <v>1773857382.6498916</v>
      </c>
      <c r="M125" s="71"/>
      <c r="N125" s="453"/>
      <c r="O125" s="454">
        <f>'EmCF Library'!Z46</f>
        <v>0.92</v>
      </c>
      <c r="P125" s="348">
        <f t="shared" si="14"/>
        <v>1.8288009508781278</v>
      </c>
      <c r="Q125" s="612">
        <f t="shared" si="15"/>
        <v>359.1587261825382</v>
      </c>
      <c r="R125" s="348">
        <f t="shared" si="16"/>
        <v>35049493411908.352</v>
      </c>
      <c r="S125" s="613">
        <f t="shared" si="17"/>
        <v>19841711822.273365</v>
      </c>
      <c r="T125" s="613">
        <f t="shared" si="19"/>
        <v>19841711822.273365</v>
      </c>
      <c r="U125" s="614" t="str">
        <f t="shared" si="20"/>
        <v/>
      </c>
    </row>
    <row r="126" spans="2:21" ht="15" customHeight="1">
      <c r="B126" s="690">
        <v>1115</v>
      </c>
      <c r="C126" s="71" t="s">
        <v>747</v>
      </c>
      <c r="D126" s="19" t="s">
        <v>748</v>
      </c>
      <c r="E126" s="70">
        <v>140.69</v>
      </c>
      <c r="F126" s="69">
        <v>4.9500000000000003E-7</v>
      </c>
      <c r="G126" s="69">
        <f t="shared" si="11"/>
        <v>6.9641550000000004E-5</v>
      </c>
      <c r="H126" s="69">
        <f t="shared" si="12"/>
        <v>7.6823999999999995E-5</v>
      </c>
      <c r="I126" s="72">
        <v>-2057.8000000000002</v>
      </c>
      <c r="J126" s="72">
        <f>AVERAGE(62.97,63.81)</f>
        <v>63.39</v>
      </c>
      <c r="K126" s="69">
        <f t="shared" si="18"/>
        <v>14626.48375861824</v>
      </c>
      <c r="L126" s="69">
        <f t="shared" si="13"/>
        <v>1734170182.0682094</v>
      </c>
      <c r="M126" s="71"/>
      <c r="N126" s="453"/>
      <c r="O126" s="454"/>
      <c r="P126" s="348" t="str">
        <f t="shared" si="14"/>
        <v/>
      </c>
      <c r="Q126" s="612" t="str">
        <f t="shared" si="15"/>
        <v/>
      </c>
      <c r="R126" s="348" t="str">
        <f t="shared" si="16"/>
        <v/>
      </c>
      <c r="S126" s="613" t="str">
        <f t="shared" si="17"/>
        <v/>
      </c>
      <c r="T126" s="613">
        <f t="shared" si="19"/>
        <v>1734170182.0682094</v>
      </c>
      <c r="U126" s="614" t="str">
        <f t="shared" si="20"/>
        <v/>
      </c>
    </row>
    <row r="127" spans="2:21" ht="15" customHeight="1">
      <c r="B127" s="690">
        <v>1116</v>
      </c>
      <c r="C127" s="71" t="s">
        <v>746</v>
      </c>
      <c r="D127" s="19" t="s">
        <v>1021</v>
      </c>
      <c r="E127" s="70">
        <v>501.2561</v>
      </c>
      <c r="F127" s="69">
        <v>8.6799999999999996E-8</v>
      </c>
      <c r="G127" s="69">
        <f t="shared" si="11"/>
        <v>4.3509029479999997E-5</v>
      </c>
      <c r="H127" s="69">
        <f t="shared" si="12"/>
        <v>1.3471359999999998E-5</v>
      </c>
      <c r="I127" s="72">
        <v>-5698.1</v>
      </c>
      <c r="J127" s="72">
        <v>720.72</v>
      </c>
      <c r="K127" s="69">
        <f t="shared" si="18"/>
        <v>11367.642209241942</v>
      </c>
      <c r="L127" s="69">
        <f t="shared" si="13"/>
        <v>1347789836.9163253</v>
      </c>
      <c r="M127" s="71"/>
      <c r="N127" s="453"/>
      <c r="O127" s="454"/>
      <c r="P127" s="348" t="str">
        <f t="shared" si="14"/>
        <v/>
      </c>
      <c r="Q127" s="612" t="str">
        <f t="shared" si="15"/>
        <v/>
      </c>
      <c r="R127" s="348" t="str">
        <f t="shared" si="16"/>
        <v/>
      </c>
      <c r="S127" s="613" t="str">
        <f t="shared" si="17"/>
        <v/>
      </c>
      <c r="T127" s="613">
        <f t="shared" si="19"/>
        <v>1347789836.9163253</v>
      </c>
      <c r="U127" s="614" t="str">
        <f t="shared" si="20"/>
        <v/>
      </c>
    </row>
    <row r="128" spans="2:21" ht="15" customHeight="1">
      <c r="B128" s="690">
        <v>1117</v>
      </c>
      <c r="C128" s="71" t="s">
        <v>744</v>
      </c>
      <c r="D128" s="19" t="s">
        <v>745</v>
      </c>
      <c r="E128" s="70">
        <v>1929.46</v>
      </c>
      <c r="F128" s="69">
        <v>3.5199999999999999E-12</v>
      </c>
      <c r="G128" s="69">
        <f t="shared" si="11"/>
        <v>6.7916991999999998E-9</v>
      </c>
      <c r="H128" s="69">
        <f t="shared" si="12"/>
        <v>5.46304E-10</v>
      </c>
      <c r="I128" s="72">
        <v>-727.5</v>
      </c>
      <c r="J128" s="72">
        <v>10410.629999999999</v>
      </c>
      <c r="K128" s="69">
        <f t="shared" si="18"/>
        <v>377.04850061675285</v>
      </c>
      <c r="L128" s="69">
        <f t="shared" si="13"/>
        <v>44704269.170492023</v>
      </c>
      <c r="M128" s="71"/>
      <c r="N128" s="453"/>
      <c r="O128" s="454"/>
      <c r="P128" s="348" t="str">
        <f t="shared" si="14"/>
        <v/>
      </c>
      <c r="Q128" s="612" t="str">
        <f t="shared" si="15"/>
        <v/>
      </c>
      <c r="R128" s="348" t="str">
        <f t="shared" si="16"/>
        <v/>
      </c>
      <c r="S128" s="613" t="str">
        <f t="shared" si="17"/>
        <v/>
      </c>
      <c r="T128" s="613">
        <f t="shared" si="19"/>
        <v>44704269.170492023</v>
      </c>
      <c r="U128" s="614" t="str">
        <f t="shared" si="20"/>
        <v/>
      </c>
    </row>
    <row r="129" spans="2:21" ht="15" customHeight="1">
      <c r="B129" s="690">
        <v>1118</v>
      </c>
      <c r="C129" s="71" t="s">
        <v>742</v>
      </c>
      <c r="D129" s="19" t="s">
        <v>743</v>
      </c>
      <c r="E129" s="73">
        <v>467.85</v>
      </c>
      <c r="F129" s="69">
        <v>1.4100000000000001E-9</v>
      </c>
      <c r="G129" s="69">
        <f t="shared" si="11"/>
        <v>6.5966850000000009E-7</v>
      </c>
      <c r="H129" s="69">
        <f t="shared" si="12"/>
        <v>2.1883200000000001E-7</v>
      </c>
      <c r="I129" s="72">
        <v>-4943.3</v>
      </c>
      <c r="J129" s="72">
        <v>303.58999999999997</v>
      </c>
      <c r="K129" s="69">
        <f t="shared" si="18"/>
        <v>10565.993373944641</v>
      </c>
      <c r="L129" s="69">
        <f t="shared" si="13"/>
        <v>1252743376.7004068</v>
      </c>
      <c r="M129" s="71" t="s">
        <v>99</v>
      </c>
      <c r="N129" s="453">
        <f>157.25/E129</f>
        <v>0.33611200170994976</v>
      </c>
      <c r="O129" s="465">
        <f>'EmCF Library'!Z47/'Singular Minerals'!N129</f>
        <v>5.8313895071542131E-2</v>
      </c>
      <c r="P129" s="348">
        <f t="shared" si="14"/>
        <v>1.9344483306836247E-2</v>
      </c>
      <c r="Q129" s="612">
        <f t="shared" si="15"/>
        <v>60.34581927002229</v>
      </c>
      <c r="R129" s="348">
        <f t="shared" si="16"/>
        <v>345535489166.81976</v>
      </c>
      <c r="S129" s="613">
        <f t="shared" si="17"/>
        <v>3333802768.3788662</v>
      </c>
      <c r="T129" s="613">
        <f t="shared" si="19"/>
        <v>3333802768.3788662</v>
      </c>
      <c r="U129" s="614">
        <f t="shared" si="20"/>
        <v>9918725756.3500957</v>
      </c>
    </row>
    <row r="130" spans="2:21" ht="15" customHeight="1">
      <c r="B130" s="690">
        <v>1119</v>
      </c>
      <c r="C130" s="71" t="s">
        <v>740</v>
      </c>
      <c r="D130" s="19" t="s">
        <v>741</v>
      </c>
      <c r="E130" s="73">
        <v>239.27549999999999</v>
      </c>
      <c r="F130" s="69">
        <v>2.7899999999999998E-8</v>
      </c>
      <c r="G130" s="69">
        <f t="shared" si="11"/>
        <v>6.6757864499999994E-6</v>
      </c>
      <c r="H130" s="69">
        <f t="shared" si="12"/>
        <v>4.3300799999999997E-6</v>
      </c>
      <c r="I130" s="72">
        <v>-95.9</v>
      </c>
      <c r="J130" s="72">
        <f>AVERAGE(743.58,740.69)</f>
        <v>742.13499999999999</v>
      </c>
      <c r="K130" s="69">
        <f t="shared" si="18"/>
        <v>400.79322789002634</v>
      </c>
      <c r="L130" s="69">
        <f t="shared" si="13"/>
        <v>47519532.134455599</v>
      </c>
      <c r="M130" s="71" t="s">
        <v>110</v>
      </c>
      <c r="N130" s="453">
        <f>207.2/'Singular Minerals'!E130</f>
        <v>0.86594741208356052</v>
      </c>
      <c r="O130" s="465">
        <f>'EmCF Library'!Z64/N130</f>
        <v>3.4644136100386101E-2</v>
      </c>
      <c r="P130" s="348">
        <f t="shared" si="14"/>
        <v>2.2471042471042472E-2</v>
      </c>
      <c r="Q130" s="612">
        <f t="shared" si="15"/>
        <v>88.620866027300849</v>
      </c>
      <c r="R130" s="348">
        <f t="shared" si="16"/>
        <v>5135209316994.9395</v>
      </c>
      <c r="S130" s="613">
        <f t="shared" si="17"/>
        <v>4895856781.3282595</v>
      </c>
      <c r="T130" s="613">
        <f t="shared" si="19"/>
        <v>4895856781.3282595</v>
      </c>
      <c r="U130" s="614">
        <f t="shared" si="20"/>
        <v>5653757622.0111485</v>
      </c>
    </row>
    <row r="131" spans="2:21" ht="15" customHeight="1">
      <c r="B131" s="690">
        <v>1120</v>
      </c>
      <c r="C131" s="71" t="s">
        <v>276</v>
      </c>
      <c r="D131" s="19" t="s">
        <v>275</v>
      </c>
      <c r="E131" s="70">
        <v>345.89</v>
      </c>
      <c r="F131" s="69">
        <v>1.18E-8</v>
      </c>
      <c r="G131" s="69">
        <f t="shared" si="11"/>
        <v>4.0815019999999994E-6</v>
      </c>
      <c r="H131" s="69">
        <f t="shared" si="12"/>
        <v>1.8313599999999999E-6</v>
      </c>
      <c r="I131" s="72">
        <v>-3267.1</v>
      </c>
      <c r="J131" s="72">
        <v>26</v>
      </c>
      <c r="K131" s="69">
        <f t="shared" si="18"/>
        <v>9445.4884500852877</v>
      </c>
      <c r="L131" s="69">
        <f t="shared" si="13"/>
        <v>1119892155.5945442</v>
      </c>
      <c r="M131" s="71"/>
      <c r="N131" s="453"/>
      <c r="O131" s="454"/>
      <c r="P131" s="348" t="str">
        <f t="shared" si="14"/>
        <v/>
      </c>
      <c r="Q131" s="612" t="str">
        <f t="shared" si="15"/>
        <v/>
      </c>
      <c r="R131" s="348" t="str">
        <f t="shared" si="16"/>
        <v/>
      </c>
      <c r="S131" s="613" t="str">
        <f t="shared" si="17"/>
        <v/>
      </c>
      <c r="T131" s="613">
        <f t="shared" si="19"/>
        <v>1119892155.5945442</v>
      </c>
      <c r="U131" s="614" t="str">
        <f t="shared" si="20"/>
        <v/>
      </c>
    </row>
    <row r="132" spans="2:21" ht="15" customHeight="1">
      <c r="B132" s="690">
        <v>1121</v>
      </c>
      <c r="C132" s="71" t="s">
        <v>738</v>
      </c>
      <c r="D132" s="19" t="s">
        <v>739</v>
      </c>
      <c r="E132" s="70">
        <v>783.97</v>
      </c>
      <c r="F132" s="69">
        <v>4.1199999999999998E-8</v>
      </c>
      <c r="G132" s="69">
        <f t="shared" si="11"/>
        <v>3.2299564E-5</v>
      </c>
      <c r="H132" s="69">
        <f t="shared" si="12"/>
        <v>6.3942399999999991E-6</v>
      </c>
      <c r="I132" s="72">
        <v>-11584.2</v>
      </c>
      <c r="J132" s="72">
        <v>-580.1</v>
      </c>
      <c r="K132" s="69">
        <f t="shared" si="18"/>
        <v>14776.330726941082</v>
      </c>
      <c r="L132" s="69">
        <f t="shared" si="13"/>
        <v>1751936594.5995655</v>
      </c>
      <c r="M132" s="71"/>
      <c r="N132" s="453"/>
      <c r="O132" s="454"/>
      <c r="P132" s="348" t="str">
        <f t="shared" si="14"/>
        <v/>
      </c>
      <c r="Q132" s="612" t="str">
        <f t="shared" si="15"/>
        <v/>
      </c>
      <c r="R132" s="348" t="str">
        <f t="shared" si="16"/>
        <v/>
      </c>
      <c r="S132" s="613" t="str">
        <f t="shared" si="17"/>
        <v/>
      </c>
      <c r="T132" s="613">
        <f t="shared" si="19"/>
        <v>1751936594.5995655</v>
      </c>
      <c r="U132" s="614" t="str">
        <f t="shared" si="20"/>
        <v/>
      </c>
    </row>
    <row r="133" spans="2:21" ht="15" customHeight="1">
      <c r="B133" s="690">
        <v>1122</v>
      </c>
      <c r="C133" s="71" t="s">
        <v>1022</v>
      </c>
      <c r="D133" s="19" t="s">
        <v>271</v>
      </c>
      <c r="E133" s="70">
        <v>165.68</v>
      </c>
      <c r="F133" s="69">
        <v>9.6999999999999992E-9</v>
      </c>
      <c r="G133" s="69">
        <f t="shared" si="11"/>
        <v>1.6070959999999999E-6</v>
      </c>
      <c r="H133" s="69">
        <f t="shared" si="12"/>
        <v>1.5054399999999999E-6</v>
      </c>
      <c r="I133" s="72">
        <v>-144.30000000000001</v>
      </c>
      <c r="J133" s="72">
        <v>1189.0899999999999</v>
      </c>
      <c r="K133" s="69">
        <f t="shared" si="18"/>
        <v>870.95605987445674</v>
      </c>
      <c r="L133" s="69">
        <f t="shared" si="13"/>
        <v>103263781.90766081</v>
      </c>
      <c r="M133" s="71"/>
      <c r="N133" s="453"/>
      <c r="O133" s="454"/>
      <c r="P133" s="348" t="str">
        <f t="shared" si="14"/>
        <v/>
      </c>
      <c r="Q133" s="612" t="str">
        <f t="shared" si="15"/>
        <v/>
      </c>
      <c r="R133" s="348" t="str">
        <f t="shared" si="16"/>
        <v/>
      </c>
      <c r="S133" s="613" t="str">
        <f t="shared" si="17"/>
        <v/>
      </c>
      <c r="T133" s="613">
        <f t="shared" si="19"/>
        <v>103263781.90766081</v>
      </c>
      <c r="U133" s="614" t="str">
        <f t="shared" si="20"/>
        <v/>
      </c>
    </row>
    <row r="134" spans="2:21" ht="15" customHeight="1">
      <c r="B134" s="690">
        <v>1123</v>
      </c>
      <c r="C134" s="71" t="s">
        <v>737</v>
      </c>
      <c r="D134" s="19" t="s">
        <v>1023</v>
      </c>
      <c r="E134" s="70">
        <v>428.279</v>
      </c>
      <c r="F134" s="69">
        <v>1.2100000000000001E-8</v>
      </c>
      <c r="G134" s="69">
        <f t="shared" si="11"/>
        <v>5.1821759000000004E-6</v>
      </c>
      <c r="H134" s="69">
        <f t="shared" si="12"/>
        <v>1.87792E-6</v>
      </c>
      <c r="I134" s="72">
        <v>-4785.6000000000004</v>
      </c>
      <c r="J134" s="72">
        <v>52.59</v>
      </c>
      <c r="K134" s="69">
        <f t="shared" si="18"/>
        <v>11174.024409321961</v>
      </c>
      <c r="L134" s="69">
        <f t="shared" si="13"/>
        <v>1324833792.1908774</v>
      </c>
      <c r="M134" s="71"/>
      <c r="N134" s="453"/>
      <c r="O134" s="454"/>
      <c r="P134" s="348" t="str">
        <f t="shared" si="14"/>
        <v/>
      </c>
      <c r="Q134" s="612" t="str">
        <f t="shared" si="15"/>
        <v/>
      </c>
      <c r="R134" s="348" t="str">
        <f t="shared" si="16"/>
        <v/>
      </c>
      <c r="S134" s="613" t="str">
        <f t="shared" si="17"/>
        <v/>
      </c>
      <c r="T134" s="613">
        <f t="shared" si="19"/>
        <v>1324833792.1908774</v>
      </c>
      <c r="U134" s="614" t="str">
        <f t="shared" si="20"/>
        <v/>
      </c>
    </row>
    <row r="135" spans="2:21" ht="15" customHeight="1">
      <c r="B135" s="690">
        <v>1124</v>
      </c>
      <c r="C135" s="71" t="s">
        <v>735</v>
      </c>
      <c r="D135" s="19" t="s">
        <v>736</v>
      </c>
      <c r="E135" s="70">
        <v>783.54</v>
      </c>
      <c r="F135" s="69">
        <v>3.6500000000000002E-6</v>
      </c>
      <c r="G135" s="69">
        <f t="shared" si="11"/>
        <v>2.8599210000000001E-3</v>
      </c>
      <c r="H135" s="69">
        <f t="shared" si="12"/>
        <v>5.6647999999999996E-4</v>
      </c>
      <c r="I135" s="72">
        <v>-11346.7</v>
      </c>
      <c r="J135" s="72">
        <v>-76.38</v>
      </c>
      <c r="K135" s="69">
        <f t="shared" si="18"/>
        <v>14481.328330397939</v>
      </c>
      <c r="L135" s="69">
        <f t="shared" si="13"/>
        <v>1716960015.9381123</v>
      </c>
      <c r="M135" s="71"/>
      <c r="N135" s="453"/>
      <c r="O135" s="454"/>
      <c r="P135" s="348" t="str">
        <f t="shared" si="14"/>
        <v/>
      </c>
      <c r="Q135" s="612" t="str">
        <f t="shared" si="15"/>
        <v/>
      </c>
      <c r="R135" s="348" t="str">
        <f t="shared" si="16"/>
        <v/>
      </c>
      <c r="S135" s="613" t="str">
        <f t="shared" si="17"/>
        <v/>
      </c>
      <c r="T135" s="613">
        <f t="shared" si="19"/>
        <v>1716960015.9381123</v>
      </c>
      <c r="U135" s="614" t="str">
        <f t="shared" si="20"/>
        <v/>
      </c>
    </row>
    <row r="136" spans="2:21" ht="15" customHeight="1">
      <c r="B136" s="690">
        <v>1125</v>
      </c>
      <c r="C136" s="71" t="s">
        <v>734</v>
      </c>
      <c r="D136" s="19" t="s">
        <v>869</v>
      </c>
      <c r="E136" s="73">
        <v>88.85</v>
      </c>
      <c r="F136" s="69">
        <v>1.17E-5</v>
      </c>
      <c r="G136" s="69">
        <f t="shared" si="11"/>
        <v>1.039545E-3</v>
      </c>
      <c r="H136" s="69">
        <f t="shared" si="12"/>
        <v>1.8158399999999998E-3</v>
      </c>
      <c r="I136" s="72">
        <v>-489.2</v>
      </c>
      <c r="J136" s="72">
        <f>AVERAGE(9.74,9.15)</f>
        <v>9.4450000000000003</v>
      </c>
      <c r="K136" s="69">
        <f t="shared" si="18"/>
        <v>5505.9088351153632</v>
      </c>
      <c r="L136" s="69">
        <f t="shared" si="13"/>
        <v>652800979.68980253</v>
      </c>
      <c r="M136" s="71"/>
      <c r="N136" s="453"/>
      <c r="O136" s="454"/>
      <c r="P136" s="348" t="str">
        <f t="shared" si="14"/>
        <v/>
      </c>
      <c r="Q136" s="612" t="str">
        <f t="shared" si="15"/>
        <v/>
      </c>
      <c r="R136" s="348" t="str">
        <f t="shared" si="16"/>
        <v/>
      </c>
      <c r="S136" s="613" t="str">
        <f t="shared" si="17"/>
        <v/>
      </c>
      <c r="T136" s="613">
        <f t="shared" si="19"/>
        <v>652800979.68980253</v>
      </c>
      <c r="U136" s="614" t="str">
        <f t="shared" si="20"/>
        <v/>
      </c>
    </row>
    <row r="137" spans="2:21" ht="15" customHeight="1">
      <c r="B137" s="690">
        <v>1126</v>
      </c>
      <c r="C137" s="71" t="s">
        <v>263</v>
      </c>
      <c r="D137" s="19" t="s">
        <v>101</v>
      </c>
      <c r="E137" s="70">
        <v>196.97</v>
      </c>
      <c r="F137" s="69">
        <v>6.4699999999999997E-12</v>
      </c>
      <c r="G137" s="69">
        <f t="shared" si="11"/>
        <v>1.2743959E-9</v>
      </c>
      <c r="H137" s="69">
        <f t="shared" si="12"/>
        <v>1.0041439999999998E-9</v>
      </c>
      <c r="I137" s="72">
        <f t="shared" ref="I137:I145" si="21">-160.95848/E137</f>
        <v>-0.81717256434990104</v>
      </c>
      <c r="J137" s="72">
        <v>59.08</v>
      </c>
      <c r="K137" s="69">
        <f t="shared" si="18"/>
        <v>4.1487158671366249</v>
      </c>
      <c r="L137" s="69">
        <f t="shared" si="13"/>
        <v>491887.14590561716</v>
      </c>
      <c r="M137" s="71" t="s">
        <v>101</v>
      </c>
      <c r="N137" s="453">
        <v>1</v>
      </c>
      <c r="O137" s="472">
        <f>'EmCF Library'!Z49</f>
        <v>1.1000000000000001E-6</v>
      </c>
      <c r="P137" s="348">
        <f t="shared" si="14"/>
        <v>8.6673097426003956E-7</v>
      </c>
      <c r="Q137" s="612">
        <f t="shared" si="15"/>
        <v>85.080405861361115</v>
      </c>
      <c r="R137" s="348">
        <f t="shared" si="16"/>
        <v>941138725.07247365</v>
      </c>
      <c r="S137" s="613">
        <f t="shared" si="17"/>
        <v>4700264177.808691</v>
      </c>
      <c r="T137" s="613">
        <f t="shared" si="19"/>
        <v>4700264177.808691</v>
      </c>
      <c r="U137" s="614">
        <f t="shared" si="20"/>
        <v>4700264177.808691</v>
      </c>
    </row>
    <row r="138" spans="2:21" ht="15" customHeight="1">
      <c r="B138" s="690">
        <v>1127</v>
      </c>
      <c r="C138" s="71" t="s">
        <v>1386</v>
      </c>
      <c r="D138" s="19" t="s">
        <v>101</v>
      </c>
      <c r="E138" s="70">
        <v>196.97</v>
      </c>
      <c r="F138" s="69">
        <v>6.4699999999999997E-12</v>
      </c>
      <c r="G138" s="69">
        <f t="shared" si="11"/>
        <v>1.2743959E-9</v>
      </c>
      <c r="H138" s="69">
        <f t="shared" si="12"/>
        <v>1.0041439999999998E-9</v>
      </c>
      <c r="I138" s="72">
        <f t="shared" si="21"/>
        <v>-0.81717256434990104</v>
      </c>
      <c r="J138" s="72">
        <v>59.08</v>
      </c>
      <c r="K138" s="69">
        <f t="shared" si="18"/>
        <v>4.1487158671366249</v>
      </c>
      <c r="L138" s="69">
        <f t="shared" si="13"/>
        <v>491887.14590561716</v>
      </c>
      <c r="M138" s="71" t="s">
        <v>101</v>
      </c>
      <c r="N138" s="453">
        <v>1</v>
      </c>
      <c r="O138" s="472">
        <f>'EmCF Library'!Z50</f>
        <v>1.3E-6</v>
      </c>
      <c r="P138" s="348">
        <f t="shared" si="14"/>
        <v>1.0243184241255013E-6</v>
      </c>
      <c r="Q138" s="612">
        <f t="shared" si="15"/>
        <v>87.182740510272481</v>
      </c>
      <c r="R138" s="348">
        <f t="shared" si="16"/>
        <v>964394238.85523891</v>
      </c>
      <c r="S138" s="613">
        <f t="shared" si="17"/>
        <v>4816407585.2125778</v>
      </c>
      <c r="T138" s="613">
        <f t="shared" si="19"/>
        <v>4816407585.2125778</v>
      </c>
      <c r="U138" s="614">
        <f t="shared" si="20"/>
        <v>4816407585.2125778</v>
      </c>
    </row>
    <row r="139" spans="2:21" ht="15" customHeight="1">
      <c r="B139" s="690">
        <v>1128</v>
      </c>
      <c r="C139" s="71" t="s">
        <v>1387</v>
      </c>
      <c r="D139" s="19" t="s">
        <v>101</v>
      </c>
      <c r="E139" s="70">
        <v>196.97</v>
      </c>
      <c r="F139" s="69">
        <v>6.4699999999999997E-12</v>
      </c>
      <c r="G139" s="69">
        <f t="shared" si="11"/>
        <v>1.2743959E-9</v>
      </c>
      <c r="H139" s="69">
        <f t="shared" si="12"/>
        <v>1.0041439999999998E-9</v>
      </c>
      <c r="I139" s="72">
        <f t="shared" si="21"/>
        <v>-0.81717256434990104</v>
      </c>
      <c r="J139" s="72">
        <v>59.08</v>
      </c>
      <c r="K139" s="69">
        <f t="shared" si="18"/>
        <v>4.1487158671366249</v>
      </c>
      <c r="L139" s="69">
        <f t="shared" si="13"/>
        <v>491887.14590561716</v>
      </c>
      <c r="M139" s="71" t="s">
        <v>101</v>
      </c>
      <c r="N139" s="453">
        <v>1</v>
      </c>
      <c r="O139" s="472">
        <f>'EmCF Library'!Z51</f>
        <v>1.3999999999999999E-6</v>
      </c>
      <c r="P139" s="348">
        <f t="shared" si="14"/>
        <v>1.103112149058232E-6</v>
      </c>
      <c r="Q139" s="612">
        <f t="shared" si="15"/>
        <v>88.115371148628142</v>
      </c>
      <c r="R139" s="348">
        <f t="shared" si="16"/>
        <v>974710771.79909718</v>
      </c>
      <c r="S139" s="613">
        <f t="shared" si="17"/>
        <v>4867930733.6532793</v>
      </c>
      <c r="T139" s="613">
        <f t="shared" si="19"/>
        <v>4867930733.6532793</v>
      </c>
      <c r="U139" s="614">
        <f t="shared" si="20"/>
        <v>4867930733.6532793</v>
      </c>
    </row>
    <row r="140" spans="2:21" ht="15" customHeight="1">
      <c r="B140" s="690">
        <v>1129</v>
      </c>
      <c r="C140" s="71" t="s">
        <v>1388</v>
      </c>
      <c r="D140" s="19" t="s">
        <v>101</v>
      </c>
      <c r="E140" s="70">
        <v>196.97</v>
      </c>
      <c r="F140" s="69">
        <v>6.4699999999999997E-12</v>
      </c>
      <c r="G140" s="69">
        <f t="shared" ref="G140:G203" si="22">F140*E140</f>
        <v>1.2743959E-9</v>
      </c>
      <c r="H140" s="69">
        <f t="shared" ref="H140:H203" si="23">F140*$L$2</f>
        <v>1.0041439999999998E-9</v>
      </c>
      <c r="I140" s="72">
        <f t="shared" si="21"/>
        <v>-0.81717256434990104</v>
      </c>
      <c r="J140" s="72">
        <v>59.08</v>
      </c>
      <c r="K140" s="69">
        <f t="shared" si="18"/>
        <v>4.1487158671366249</v>
      </c>
      <c r="L140" s="69">
        <f t="shared" ref="L140:L203" si="24">IF(ISNUMBER(K140),$L$6*K140,0)</f>
        <v>491887.14590561716</v>
      </c>
      <c r="M140" s="71" t="s">
        <v>101</v>
      </c>
      <c r="N140" s="453">
        <v>1</v>
      </c>
      <c r="O140" s="472">
        <f>'EmCF Library'!Z52</f>
        <v>2.0999999999999998E-6</v>
      </c>
      <c r="P140" s="348">
        <f t="shared" ref="P140:P203" si="25">IF(ISNUMBER(O140),(O140/E140)/(1/$L$2),"")</f>
        <v>1.6546682235873481E-6</v>
      </c>
      <c r="Q140" s="612">
        <f t="shared" ref="Q140:Q203" si="26">IF(ISNUMBER(O140),standard_temperature*gas_constant*LN(P140/H140)/E140,"")</f>
        <v>93.218050005114307</v>
      </c>
      <c r="R140" s="348">
        <f t="shared" ref="R140:R203" si="27">IF(ISNUMBER(Q140),Q140*$G140*crust_mass/crust_age,"")</f>
        <v>1031155362.3582097</v>
      </c>
      <c r="S140" s="613">
        <f t="shared" ref="S140:S203" si="28">IF(ISNUMBER(O140),$S$6*Q140,"")</f>
        <v>5149828056.5114431</v>
      </c>
      <c r="T140" s="613">
        <f t="shared" si="19"/>
        <v>5149828056.5114431</v>
      </c>
      <c r="U140" s="614">
        <f t="shared" si="20"/>
        <v>5149828056.5114431</v>
      </c>
    </row>
    <row r="141" spans="2:21" ht="15" customHeight="1">
      <c r="B141" s="690">
        <v>1130</v>
      </c>
      <c r="C141" s="71" t="s">
        <v>1389</v>
      </c>
      <c r="D141" s="19" t="s">
        <v>101</v>
      </c>
      <c r="E141" s="70">
        <v>196.97</v>
      </c>
      <c r="F141" s="69">
        <v>6.4699999999999997E-12</v>
      </c>
      <c r="G141" s="69">
        <f t="shared" si="22"/>
        <v>1.2743959E-9</v>
      </c>
      <c r="H141" s="69">
        <f t="shared" si="23"/>
        <v>1.0041439999999998E-9</v>
      </c>
      <c r="I141" s="72">
        <f t="shared" si="21"/>
        <v>-0.81717256434990104</v>
      </c>
      <c r="J141" s="72">
        <v>59.08</v>
      </c>
      <c r="K141" s="69">
        <f t="shared" ref="K141:K204" si="29">-I141*1000/E141</f>
        <v>4.1487158671366249</v>
      </c>
      <c r="L141" s="69">
        <f t="shared" si="24"/>
        <v>491887.14590561716</v>
      </c>
      <c r="M141" s="71" t="s">
        <v>101</v>
      </c>
      <c r="N141" s="453">
        <v>1</v>
      </c>
      <c r="O141" s="472">
        <f>'EmCF Library'!Z53</f>
        <v>4.3000000000000003E-6</v>
      </c>
      <c r="P141" s="348">
        <f t="shared" si="25"/>
        <v>3.3881301721074279E-6</v>
      </c>
      <c r="Q141" s="612">
        <f t="shared" si="26"/>
        <v>102.23726266032084</v>
      </c>
      <c r="R141" s="348">
        <f t="shared" si="27"/>
        <v>1130923695.7781322</v>
      </c>
      <c r="S141" s="613">
        <f t="shared" si="28"/>
        <v>5648094158.1610413</v>
      </c>
      <c r="T141" s="613">
        <f t="shared" ref="T141:T204" si="30">MAX(L141,S141)</f>
        <v>5648094158.1610413</v>
      </c>
      <c r="U141" s="614">
        <f t="shared" ref="U141:U204" si="31">IF(ISNUMBER(N141),T141/N141,"")</f>
        <v>5648094158.1610413</v>
      </c>
    </row>
    <row r="142" spans="2:21" ht="15" customHeight="1">
      <c r="B142" s="690">
        <v>1131</v>
      </c>
      <c r="C142" s="71" t="s">
        <v>1390</v>
      </c>
      <c r="D142" s="19" t="s">
        <v>101</v>
      </c>
      <c r="E142" s="70">
        <v>196.97</v>
      </c>
      <c r="F142" s="69">
        <v>6.4699999999999997E-12</v>
      </c>
      <c r="G142" s="69">
        <f t="shared" si="22"/>
        <v>1.2743959E-9</v>
      </c>
      <c r="H142" s="69">
        <f t="shared" si="23"/>
        <v>1.0041439999999998E-9</v>
      </c>
      <c r="I142" s="72">
        <f t="shared" si="21"/>
        <v>-0.81717256434990104</v>
      </c>
      <c r="J142" s="72">
        <v>59.08</v>
      </c>
      <c r="K142" s="69">
        <f t="shared" si="29"/>
        <v>4.1487158671366249</v>
      </c>
      <c r="L142" s="69">
        <f t="shared" si="24"/>
        <v>491887.14590561716</v>
      </c>
      <c r="M142" s="71" t="s">
        <v>101</v>
      </c>
      <c r="N142" s="453">
        <v>1</v>
      </c>
      <c r="O142" s="472">
        <f>'EmCF Library'!Z54</f>
        <v>4.8999999999999997E-7</v>
      </c>
      <c r="P142" s="348">
        <f t="shared" si="25"/>
        <v>3.8608925217038123E-7</v>
      </c>
      <c r="Q142" s="612">
        <f t="shared" si="26"/>
        <v>74.903617410445165</v>
      </c>
      <c r="R142" s="348">
        <f t="shared" si="27"/>
        <v>828565570.17198658</v>
      </c>
      <c r="S142" s="613">
        <f t="shared" si="28"/>
        <v>4138047840.0196772</v>
      </c>
      <c r="T142" s="613">
        <f t="shared" si="30"/>
        <v>4138047840.0196772</v>
      </c>
      <c r="U142" s="614">
        <f t="shared" si="31"/>
        <v>4138047840.0196772</v>
      </c>
    </row>
    <row r="143" spans="2:21" ht="15" customHeight="1">
      <c r="B143" s="690">
        <v>1132</v>
      </c>
      <c r="C143" s="71" t="s">
        <v>1391</v>
      </c>
      <c r="D143" s="19" t="s">
        <v>101</v>
      </c>
      <c r="E143" s="70">
        <v>196.97</v>
      </c>
      <c r="F143" s="69">
        <v>6.4699999999999997E-12</v>
      </c>
      <c r="G143" s="69">
        <f t="shared" si="22"/>
        <v>1.2743959E-9</v>
      </c>
      <c r="H143" s="69">
        <f t="shared" si="23"/>
        <v>1.0041439999999998E-9</v>
      </c>
      <c r="I143" s="72">
        <f t="shared" si="21"/>
        <v>-0.81717256434990104</v>
      </c>
      <c r="J143" s="72">
        <v>59.08</v>
      </c>
      <c r="K143" s="69">
        <f t="shared" si="29"/>
        <v>4.1487158671366249</v>
      </c>
      <c r="L143" s="69">
        <f t="shared" si="24"/>
        <v>491887.14590561716</v>
      </c>
      <c r="M143" s="71" t="s">
        <v>101</v>
      </c>
      <c r="N143" s="453">
        <v>1</v>
      </c>
      <c r="O143" s="472">
        <f>'EmCF Library'!Z55</f>
        <v>6.7000000000000002E-6</v>
      </c>
      <c r="P143" s="348">
        <f t="shared" si="25"/>
        <v>5.2791795704929677E-6</v>
      </c>
      <c r="Q143" s="612">
        <f t="shared" si="26"/>
        <v>107.81850695575643</v>
      </c>
      <c r="R143" s="348">
        <f t="shared" si="27"/>
        <v>1192662060.6501055</v>
      </c>
      <c r="S143" s="613">
        <f t="shared" si="28"/>
        <v>5956429812.6968508</v>
      </c>
      <c r="T143" s="613">
        <f t="shared" si="30"/>
        <v>5956429812.6968508</v>
      </c>
      <c r="U143" s="614">
        <f t="shared" si="31"/>
        <v>5956429812.6968508</v>
      </c>
    </row>
    <row r="144" spans="2:21" ht="15" customHeight="1">
      <c r="B144" s="690">
        <v>1133</v>
      </c>
      <c r="C144" s="71" t="s">
        <v>1392</v>
      </c>
      <c r="D144" s="19" t="s">
        <v>101</v>
      </c>
      <c r="E144" s="70">
        <v>196.97</v>
      </c>
      <c r="F144" s="69">
        <v>6.4699999999999997E-12</v>
      </c>
      <c r="G144" s="69">
        <f t="shared" si="22"/>
        <v>1.2743959E-9</v>
      </c>
      <c r="H144" s="69">
        <f t="shared" si="23"/>
        <v>1.0041439999999998E-9</v>
      </c>
      <c r="I144" s="72">
        <f t="shared" si="21"/>
        <v>-0.81717256434990104</v>
      </c>
      <c r="J144" s="72">
        <v>59.08</v>
      </c>
      <c r="K144" s="69">
        <f t="shared" si="29"/>
        <v>4.1487158671366249</v>
      </c>
      <c r="L144" s="69">
        <f t="shared" si="24"/>
        <v>491887.14590561716</v>
      </c>
      <c r="M144" s="71" t="s">
        <v>101</v>
      </c>
      <c r="N144" s="453">
        <v>1</v>
      </c>
      <c r="O144" s="472">
        <f>'EmCF Library'!Z56</f>
        <v>7.0999999999999998E-6</v>
      </c>
      <c r="P144" s="348">
        <f t="shared" si="25"/>
        <v>5.5943544702238915E-6</v>
      </c>
      <c r="Q144" s="612">
        <f t="shared" si="26"/>
        <v>108.54826235922043</v>
      </c>
      <c r="R144" s="348">
        <f t="shared" si="27"/>
        <v>1200734437.1635649</v>
      </c>
      <c r="S144" s="613">
        <f t="shared" si="28"/>
        <v>5996745125.5675182</v>
      </c>
      <c r="T144" s="613">
        <f t="shared" si="30"/>
        <v>5996745125.5675182</v>
      </c>
      <c r="U144" s="614">
        <f t="shared" si="31"/>
        <v>5996745125.5675182</v>
      </c>
    </row>
    <row r="145" spans="2:21" ht="15" customHeight="1">
      <c r="B145" s="690">
        <v>1134</v>
      </c>
      <c r="C145" s="71" t="s">
        <v>1393</v>
      </c>
      <c r="D145" s="19" t="s">
        <v>101</v>
      </c>
      <c r="E145" s="70">
        <v>196.97</v>
      </c>
      <c r="F145" s="69">
        <v>6.4699999999999997E-12</v>
      </c>
      <c r="G145" s="69">
        <f t="shared" si="22"/>
        <v>1.2743959E-9</v>
      </c>
      <c r="H145" s="69">
        <f t="shared" si="23"/>
        <v>1.0041439999999998E-9</v>
      </c>
      <c r="I145" s="72">
        <f t="shared" si="21"/>
        <v>-0.81717256434990104</v>
      </c>
      <c r="J145" s="72">
        <v>59.08</v>
      </c>
      <c r="K145" s="69">
        <f t="shared" si="29"/>
        <v>4.1487158671366249</v>
      </c>
      <c r="L145" s="69">
        <f t="shared" si="24"/>
        <v>491887.14590561716</v>
      </c>
      <c r="M145" s="71" t="s">
        <v>101</v>
      </c>
      <c r="N145" s="453">
        <v>1</v>
      </c>
      <c r="O145" s="472">
        <f>'EmCF Library'!Z57</f>
        <v>9.7000000000000003E-6</v>
      </c>
      <c r="P145" s="348">
        <f t="shared" si="25"/>
        <v>7.6429913184748945E-6</v>
      </c>
      <c r="Q145" s="612">
        <f t="shared" si="26"/>
        <v>112.47509717720393</v>
      </c>
      <c r="R145" s="348">
        <f t="shared" si="27"/>
        <v>1244172127.3902586</v>
      </c>
      <c r="S145" s="613">
        <f t="shared" si="28"/>
        <v>6213682983.8238106</v>
      </c>
      <c r="T145" s="613">
        <f t="shared" si="30"/>
        <v>6213682983.8238106</v>
      </c>
      <c r="U145" s="614">
        <f t="shared" si="31"/>
        <v>6213682983.8238106</v>
      </c>
    </row>
    <row r="146" spans="2:21" ht="15" customHeight="1">
      <c r="B146" s="690">
        <v>1135</v>
      </c>
      <c r="C146" s="71" t="s">
        <v>733</v>
      </c>
      <c r="D146" s="19" t="s">
        <v>168</v>
      </c>
      <c r="E146" s="70">
        <v>12.01</v>
      </c>
      <c r="F146" s="69">
        <v>2.0100000000000001E-5</v>
      </c>
      <c r="G146" s="69">
        <f t="shared" si="22"/>
        <v>2.41401E-4</v>
      </c>
      <c r="H146" s="69">
        <f t="shared" si="23"/>
        <v>3.1195199999999998E-3</v>
      </c>
      <c r="I146" s="71">
        <v>0</v>
      </c>
      <c r="J146" s="71">
        <v>410.25</v>
      </c>
      <c r="K146" s="69">
        <f t="shared" si="29"/>
        <v>0</v>
      </c>
      <c r="L146" s="69">
        <f t="shared" si="24"/>
        <v>0</v>
      </c>
      <c r="M146" s="71"/>
      <c r="N146" s="453"/>
      <c r="O146" s="454">
        <v>0.2</v>
      </c>
      <c r="P146" s="348">
        <f t="shared" si="25"/>
        <v>2.5845129059117404</v>
      </c>
      <c r="Q146" s="612">
        <f t="shared" si="26"/>
        <v>1386.9030417006184</v>
      </c>
      <c r="R146" s="348">
        <f t="shared" si="27"/>
        <v>2906062100551876</v>
      </c>
      <c r="S146" s="613">
        <f t="shared" si="28"/>
        <v>76619412178.425201</v>
      </c>
      <c r="T146" s="613">
        <f t="shared" si="30"/>
        <v>76619412178.425201</v>
      </c>
      <c r="U146" s="614" t="str">
        <f t="shared" si="31"/>
        <v/>
      </c>
    </row>
    <row r="147" spans="2:21" ht="15" customHeight="1">
      <c r="B147" s="690">
        <v>1136</v>
      </c>
      <c r="C147" s="71" t="s">
        <v>732</v>
      </c>
      <c r="D147" s="19" t="s">
        <v>340</v>
      </c>
      <c r="E147" s="70">
        <v>144.47999999999999</v>
      </c>
      <c r="F147" s="69">
        <v>8.0100000000000003E-10</v>
      </c>
      <c r="G147" s="69">
        <f t="shared" si="22"/>
        <v>1.1572848E-7</v>
      </c>
      <c r="H147" s="69">
        <f t="shared" si="23"/>
        <v>1.243152E-7</v>
      </c>
      <c r="I147" s="72">
        <v>-156.5</v>
      </c>
      <c r="J147" s="72">
        <f>AVERAGE(743.84,759.75)</f>
        <v>751.79500000000007</v>
      </c>
      <c r="K147" s="69">
        <f t="shared" si="29"/>
        <v>1083.1949058693247</v>
      </c>
      <c r="L147" s="69">
        <f t="shared" si="24"/>
        <v>128427606.94414635</v>
      </c>
      <c r="M147" s="71" t="s">
        <v>332</v>
      </c>
      <c r="N147" s="453">
        <f>112.411/E147</f>
        <v>0.77803848283499455</v>
      </c>
      <c r="O147" s="463">
        <f>0.0018/N147</f>
        <v>2.3135102436594281E-3</v>
      </c>
      <c r="P147" s="348">
        <f t="shared" si="25"/>
        <v>2.4851660424691532E-3</v>
      </c>
      <c r="Q147" s="612">
        <f t="shared" si="26"/>
        <v>169.90461870406702</v>
      </c>
      <c r="R147" s="348">
        <f t="shared" si="27"/>
        <v>170673132362.77881</v>
      </c>
      <c r="S147" s="613">
        <f t="shared" si="28"/>
        <v>9386374980.8655987</v>
      </c>
      <c r="T147" s="613">
        <f t="shared" si="30"/>
        <v>9386374980.8655987</v>
      </c>
      <c r="U147" s="614">
        <f t="shared" si="31"/>
        <v>12064152593.92285</v>
      </c>
    </row>
    <row r="148" spans="2:21" ht="15" customHeight="1">
      <c r="B148" s="690">
        <v>1137</v>
      </c>
      <c r="C148" s="71" t="s">
        <v>730</v>
      </c>
      <c r="D148" s="19" t="s">
        <v>731</v>
      </c>
      <c r="E148" s="70">
        <v>450.45</v>
      </c>
      <c r="F148" s="69">
        <v>4.6199999999999997E-8</v>
      </c>
      <c r="G148" s="69">
        <f t="shared" si="22"/>
        <v>2.0810789999999997E-5</v>
      </c>
      <c r="H148" s="69">
        <f t="shared" si="23"/>
        <v>7.170239999999999E-6</v>
      </c>
      <c r="I148" s="72">
        <v>-6281</v>
      </c>
      <c r="J148" s="72">
        <v>91.48</v>
      </c>
      <c r="K148" s="69">
        <f t="shared" si="29"/>
        <v>13943.833943833944</v>
      </c>
      <c r="L148" s="69">
        <f t="shared" si="24"/>
        <v>1653232687.2382731</v>
      </c>
      <c r="M148" s="71"/>
      <c r="N148" s="453"/>
      <c r="O148" s="454"/>
      <c r="P148" s="348" t="str">
        <f t="shared" si="25"/>
        <v/>
      </c>
      <c r="Q148" s="612" t="str">
        <f t="shared" si="26"/>
        <v/>
      </c>
      <c r="R148" s="348" t="str">
        <f t="shared" si="27"/>
        <v/>
      </c>
      <c r="S148" s="613" t="str">
        <f t="shared" si="28"/>
        <v/>
      </c>
      <c r="T148" s="613">
        <f t="shared" si="30"/>
        <v>1653232687.2382731</v>
      </c>
      <c r="U148" s="614" t="str">
        <f t="shared" si="31"/>
        <v/>
      </c>
    </row>
    <row r="149" spans="2:21" ht="15" customHeight="1">
      <c r="B149" s="690">
        <v>1138</v>
      </c>
      <c r="C149" s="71" t="s">
        <v>728</v>
      </c>
      <c r="D149" s="19" t="s">
        <v>729</v>
      </c>
      <c r="E149" s="70">
        <v>762.13</v>
      </c>
      <c r="F149" s="69">
        <v>7.9599999999999998E-7</v>
      </c>
      <c r="G149" s="69">
        <f t="shared" si="22"/>
        <v>6.0665548000000003E-4</v>
      </c>
      <c r="H149" s="69">
        <f t="shared" si="23"/>
        <v>1.235392E-4</v>
      </c>
      <c r="I149" s="72">
        <v>-1798.6</v>
      </c>
      <c r="J149" s="72">
        <f>AVERAGE(24.08,23.91,24.33)</f>
        <v>24.106666666666666</v>
      </c>
      <c r="K149" s="69">
        <f t="shared" si="29"/>
        <v>2359.9648353955363</v>
      </c>
      <c r="L149" s="69">
        <f t="shared" si="24"/>
        <v>279806186.90127844</v>
      </c>
      <c r="M149" s="71"/>
      <c r="N149" s="453"/>
      <c r="O149" s="454">
        <f>'EmCF Library'!Z58</f>
        <v>0.93</v>
      </c>
      <c r="P149" s="348">
        <f t="shared" si="25"/>
        <v>0.18938501305551544</v>
      </c>
      <c r="Q149" s="612">
        <f t="shared" si="26"/>
        <v>23.856934618625349</v>
      </c>
      <c r="R149" s="348">
        <f t="shared" si="27"/>
        <v>125625120262351.97</v>
      </c>
      <c r="S149" s="613">
        <f t="shared" si="28"/>
        <v>1317975555.5347426</v>
      </c>
      <c r="T149" s="613">
        <f t="shared" si="30"/>
        <v>1317975555.5347426</v>
      </c>
      <c r="U149" s="614" t="str">
        <f t="shared" si="31"/>
        <v/>
      </c>
    </row>
    <row r="150" spans="2:21" ht="15" customHeight="1">
      <c r="B150" s="690">
        <v>1139</v>
      </c>
      <c r="C150" s="71" t="s">
        <v>727</v>
      </c>
      <c r="D150" s="19" t="s">
        <v>134</v>
      </c>
      <c r="E150" s="70">
        <v>58.44</v>
      </c>
      <c r="F150" s="69">
        <v>1.01E-5</v>
      </c>
      <c r="G150" s="69">
        <f t="shared" si="22"/>
        <v>5.9024399999999997E-4</v>
      </c>
      <c r="H150" s="69">
        <f t="shared" si="23"/>
        <v>1.5675199999999998E-3</v>
      </c>
      <c r="I150" s="72">
        <v>-384.4</v>
      </c>
      <c r="J150" s="72">
        <v>14.35</v>
      </c>
      <c r="K150" s="69">
        <f t="shared" si="29"/>
        <v>6577.6865160848738</v>
      </c>
      <c r="L150" s="69">
        <f t="shared" si="24"/>
        <v>779874918.089275</v>
      </c>
      <c r="M150" s="71"/>
      <c r="N150" s="453"/>
      <c r="O150" s="454"/>
      <c r="P150" s="348" t="str">
        <f t="shared" si="25"/>
        <v/>
      </c>
      <c r="Q150" s="612" t="str">
        <f t="shared" si="26"/>
        <v/>
      </c>
      <c r="R150" s="348" t="str">
        <f t="shared" si="27"/>
        <v/>
      </c>
      <c r="S150" s="613" t="str">
        <f t="shared" si="28"/>
        <v/>
      </c>
      <c r="T150" s="613">
        <f t="shared" si="30"/>
        <v>779874918.089275</v>
      </c>
      <c r="U150" s="614" t="str">
        <f t="shared" si="31"/>
        <v/>
      </c>
    </row>
    <row r="151" spans="2:21" ht="15" customHeight="1">
      <c r="B151" s="690">
        <v>1140</v>
      </c>
      <c r="C151" s="71" t="s">
        <v>725</v>
      </c>
      <c r="D151" s="19" t="s">
        <v>726</v>
      </c>
      <c r="E151" s="73">
        <v>990.86</v>
      </c>
      <c r="F151" s="69">
        <v>2.6000000000000001E-6</v>
      </c>
      <c r="G151" s="69">
        <f t="shared" si="22"/>
        <v>2.576236E-3</v>
      </c>
      <c r="H151" s="69">
        <f t="shared" si="23"/>
        <v>4.0351999999999999E-4</v>
      </c>
      <c r="I151" s="72">
        <v>-11343.4</v>
      </c>
      <c r="J151" s="72">
        <v>265.47000000000003</v>
      </c>
      <c r="K151" s="69">
        <f t="shared" si="29"/>
        <v>11448.035040268051</v>
      </c>
      <c r="L151" s="69">
        <f t="shared" si="24"/>
        <v>1357321509.238826</v>
      </c>
      <c r="M151" s="71"/>
      <c r="N151" s="453"/>
      <c r="O151" s="454"/>
      <c r="P151" s="348" t="str">
        <f t="shared" si="25"/>
        <v/>
      </c>
      <c r="Q151" s="612" t="str">
        <f t="shared" si="26"/>
        <v/>
      </c>
      <c r="R151" s="348" t="str">
        <f t="shared" si="27"/>
        <v/>
      </c>
      <c r="S151" s="613" t="str">
        <f t="shared" si="28"/>
        <v/>
      </c>
      <c r="T151" s="613">
        <f t="shared" si="30"/>
        <v>1357321509.238826</v>
      </c>
      <c r="U151" s="614" t="str">
        <f t="shared" si="31"/>
        <v/>
      </c>
    </row>
    <row r="152" spans="2:21" ht="15" customHeight="1">
      <c r="B152" s="690">
        <v>1141</v>
      </c>
      <c r="C152" s="71" t="s">
        <v>723</v>
      </c>
      <c r="D152" s="19" t="s">
        <v>724</v>
      </c>
      <c r="E152" s="73">
        <v>248.09</v>
      </c>
      <c r="F152" s="69">
        <v>2.7500000000000001E-7</v>
      </c>
      <c r="G152" s="69">
        <f t="shared" si="22"/>
        <v>6.8224750000000001E-5</v>
      </c>
      <c r="H152" s="69">
        <f t="shared" si="23"/>
        <v>4.2679999999999998E-5</v>
      </c>
      <c r="I152" s="72">
        <v>-2676.1</v>
      </c>
      <c r="J152" s="72">
        <v>150.62</v>
      </c>
      <c r="K152" s="69">
        <f t="shared" si="29"/>
        <v>10786.81123785723</v>
      </c>
      <c r="L152" s="69">
        <f t="shared" si="24"/>
        <v>1278924361.9313631</v>
      </c>
      <c r="M152" s="71"/>
      <c r="N152" s="453"/>
      <c r="O152" s="454"/>
      <c r="P152" s="348" t="str">
        <f t="shared" si="25"/>
        <v/>
      </c>
      <c r="Q152" s="612" t="str">
        <f t="shared" si="26"/>
        <v/>
      </c>
      <c r="R152" s="348" t="str">
        <f t="shared" si="27"/>
        <v/>
      </c>
      <c r="S152" s="613" t="str">
        <f t="shared" si="28"/>
        <v/>
      </c>
      <c r="T152" s="613">
        <f t="shared" si="30"/>
        <v>1278924361.9313631</v>
      </c>
      <c r="U152" s="614" t="str">
        <f t="shared" si="31"/>
        <v/>
      </c>
    </row>
    <row r="153" spans="2:21" ht="15" customHeight="1">
      <c r="B153" s="690">
        <v>1142</v>
      </c>
      <c r="C153" s="71" t="s">
        <v>721</v>
      </c>
      <c r="D153" s="19" t="s">
        <v>722</v>
      </c>
      <c r="E153" s="70">
        <v>555.1</v>
      </c>
      <c r="F153" s="69">
        <v>1.45E-9</v>
      </c>
      <c r="G153" s="69">
        <f t="shared" si="22"/>
        <v>8.0489499999999998E-7</v>
      </c>
      <c r="H153" s="69">
        <f t="shared" si="23"/>
        <v>2.2503999999999998E-7</v>
      </c>
      <c r="I153" s="72">
        <v>-5532.4</v>
      </c>
      <c r="J153" s="72">
        <v>1460.04</v>
      </c>
      <c r="K153" s="69">
        <f t="shared" si="29"/>
        <v>9966.4925238695723</v>
      </c>
      <c r="L153" s="69">
        <f t="shared" si="24"/>
        <v>1181664331.6283367</v>
      </c>
      <c r="M153" s="71"/>
      <c r="N153" s="453"/>
      <c r="O153" s="454"/>
      <c r="P153" s="348" t="str">
        <f t="shared" si="25"/>
        <v/>
      </c>
      <c r="Q153" s="612" t="str">
        <f t="shared" si="26"/>
        <v/>
      </c>
      <c r="R153" s="348" t="str">
        <f t="shared" si="27"/>
        <v/>
      </c>
      <c r="S153" s="613" t="str">
        <f t="shared" si="28"/>
        <v/>
      </c>
      <c r="T153" s="613">
        <f t="shared" si="30"/>
        <v>1181664331.6283367</v>
      </c>
      <c r="U153" s="614" t="str">
        <f t="shared" si="31"/>
        <v/>
      </c>
    </row>
    <row r="154" spans="2:21" ht="15" customHeight="1">
      <c r="B154" s="690">
        <v>1143</v>
      </c>
      <c r="C154" s="71" t="s">
        <v>221</v>
      </c>
      <c r="D154" s="19" t="s">
        <v>222</v>
      </c>
      <c r="E154" s="70">
        <f>55.85*2+48</f>
        <v>159.69999999999999</v>
      </c>
      <c r="F154" s="69">
        <v>6.0499999999999997E-6</v>
      </c>
      <c r="G154" s="69">
        <f t="shared" si="22"/>
        <v>9.6618499999999983E-4</v>
      </c>
      <c r="H154" s="69">
        <f t="shared" si="23"/>
        <v>9.3895999999999986E-4</v>
      </c>
      <c r="I154" s="72">
        <v>-742.2</v>
      </c>
      <c r="J154" s="72">
        <f>AVERAGE(17.23,16.36,16.78)</f>
        <v>16.790000000000003</v>
      </c>
      <c r="K154" s="69">
        <f t="shared" si="29"/>
        <v>4647.4639949906077</v>
      </c>
      <c r="L154" s="69">
        <f t="shared" si="24"/>
        <v>551020574.41519272</v>
      </c>
      <c r="M154" s="71"/>
      <c r="N154" s="453"/>
      <c r="O154" s="454"/>
      <c r="P154" s="348" t="str">
        <f t="shared" si="25"/>
        <v/>
      </c>
      <c r="Q154" s="612" t="str">
        <f t="shared" si="26"/>
        <v/>
      </c>
      <c r="R154" s="348" t="str">
        <f t="shared" si="27"/>
        <v/>
      </c>
      <c r="S154" s="613" t="str">
        <f t="shared" si="28"/>
        <v/>
      </c>
      <c r="T154" s="613">
        <f t="shared" si="30"/>
        <v>551020574.41519272</v>
      </c>
      <c r="U154" s="614" t="str">
        <f t="shared" si="31"/>
        <v/>
      </c>
    </row>
    <row r="155" spans="2:21" ht="15" customHeight="1">
      <c r="B155" s="690">
        <v>1144</v>
      </c>
      <c r="C155" s="71" t="s">
        <v>719</v>
      </c>
      <c r="D155" s="19" t="s">
        <v>720</v>
      </c>
      <c r="E155" s="73">
        <v>351.92</v>
      </c>
      <c r="F155" s="69">
        <v>6.2499999999999997E-9</v>
      </c>
      <c r="G155" s="69">
        <f t="shared" si="22"/>
        <v>2.1994999999999999E-6</v>
      </c>
      <c r="H155" s="69">
        <f t="shared" si="23"/>
        <v>9.6999999999999982E-7</v>
      </c>
      <c r="I155" s="72">
        <v>-2895.6</v>
      </c>
      <c r="J155" s="72">
        <v>532.86</v>
      </c>
      <c r="K155" s="69">
        <f t="shared" si="29"/>
        <v>8228.0063650829725</v>
      </c>
      <c r="L155" s="69">
        <f t="shared" si="24"/>
        <v>975542962.45581651</v>
      </c>
      <c r="M155" s="71"/>
      <c r="N155" s="453"/>
      <c r="O155" s="454"/>
      <c r="P155" s="348" t="str">
        <f t="shared" si="25"/>
        <v/>
      </c>
      <c r="Q155" s="612" t="str">
        <f t="shared" si="26"/>
        <v/>
      </c>
      <c r="R155" s="348" t="str">
        <f t="shared" si="27"/>
        <v/>
      </c>
      <c r="S155" s="613" t="str">
        <f t="shared" si="28"/>
        <v/>
      </c>
      <c r="T155" s="613">
        <f t="shared" si="30"/>
        <v>975542962.45581651</v>
      </c>
      <c r="U155" s="614" t="str">
        <f t="shared" si="31"/>
        <v/>
      </c>
    </row>
    <row r="156" spans="2:21" ht="15" customHeight="1">
      <c r="B156" s="690">
        <v>1145</v>
      </c>
      <c r="C156" s="71" t="s">
        <v>718</v>
      </c>
      <c r="D156" s="19" t="s">
        <v>1024</v>
      </c>
      <c r="E156" s="70">
        <v>848.07074999999998</v>
      </c>
      <c r="F156" s="69">
        <v>2.6300000000000001E-7</v>
      </c>
      <c r="G156" s="69">
        <f t="shared" si="22"/>
        <v>2.2304260725E-4</v>
      </c>
      <c r="H156" s="69">
        <f t="shared" si="23"/>
        <v>4.08176E-5</v>
      </c>
      <c r="I156" s="72">
        <v>-4330.3999999999996</v>
      </c>
      <c r="J156" s="72">
        <v>374.51</v>
      </c>
      <c r="K156" s="69">
        <f t="shared" si="29"/>
        <v>5106.1777569854876</v>
      </c>
      <c r="L156" s="69">
        <f t="shared" si="24"/>
        <v>605407379.97173226</v>
      </c>
      <c r="M156" s="71"/>
      <c r="N156" s="453"/>
      <c r="O156" s="454"/>
      <c r="P156" s="348" t="str">
        <f t="shared" si="25"/>
        <v/>
      </c>
      <c r="Q156" s="612" t="str">
        <f t="shared" si="26"/>
        <v/>
      </c>
      <c r="R156" s="348" t="str">
        <f t="shared" si="27"/>
        <v/>
      </c>
      <c r="S156" s="613" t="str">
        <f t="shared" si="28"/>
        <v/>
      </c>
      <c r="T156" s="613">
        <f t="shared" si="30"/>
        <v>605407379.97173226</v>
      </c>
      <c r="U156" s="614" t="str">
        <f t="shared" si="31"/>
        <v/>
      </c>
    </row>
    <row r="157" spans="2:21" ht="15" customHeight="1">
      <c r="B157" s="690">
        <v>1146</v>
      </c>
      <c r="C157" s="71" t="s">
        <v>717</v>
      </c>
      <c r="D157" s="19" t="s">
        <v>1025</v>
      </c>
      <c r="E157" s="70">
        <v>947.36749999999995</v>
      </c>
      <c r="F157" s="69">
        <v>2.7800000000000001E-5</v>
      </c>
      <c r="G157" s="69">
        <f t="shared" si="22"/>
        <v>2.6336816499999999E-2</v>
      </c>
      <c r="H157" s="69">
        <f t="shared" si="23"/>
        <v>4.3145600000000003E-3</v>
      </c>
      <c r="I157" s="72">
        <v>-10303.700000000001</v>
      </c>
      <c r="J157" s="72">
        <v>416.94</v>
      </c>
      <c r="K157" s="69">
        <f t="shared" si="29"/>
        <v>10876.138351801175</v>
      </c>
      <c r="L157" s="69">
        <f t="shared" si="24"/>
        <v>1289515315.9848638</v>
      </c>
      <c r="M157" s="71"/>
      <c r="N157" s="453"/>
      <c r="O157" s="454"/>
      <c r="P157" s="348" t="str">
        <f t="shared" si="25"/>
        <v/>
      </c>
      <c r="Q157" s="612" t="str">
        <f t="shared" si="26"/>
        <v/>
      </c>
      <c r="R157" s="348" t="str">
        <f t="shared" si="27"/>
        <v/>
      </c>
      <c r="S157" s="613" t="str">
        <f t="shared" si="28"/>
        <v/>
      </c>
      <c r="T157" s="613">
        <f t="shared" si="30"/>
        <v>1289515315.9848638</v>
      </c>
      <c r="U157" s="614" t="str">
        <f t="shared" si="31"/>
        <v/>
      </c>
    </row>
    <row r="158" spans="2:21" ht="15" customHeight="1">
      <c r="B158" s="690">
        <v>1147</v>
      </c>
      <c r="C158" s="71" t="s">
        <v>716</v>
      </c>
      <c r="D158" s="19" t="s">
        <v>1026</v>
      </c>
      <c r="E158" s="73">
        <v>538.58000000000004</v>
      </c>
      <c r="F158" s="69">
        <v>9.46E-9</v>
      </c>
      <c r="G158" s="69">
        <f t="shared" si="22"/>
        <v>5.0949668000000002E-6</v>
      </c>
      <c r="H158" s="69">
        <f t="shared" si="23"/>
        <v>1.468192E-6</v>
      </c>
      <c r="I158" s="72">
        <v>-6512.3</v>
      </c>
      <c r="J158" s="72">
        <v>5385.28</v>
      </c>
      <c r="K158" s="69">
        <f t="shared" si="29"/>
        <v>12091.611274091129</v>
      </c>
      <c r="L158" s="69">
        <f t="shared" si="24"/>
        <v>1433626295.3379543</v>
      </c>
      <c r="M158" s="71"/>
      <c r="N158" s="453"/>
      <c r="O158" s="454"/>
      <c r="P158" s="348" t="str">
        <f t="shared" si="25"/>
        <v/>
      </c>
      <c r="Q158" s="612" t="str">
        <f t="shared" si="26"/>
        <v/>
      </c>
      <c r="R158" s="348" t="str">
        <f t="shared" si="27"/>
        <v/>
      </c>
      <c r="S158" s="613" t="str">
        <f t="shared" si="28"/>
        <v/>
      </c>
      <c r="T158" s="613">
        <f t="shared" si="30"/>
        <v>1433626295.3379543</v>
      </c>
      <c r="U158" s="614" t="str">
        <f t="shared" si="31"/>
        <v/>
      </c>
    </row>
    <row r="159" spans="2:21" ht="15" customHeight="1">
      <c r="B159" s="690">
        <v>1148</v>
      </c>
      <c r="C159" s="71" t="s">
        <v>292</v>
      </c>
      <c r="D159" s="19" t="s">
        <v>715</v>
      </c>
      <c r="E159" s="73">
        <v>78.003557999999998</v>
      </c>
      <c r="F159" s="69">
        <v>1.77E-5</v>
      </c>
      <c r="G159" s="69">
        <f t="shared" si="22"/>
        <v>1.3806629766E-3</v>
      </c>
      <c r="H159" s="69">
        <f t="shared" si="23"/>
        <v>2.7470399999999996E-3</v>
      </c>
      <c r="I159" s="72">
        <v>-1155.8</v>
      </c>
      <c r="J159" s="70">
        <f>AVERAGE(0.22,1.06)</f>
        <v>0.64</v>
      </c>
      <c r="K159" s="69">
        <f t="shared" si="29"/>
        <v>14817.272822349976</v>
      </c>
      <c r="L159" s="69">
        <f t="shared" si="24"/>
        <v>1756790841.335912</v>
      </c>
      <c r="M159" s="71" t="s">
        <v>86</v>
      </c>
      <c r="N159" s="453">
        <f>27/E159</f>
        <v>0.34613805693324912</v>
      </c>
      <c r="O159" s="454">
        <v>0.11</v>
      </c>
      <c r="P159" s="348">
        <f t="shared" si="25"/>
        <v>0.21886181140608996</v>
      </c>
      <c r="Q159" s="612">
        <f t="shared" si="26"/>
        <v>139.12266921783805</v>
      </c>
      <c r="R159" s="348">
        <f t="shared" si="27"/>
        <v>1667267581403189.5</v>
      </c>
      <c r="S159" s="613">
        <f t="shared" si="28"/>
        <v>7685827210.4541512</v>
      </c>
      <c r="T159" s="613">
        <f t="shared" si="30"/>
        <v>7685827210.4541512</v>
      </c>
      <c r="U159" s="614">
        <f t="shared" si="31"/>
        <v>22204513651.431061</v>
      </c>
    </row>
    <row r="160" spans="2:21" ht="15" customHeight="1">
      <c r="B160" s="690">
        <v>1149</v>
      </c>
      <c r="C160" s="71" t="s">
        <v>714</v>
      </c>
      <c r="D160" s="19" t="s">
        <v>1027</v>
      </c>
      <c r="E160" s="70">
        <v>467.31799999999998</v>
      </c>
      <c r="F160" s="69">
        <v>5.2599999999999996E-6</v>
      </c>
      <c r="G160" s="69">
        <f t="shared" si="22"/>
        <v>2.4580926799999997E-3</v>
      </c>
      <c r="H160" s="69">
        <f t="shared" si="23"/>
        <v>8.163519999999999E-4</v>
      </c>
      <c r="I160" s="72">
        <v>-6238.9</v>
      </c>
      <c r="J160" s="72">
        <v>45.24</v>
      </c>
      <c r="K160" s="69">
        <f t="shared" si="29"/>
        <v>13350.438031490336</v>
      </c>
      <c r="L160" s="69">
        <f t="shared" si="24"/>
        <v>1582877466.2343793</v>
      </c>
      <c r="M160" s="71"/>
      <c r="N160" s="453"/>
      <c r="O160" s="454"/>
      <c r="P160" s="348" t="str">
        <f t="shared" si="25"/>
        <v/>
      </c>
      <c r="Q160" s="612" t="str">
        <f t="shared" si="26"/>
        <v/>
      </c>
      <c r="R160" s="348" t="str">
        <f t="shared" si="27"/>
        <v/>
      </c>
      <c r="S160" s="613" t="str">
        <f t="shared" si="28"/>
        <v/>
      </c>
      <c r="T160" s="613">
        <f t="shared" si="30"/>
        <v>1582877466.2343793</v>
      </c>
      <c r="U160" s="614" t="str">
        <f t="shared" si="31"/>
        <v/>
      </c>
    </row>
    <row r="161" spans="2:21" ht="15" customHeight="1">
      <c r="B161" s="690">
        <v>1150</v>
      </c>
      <c r="C161" s="71" t="s">
        <v>227</v>
      </c>
      <c r="D161" s="19" t="s">
        <v>1028</v>
      </c>
      <c r="E161" s="73">
        <v>389.34</v>
      </c>
      <c r="F161" s="69">
        <v>7.7299999999999995E-5</v>
      </c>
      <c r="G161" s="69">
        <f t="shared" si="22"/>
        <v>3.0095981999999997E-2</v>
      </c>
      <c r="H161" s="69">
        <f t="shared" si="23"/>
        <v>1.1996959999999999E-2</v>
      </c>
      <c r="I161" s="72">
        <v>-5499.1</v>
      </c>
      <c r="J161" s="72">
        <v>186.09</v>
      </c>
      <c r="K161" s="69">
        <f t="shared" si="29"/>
        <v>14124.158832896697</v>
      </c>
      <c r="L161" s="69">
        <f t="shared" si="24"/>
        <v>1674612675.1327064</v>
      </c>
      <c r="M161" s="71"/>
      <c r="N161" s="453"/>
      <c r="O161" s="454"/>
      <c r="P161" s="348" t="str">
        <f t="shared" si="25"/>
        <v/>
      </c>
      <c r="Q161" s="612" t="str">
        <f t="shared" si="26"/>
        <v/>
      </c>
      <c r="R161" s="348" t="str">
        <f t="shared" si="27"/>
        <v/>
      </c>
      <c r="S161" s="613" t="str">
        <f t="shared" si="28"/>
        <v/>
      </c>
      <c r="T161" s="613">
        <f t="shared" si="30"/>
        <v>1674612675.1327064</v>
      </c>
      <c r="U161" s="614" t="str">
        <f t="shared" si="31"/>
        <v/>
      </c>
    </row>
    <row r="162" spans="2:21" ht="15" customHeight="1">
      <c r="B162" s="690">
        <v>1151</v>
      </c>
      <c r="C162" s="71" t="s">
        <v>712</v>
      </c>
      <c r="D162" s="19" t="s">
        <v>713</v>
      </c>
      <c r="E162" s="70">
        <v>932.32</v>
      </c>
      <c r="F162" s="69">
        <v>9.0599999999999997E-10</v>
      </c>
      <c r="G162" s="69">
        <f t="shared" si="22"/>
        <v>8.4468191999999999E-7</v>
      </c>
      <c r="H162" s="69">
        <f t="shared" si="23"/>
        <v>1.406112E-7</v>
      </c>
      <c r="I162" s="72">
        <v>-12678.2</v>
      </c>
      <c r="J162" s="72">
        <v>204.42</v>
      </c>
      <c r="K162" s="69">
        <f t="shared" si="29"/>
        <v>13598.549854127337</v>
      </c>
      <c r="L162" s="69">
        <f t="shared" si="24"/>
        <v>1612294524.4786181</v>
      </c>
      <c r="M162" s="71"/>
      <c r="N162" s="453"/>
      <c r="O162" s="454"/>
      <c r="P162" s="348" t="str">
        <f t="shared" si="25"/>
        <v/>
      </c>
      <c r="Q162" s="612" t="str">
        <f t="shared" si="26"/>
        <v/>
      </c>
      <c r="R162" s="348" t="str">
        <f t="shared" si="27"/>
        <v/>
      </c>
      <c r="S162" s="613" t="str">
        <f t="shared" si="28"/>
        <v/>
      </c>
      <c r="T162" s="613">
        <f t="shared" si="30"/>
        <v>1612294524.4786181</v>
      </c>
      <c r="U162" s="614" t="str">
        <f t="shared" si="31"/>
        <v/>
      </c>
    </row>
    <row r="163" spans="2:21" ht="15" customHeight="1">
      <c r="B163" s="690">
        <v>1152</v>
      </c>
      <c r="C163" s="71" t="s">
        <v>710</v>
      </c>
      <c r="D163" s="19" t="s">
        <v>711</v>
      </c>
      <c r="E163" s="73">
        <v>232.32</v>
      </c>
      <c r="F163" s="69">
        <v>1.17E-5</v>
      </c>
      <c r="G163" s="69">
        <f t="shared" si="22"/>
        <v>2.718144E-3</v>
      </c>
      <c r="H163" s="69">
        <f t="shared" si="23"/>
        <v>1.8158399999999998E-3</v>
      </c>
      <c r="I163" s="72">
        <v>-2594.6</v>
      </c>
      <c r="J163" s="72">
        <v>131.91</v>
      </c>
      <c r="K163" s="69">
        <f t="shared" si="29"/>
        <v>11168.216253443527</v>
      </c>
      <c r="L163" s="69">
        <f t="shared" si="24"/>
        <v>1324145155.680325</v>
      </c>
      <c r="M163" s="71"/>
      <c r="N163" s="453"/>
      <c r="O163" s="454"/>
      <c r="P163" s="348" t="str">
        <f t="shared" si="25"/>
        <v/>
      </c>
      <c r="Q163" s="612" t="str">
        <f t="shared" si="26"/>
        <v/>
      </c>
      <c r="R163" s="348" t="str">
        <f t="shared" si="27"/>
        <v/>
      </c>
      <c r="S163" s="613" t="str">
        <f t="shared" si="28"/>
        <v/>
      </c>
      <c r="T163" s="613">
        <f t="shared" si="30"/>
        <v>1324145155.680325</v>
      </c>
      <c r="U163" s="614" t="str">
        <f t="shared" si="31"/>
        <v/>
      </c>
    </row>
    <row r="164" spans="2:21" ht="15" customHeight="1">
      <c r="B164" s="690">
        <v>1153</v>
      </c>
      <c r="C164" s="71" t="s">
        <v>215</v>
      </c>
      <c r="D164" s="19" t="s">
        <v>341</v>
      </c>
      <c r="E164" s="73">
        <v>151.72999999999999</v>
      </c>
      <c r="F164" s="69">
        <v>3.1000000000000001E-5</v>
      </c>
      <c r="G164" s="69">
        <f t="shared" si="22"/>
        <v>4.7036300000000003E-3</v>
      </c>
      <c r="H164" s="69">
        <f t="shared" si="23"/>
        <v>4.8111999999999999E-3</v>
      </c>
      <c r="I164" s="72">
        <v>-1163.5</v>
      </c>
      <c r="J164" s="72">
        <f>AVERAGE(163.76,126.08,129.85)</f>
        <v>139.89666666666665</v>
      </c>
      <c r="K164" s="69">
        <f t="shared" si="29"/>
        <v>7668.2264548869707</v>
      </c>
      <c r="L164" s="69">
        <f t="shared" si="24"/>
        <v>909173379.38970625</v>
      </c>
      <c r="M164" s="71" t="s">
        <v>143</v>
      </c>
      <c r="N164" s="453">
        <f>('Crust Element Composition'!E72+16)/E164</f>
        <v>0.42092532788505899</v>
      </c>
      <c r="O164" s="454">
        <f>'EmCF Library'!Z99/N164</f>
        <v>6.1768675528833354E-2</v>
      </c>
      <c r="P164" s="348">
        <f t="shared" si="25"/>
        <v>6.3181298636228414E-2</v>
      </c>
      <c r="Q164" s="612">
        <f t="shared" si="26"/>
        <v>42.068888250930705</v>
      </c>
      <c r="R164" s="348">
        <f>IF(ISNUMBER(Q164),Q164*$G164*crust_mass/crust_age,"")</f>
        <v>1717567888443534.8</v>
      </c>
      <c r="S164" s="613">
        <f t="shared" si="28"/>
        <v>2324094325.1763086</v>
      </c>
      <c r="T164" s="613">
        <f t="shared" si="30"/>
        <v>2324094325.1763086</v>
      </c>
      <c r="U164" s="614">
        <f t="shared" si="31"/>
        <v>5521393395.0083971</v>
      </c>
    </row>
    <row r="165" spans="2:21" ht="15" customHeight="1">
      <c r="B165" s="690">
        <v>1154</v>
      </c>
      <c r="C165" s="71" t="s">
        <v>709</v>
      </c>
      <c r="D165" s="19" t="s">
        <v>1029</v>
      </c>
      <c r="E165" s="70">
        <v>92.020750000000007</v>
      </c>
      <c r="F165" s="69">
        <v>3.22E-7</v>
      </c>
      <c r="G165" s="69">
        <f t="shared" si="22"/>
        <v>2.9630681500000004E-5</v>
      </c>
      <c r="H165" s="69">
        <f t="shared" si="23"/>
        <v>4.9974399999999994E-5</v>
      </c>
      <c r="I165" s="72">
        <v>-813.2</v>
      </c>
      <c r="J165" s="72">
        <v>45.32</v>
      </c>
      <c r="K165" s="69">
        <f t="shared" si="29"/>
        <v>8837.1372761034872</v>
      </c>
      <c r="L165" s="69">
        <f t="shared" si="24"/>
        <v>1047763783.283338</v>
      </c>
      <c r="M165" s="71"/>
      <c r="N165" s="453"/>
      <c r="O165" s="454"/>
      <c r="P165" s="348" t="str">
        <f t="shared" si="25"/>
        <v/>
      </c>
      <c r="Q165" s="612" t="str">
        <f t="shared" si="26"/>
        <v/>
      </c>
      <c r="R165" s="348" t="str">
        <f t="shared" si="27"/>
        <v/>
      </c>
      <c r="S165" s="613" t="str">
        <f t="shared" si="28"/>
        <v/>
      </c>
      <c r="T165" s="613">
        <f t="shared" si="30"/>
        <v>1047763783.283338</v>
      </c>
      <c r="U165" s="614" t="str">
        <f t="shared" si="31"/>
        <v/>
      </c>
    </row>
    <row r="166" spans="2:21" ht="15" customHeight="1">
      <c r="B166" s="690">
        <v>1155</v>
      </c>
      <c r="C166" s="71" t="s">
        <v>707</v>
      </c>
      <c r="D166" s="19" t="s">
        <v>708</v>
      </c>
      <c r="E166" s="70">
        <v>71.84</v>
      </c>
      <c r="F166" s="69">
        <v>2.3800000000000001E-10</v>
      </c>
      <c r="G166" s="69">
        <f t="shared" si="22"/>
        <v>1.709792E-8</v>
      </c>
      <c r="H166" s="69">
        <f t="shared" si="23"/>
        <v>3.6937600000000001E-8</v>
      </c>
      <c r="I166" s="72">
        <v>-251.5</v>
      </c>
      <c r="J166" s="72">
        <v>127.47</v>
      </c>
      <c r="K166" s="69">
        <f t="shared" si="29"/>
        <v>3500.8351893095769</v>
      </c>
      <c r="L166" s="69">
        <f t="shared" si="24"/>
        <v>415072008.95489275</v>
      </c>
      <c r="M166" s="71"/>
      <c r="N166" s="453"/>
      <c r="O166" s="454"/>
      <c r="P166" s="348" t="str">
        <f t="shared" si="25"/>
        <v/>
      </c>
      <c r="Q166" s="612" t="str">
        <f t="shared" si="26"/>
        <v/>
      </c>
      <c r="R166" s="348" t="str">
        <f t="shared" si="27"/>
        <v/>
      </c>
      <c r="S166" s="613" t="str">
        <f t="shared" si="28"/>
        <v/>
      </c>
      <c r="T166" s="613">
        <f t="shared" si="30"/>
        <v>415072008.95489275</v>
      </c>
      <c r="U166" s="614" t="str">
        <f t="shared" si="31"/>
        <v/>
      </c>
    </row>
    <row r="167" spans="2:21" ht="15" customHeight="1">
      <c r="B167" s="690">
        <v>1156</v>
      </c>
      <c r="C167" s="71" t="s">
        <v>706</v>
      </c>
      <c r="D167" s="19" t="s">
        <v>125</v>
      </c>
      <c r="E167" s="70">
        <v>195.08</v>
      </c>
      <c r="F167" s="69">
        <v>1.5399999999999999E-14</v>
      </c>
      <c r="G167" s="69">
        <f t="shared" si="22"/>
        <v>3.004232E-12</v>
      </c>
      <c r="H167" s="69">
        <f t="shared" si="23"/>
        <v>2.3900799999999998E-12</v>
      </c>
      <c r="I167" s="72">
        <f>-160.95848/E167</f>
        <v>-0.82508960426491695</v>
      </c>
      <c r="J167" s="72">
        <v>140.16999999999999</v>
      </c>
      <c r="K167" s="69">
        <f t="shared" si="29"/>
        <v>4.2294935629737385</v>
      </c>
      <c r="L167" s="69">
        <f t="shared" si="24"/>
        <v>501464.44922804815</v>
      </c>
      <c r="M167" s="71"/>
      <c r="N167" s="453"/>
      <c r="O167" s="454"/>
      <c r="P167" s="348" t="str">
        <f t="shared" si="25"/>
        <v/>
      </c>
      <c r="Q167" s="612" t="str">
        <f t="shared" si="26"/>
        <v/>
      </c>
      <c r="R167" s="348" t="str">
        <f t="shared" si="27"/>
        <v/>
      </c>
      <c r="S167" s="613" t="str">
        <f t="shared" si="28"/>
        <v/>
      </c>
      <c r="T167" s="613">
        <f t="shared" si="30"/>
        <v>501464.44922804815</v>
      </c>
      <c r="U167" s="614" t="str">
        <f t="shared" si="31"/>
        <v/>
      </c>
    </row>
    <row r="168" spans="2:21" ht="15" customHeight="1">
      <c r="B168" s="690">
        <v>1157</v>
      </c>
      <c r="C168" s="71" t="s">
        <v>343</v>
      </c>
      <c r="D168" s="19" t="s">
        <v>1030</v>
      </c>
      <c r="E168" s="70">
        <v>155.19</v>
      </c>
      <c r="F168" s="69">
        <v>1.4999999999999999E-13</v>
      </c>
      <c r="G168" s="69">
        <f t="shared" si="22"/>
        <v>2.3278499999999999E-11</v>
      </c>
      <c r="H168" s="69">
        <f t="shared" si="23"/>
        <v>2.3279999999999996E-11</v>
      </c>
      <c r="I168" s="71" t="s">
        <v>1007</v>
      </c>
      <c r="J168" s="71" t="s">
        <v>85</v>
      </c>
      <c r="K168" s="69" t="e">
        <f t="shared" si="29"/>
        <v>#VALUE!</v>
      </c>
      <c r="L168" s="69">
        <f t="shared" si="24"/>
        <v>0</v>
      </c>
      <c r="M168" s="71"/>
      <c r="N168" s="453"/>
      <c r="O168" s="454"/>
      <c r="P168" s="348" t="str">
        <f t="shared" si="25"/>
        <v/>
      </c>
      <c r="Q168" s="612" t="str">
        <f t="shared" si="26"/>
        <v/>
      </c>
      <c r="R168" s="348" t="str">
        <f t="shared" si="27"/>
        <v/>
      </c>
      <c r="S168" s="613" t="str">
        <f t="shared" si="28"/>
        <v/>
      </c>
      <c r="T168" s="613">
        <f t="shared" si="30"/>
        <v>0</v>
      </c>
      <c r="U168" s="614" t="str">
        <f t="shared" si="31"/>
        <v/>
      </c>
    </row>
    <row r="169" spans="2:21" ht="15" customHeight="1">
      <c r="B169" s="690">
        <v>1158</v>
      </c>
      <c r="C169" s="71" t="s">
        <v>705</v>
      </c>
      <c r="D169" s="19" t="s">
        <v>1031</v>
      </c>
      <c r="E169" s="70">
        <v>249.25899999999999</v>
      </c>
      <c r="F169" s="69">
        <v>1.1999999999999999E-7</v>
      </c>
      <c r="G169" s="69">
        <f t="shared" si="22"/>
        <v>2.9911079999999994E-5</v>
      </c>
      <c r="H169" s="69">
        <f t="shared" si="23"/>
        <v>1.8623999999999997E-5</v>
      </c>
      <c r="I169" s="72">
        <v>-1137.5</v>
      </c>
      <c r="J169" s="72">
        <v>724.41</v>
      </c>
      <c r="K169" s="69">
        <f t="shared" si="29"/>
        <v>4563.5262919292791</v>
      </c>
      <c r="L169" s="69">
        <f t="shared" si="24"/>
        <v>541068608.91189921</v>
      </c>
      <c r="M169" s="71"/>
      <c r="N169" s="453"/>
      <c r="O169" s="454"/>
      <c r="P169" s="348" t="str">
        <f t="shared" si="25"/>
        <v/>
      </c>
      <c r="Q169" s="612" t="str">
        <f t="shared" si="26"/>
        <v/>
      </c>
      <c r="R169" s="348" t="str">
        <f t="shared" si="27"/>
        <v/>
      </c>
      <c r="S169" s="613" t="str">
        <f t="shared" si="28"/>
        <v/>
      </c>
      <c r="T169" s="613">
        <f t="shared" si="30"/>
        <v>541068608.91189921</v>
      </c>
      <c r="U169" s="614" t="str">
        <f t="shared" si="31"/>
        <v/>
      </c>
    </row>
    <row r="170" spans="2:21" ht="15" customHeight="1">
      <c r="B170" s="690">
        <v>1159</v>
      </c>
      <c r="C170" s="71" t="s">
        <v>704</v>
      </c>
      <c r="D170" s="19" t="s">
        <v>1032</v>
      </c>
      <c r="E170" s="73">
        <v>205.03</v>
      </c>
      <c r="F170" s="69">
        <v>4.7800000000000002E-7</v>
      </c>
      <c r="G170" s="69">
        <f t="shared" si="22"/>
        <v>9.8004340000000002E-5</v>
      </c>
      <c r="H170" s="69">
        <f t="shared" si="23"/>
        <v>7.4185599999999997E-5</v>
      </c>
      <c r="I170" s="72">
        <v>-2812.1</v>
      </c>
      <c r="J170" s="72">
        <f>AVERAGE(-1.22,20.13)</f>
        <v>9.4550000000000001</v>
      </c>
      <c r="K170" s="69">
        <f t="shared" si="29"/>
        <v>13715.553821391992</v>
      </c>
      <c r="L170" s="69">
        <f t="shared" si="24"/>
        <v>1626166948.9493659</v>
      </c>
      <c r="M170" s="71"/>
      <c r="N170" s="453"/>
      <c r="O170" s="454"/>
      <c r="P170" s="348" t="str">
        <f t="shared" si="25"/>
        <v/>
      </c>
      <c r="Q170" s="612" t="str">
        <f t="shared" si="26"/>
        <v/>
      </c>
      <c r="R170" s="348" t="str">
        <f t="shared" si="27"/>
        <v/>
      </c>
      <c r="S170" s="613" t="str">
        <f t="shared" si="28"/>
        <v/>
      </c>
      <c r="T170" s="613">
        <f t="shared" si="30"/>
        <v>1626166948.9493659</v>
      </c>
      <c r="U170" s="614" t="str">
        <f t="shared" si="31"/>
        <v/>
      </c>
    </row>
    <row r="171" spans="2:21" ht="15" customHeight="1">
      <c r="B171" s="690">
        <v>1160</v>
      </c>
      <c r="C171" s="71" t="s">
        <v>702</v>
      </c>
      <c r="D171" s="19" t="s">
        <v>703</v>
      </c>
      <c r="E171" s="73">
        <v>500.81</v>
      </c>
      <c r="F171" s="69">
        <v>9.5700000000000007E-9</v>
      </c>
      <c r="G171" s="69">
        <f t="shared" si="22"/>
        <v>4.7927517000000006E-6</v>
      </c>
      <c r="H171" s="69">
        <f t="shared" si="23"/>
        <v>1.4852640000000001E-6</v>
      </c>
      <c r="I171" s="72">
        <v>-3318.7</v>
      </c>
      <c r="J171" s="72">
        <v>129.11000000000001</v>
      </c>
      <c r="K171" s="69">
        <f t="shared" si="29"/>
        <v>6626.6648030191091</v>
      </c>
      <c r="L171" s="69">
        <f t="shared" si="24"/>
        <v>785681965.50899994</v>
      </c>
      <c r="M171" s="71"/>
      <c r="N171" s="453"/>
      <c r="O171" s="454"/>
      <c r="P171" s="348" t="str">
        <f t="shared" si="25"/>
        <v/>
      </c>
      <c r="Q171" s="612" t="str">
        <f t="shared" si="26"/>
        <v/>
      </c>
      <c r="R171" s="348" t="str">
        <f t="shared" si="27"/>
        <v/>
      </c>
      <c r="S171" s="613" t="str">
        <f t="shared" si="28"/>
        <v/>
      </c>
      <c r="T171" s="613">
        <f t="shared" si="30"/>
        <v>785681965.50899994</v>
      </c>
      <c r="U171" s="614" t="str">
        <f t="shared" si="31"/>
        <v/>
      </c>
    </row>
    <row r="172" spans="2:21" ht="15" customHeight="1">
      <c r="B172" s="690">
        <v>1161</v>
      </c>
      <c r="C172" s="71" t="s">
        <v>108</v>
      </c>
      <c r="D172" s="19" t="s">
        <v>701</v>
      </c>
      <c r="E172" s="70">
        <v>258.16000000000003</v>
      </c>
      <c r="F172" s="69">
        <v>3.2400000000000001E-5</v>
      </c>
      <c r="G172" s="69">
        <f t="shared" si="22"/>
        <v>8.3643840000000007E-3</v>
      </c>
      <c r="H172" s="69">
        <f t="shared" si="23"/>
        <v>5.0284800000000001E-3</v>
      </c>
      <c r="I172" s="72">
        <v>-3796</v>
      </c>
      <c r="J172" s="72">
        <f>AVERAGE(-6.3,-1.51)</f>
        <v>-3.9049999999999998</v>
      </c>
      <c r="K172" s="69">
        <f t="shared" si="29"/>
        <v>14704.059497985743</v>
      </c>
      <c r="L172" s="69">
        <f t="shared" si="24"/>
        <v>1743367849.5516024</v>
      </c>
      <c r="M172" s="71"/>
      <c r="N172" s="453"/>
      <c r="O172" s="454">
        <f>'EmCF Library'!Z61</f>
        <v>0.24</v>
      </c>
      <c r="P172" s="348">
        <f t="shared" si="25"/>
        <v>0.14428261543229001</v>
      </c>
      <c r="Q172" s="612">
        <f t="shared" si="26"/>
        <v>32.230181203422646</v>
      </c>
      <c r="R172" s="348">
        <f t="shared" si="27"/>
        <v>2340003111943079.5</v>
      </c>
      <c r="S172" s="613">
        <f t="shared" si="28"/>
        <v>1780555283.2174389</v>
      </c>
      <c r="T172" s="613">
        <f t="shared" si="30"/>
        <v>1780555283.2174389</v>
      </c>
      <c r="U172" s="614" t="str">
        <f t="shared" si="31"/>
        <v/>
      </c>
    </row>
    <row r="173" spans="2:21" ht="15" customHeight="1">
      <c r="B173" s="690">
        <v>1162</v>
      </c>
      <c r="C173" s="71" t="s">
        <v>700</v>
      </c>
      <c r="D173" s="19" t="s">
        <v>356</v>
      </c>
      <c r="E173" s="70">
        <f>(2*'Crust Element Composition'!E45)+32+(10.811*2+48)+(4*18)</f>
        <v>219.60140000000001</v>
      </c>
      <c r="F173" s="69">
        <v>8.9900000000000004E-8</v>
      </c>
      <c r="G173" s="69">
        <f t="shared" si="22"/>
        <v>1.9742165860000002E-5</v>
      </c>
      <c r="H173" s="69">
        <f t="shared" si="23"/>
        <v>1.3952479999999999E-5</v>
      </c>
      <c r="I173" s="72">
        <v>-3713.1</v>
      </c>
      <c r="J173" s="72">
        <v>440.94</v>
      </c>
      <c r="K173" s="69">
        <f t="shared" si="29"/>
        <v>16908.36215069667</v>
      </c>
      <c r="L173" s="69">
        <f t="shared" si="24"/>
        <v>2004718150.5309999</v>
      </c>
      <c r="M173" s="71" t="s">
        <v>1727</v>
      </c>
      <c r="N173" s="453">
        <f>(48+2*'Crust Element Composition'!E9)/E173</f>
        <v>0.31703805166998023</v>
      </c>
      <c r="O173" s="454">
        <f>'EmCF Library'!Z29/N173</f>
        <v>0.78854887822814634</v>
      </c>
      <c r="P173" s="348">
        <f t="shared" si="25"/>
        <v>0.55729510786820247</v>
      </c>
      <c r="Q173" s="612">
        <f t="shared" si="26"/>
        <v>119.59653531661253</v>
      </c>
      <c r="R173" s="348">
        <f t="shared" si="27"/>
        <v>20494301444836.602</v>
      </c>
      <c r="S173" s="613">
        <f t="shared" si="28"/>
        <v>6607106595.7854948</v>
      </c>
      <c r="T173" s="613">
        <f t="shared" si="30"/>
        <v>6607106595.7854948</v>
      </c>
      <c r="U173" s="614">
        <f t="shared" si="31"/>
        <v>20840105977.761753</v>
      </c>
    </row>
    <row r="174" spans="2:21" ht="15" customHeight="1">
      <c r="B174" s="690">
        <v>1163</v>
      </c>
      <c r="C174" s="71" t="s">
        <v>699</v>
      </c>
      <c r="D174" s="19" t="s">
        <v>339</v>
      </c>
      <c r="E174" s="70">
        <v>138.38</v>
      </c>
      <c r="F174" s="69">
        <v>3.0600000000000003E-8</v>
      </c>
      <c r="G174" s="69">
        <f t="shared" si="22"/>
        <v>4.2344280000000004E-6</v>
      </c>
      <c r="H174" s="69">
        <f t="shared" si="23"/>
        <v>4.7491199999999997E-6</v>
      </c>
      <c r="I174" s="72">
        <v>-1428.7</v>
      </c>
      <c r="J174" s="72">
        <v>53.74</v>
      </c>
      <c r="K174" s="69">
        <f t="shared" si="29"/>
        <v>10324.468853880619</v>
      </c>
      <c r="L174" s="69">
        <f t="shared" si="24"/>
        <v>1224107333.4896405</v>
      </c>
      <c r="M174" s="71"/>
      <c r="N174" s="453"/>
      <c r="O174" s="454">
        <f>'EmCF Library'!Z62</f>
        <v>0.25</v>
      </c>
      <c r="P174" s="348">
        <f t="shared" si="25"/>
        <v>0.28038733921086861</v>
      </c>
      <c r="Q174" s="612">
        <f t="shared" si="26"/>
        <v>196.79308547907357</v>
      </c>
      <c r="R174" s="348">
        <f t="shared" si="27"/>
        <v>7233097393795.9697</v>
      </c>
      <c r="S174" s="613">
        <f t="shared" si="28"/>
        <v>10871827429.043901</v>
      </c>
      <c r="T174" s="613">
        <f t="shared" si="30"/>
        <v>10871827429.043901</v>
      </c>
      <c r="U174" s="614" t="str">
        <f t="shared" si="31"/>
        <v/>
      </c>
    </row>
    <row r="175" spans="2:21" ht="15" customHeight="1">
      <c r="B175" s="690">
        <v>1164</v>
      </c>
      <c r="C175" s="71" t="s">
        <v>698</v>
      </c>
      <c r="D175" s="19" t="s">
        <v>1033</v>
      </c>
      <c r="E175" s="70">
        <v>591.07299999999998</v>
      </c>
      <c r="F175" s="69">
        <v>9.2400000000000004E-9</v>
      </c>
      <c r="G175" s="69">
        <f t="shared" si="22"/>
        <v>5.4615145200000003E-6</v>
      </c>
      <c r="H175" s="69">
        <f t="shared" si="23"/>
        <v>1.434048E-6</v>
      </c>
      <c r="I175" s="72">
        <v>-8624.7999999999993</v>
      </c>
      <c r="J175" s="72">
        <v>183.59</v>
      </c>
      <c r="K175" s="69">
        <f t="shared" si="29"/>
        <v>14591.767852701782</v>
      </c>
      <c r="L175" s="69">
        <f t="shared" si="24"/>
        <v>1730054135.458693</v>
      </c>
      <c r="M175" s="71"/>
      <c r="N175" s="453"/>
      <c r="O175" s="454"/>
      <c r="P175" s="348" t="str">
        <f t="shared" si="25"/>
        <v/>
      </c>
      <c r="Q175" s="612" t="str">
        <f t="shared" si="26"/>
        <v/>
      </c>
      <c r="R175" s="348" t="str">
        <f t="shared" si="27"/>
        <v/>
      </c>
      <c r="S175" s="613" t="str">
        <f t="shared" si="28"/>
        <v/>
      </c>
      <c r="T175" s="613">
        <f t="shared" si="30"/>
        <v>1730054135.458693</v>
      </c>
      <c r="U175" s="614" t="str">
        <f t="shared" si="31"/>
        <v/>
      </c>
    </row>
    <row r="176" spans="2:21" ht="15" customHeight="1">
      <c r="B176" s="690">
        <v>1165</v>
      </c>
      <c r="C176" s="71" t="s">
        <v>697</v>
      </c>
      <c r="D176" s="19" t="s">
        <v>1034</v>
      </c>
      <c r="E176" s="73">
        <v>271.81</v>
      </c>
      <c r="F176" s="69">
        <v>9.2499999999999999E-5</v>
      </c>
      <c r="G176" s="69">
        <f t="shared" si="22"/>
        <v>2.5142424999999999E-2</v>
      </c>
      <c r="H176" s="69">
        <f t="shared" si="23"/>
        <v>1.4355999999999999E-2</v>
      </c>
      <c r="I176" s="72">
        <v>-769.8</v>
      </c>
      <c r="J176" s="72">
        <v>27.89</v>
      </c>
      <c r="K176" s="69">
        <f t="shared" si="29"/>
        <v>2832.1253817004526</v>
      </c>
      <c r="L176" s="69">
        <f t="shared" si="24"/>
        <v>335787293.09630382</v>
      </c>
      <c r="M176" s="71"/>
      <c r="N176" s="453"/>
      <c r="O176" s="454"/>
      <c r="P176" s="348" t="str">
        <f t="shared" si="25"/>
        <v/>
      </c>
      <c r="Q176" s="612" t="str">
        <f t="shared" si="26"/>
        <v/>
      </c>
      <c r="R176" s="348" t="str">
        <f t="shared" si="27"/>
        <v/>
      </c>
      <c r="S176" s="613" t="str">
        <f t="shared" si="28"/>
        <v/>
      </c>
      <c r="T176" s="613">
        <f t="shared" si="30"/>
        <v>335787293.09630382</v>
      </c>
      <c r="U176" s="614" t="str">
        <f t="shared" si="31"/>
        <v/>
      </c>
    </row>
    <row r="177" spans="2:21" ht="15" customHeight="1">
      <c r="B177" s="690">
        <v>1166</v>
      </c>
      <c r="C177" s="71" t="s">
        <v>695</v>
      </c>
      <c r="D177" s="19" t="s">
        <v>696</v>
      </c>
      <c r="E177" s="73">
        <v>891.53</v>
      </c>
      <c r="F177" s="69">
        <v>5.6099999999999997E-12</v>
      </c>
      <c r="G177" s="69">
        <f t="shared" si="22"/>
        <v>5.0014832999999998E-9</v>
      </c>
      <c r="H177" s="69">
        <f t="shared" si="23"/>
        <v>8.7067199999999987E-10</v>
      </c>
      <c r="I177" s="72">
        <v>-7865.3</v>
      </c>
      <c r="J177" s="72">
        <v>887.38</v>
      </c>
      <c r="K177" s="69">
        <f t="shared" si="29"/>
        <v>8822.2493914955194</v>
      </c>
      <c r="L177" s="69">
        <f t="shared" si="24"/>
        <v>1045998620.4467131</v>
      </c>
      <c r="M177" s="71"/>
      <c r="N177" s="453"/>
      <c r="O177" s="454"/>
      <c r="P177" s="348" t="str">
        <f t="shared" si="25"/>
        <v/>
      </c>
      <c r="Q177" s="612" t="str">
        <f t="shared" si="26"/>
        <v/>
      </c>
      <c r="R177" s="348" t="str">
        <f t="shared" si="27"/>
        <v/>
      </c>
      <c r="S177" s="613" t="str">
        <f t="shared" si="28"/>
        <v/>
      </c>
      <c r="T177" s="613">
        <f t="shared" si="30"/>
        <v>1045998620.4467131</v>
      </c>
      <c r="U177" s="614" t="str">
        <f t="shared" si="31"/>
        <v/>
      </c>
    </row>
    <row r="178" spans="2:21" ht="15" customHeight="1">
      <c r="B178" s="690">
        <v>1167</v>
      </c>
      <c r="C178" s="71" t="s">
        <v>249</v>
      </c>
      <c r="D178" s="19" t="s">
        <v>248</v>
      </c>
      <c r="E178" s="70">
        <v>389.88</v>
      </c>
      <c r="F178" s="69">
        <v>2.76E-9</v>
      </c>
      <c r="G178" s="69">
        <f t="shared" si="22"/>
        <v>1.0760688000000001E-6</v>
      </c>
      <c r="H178" s="69">
        <f t="shared" si="23"/>
        <v>4.2835199999999994E-7</v>
      </c>
      <c r="I178" s="72">
        <v>-839.3</v>
      </c>
      <c r="J178" s="72">
        <v>78.75</v>
      </c>
      <c r="K178" s="69">
        <f t="shared" si="29"/>
        <v>2152.7136554837384</v>
      </c>
      <c r="L178" s="69">
        <f t="shared" si="24"/>
        <v>255233718.06099942</v>
      </c>
      <c r="M178" s="71"/>
      <c r="N178" s="453"/>
      <c r="O178" s="454"/>
      <c r="P178" s="348" t="str">
        <f t="shared" si="25"/>
        <v/>
      </c>
      <c r="Q178" s="612" t="str">
        <f t="shared" si="26"/>
        <v/>
      </c>
      <c r="R178" s="348" t="str">
        <f t="shared" si="27"/>
        <v/>
      </c>
      <c r="S178" s="613" t="str">
        <f t="shared" si="28"/>
        <v/>
      </c>
      <c r="T178" s="613">
        <f t="shared" si="30"/>
        <v>255233718.06099942</v>
      </c>
      <c r="U178" s="614" t="str">
        <f t="shared" si="31"/>
        <v/>
      </c>
    </row>
    <row r="179" spans="2:21" ht="15" customHeight="1">
      <c r="B179" s="690">
        <v>1168</v>
      </c>
      <c r="C179" s="71" t="s">
        <v>694</v>
      </c>
      <c r="D179" s="19" t="s">
        <v>1035</v>
      </c>
      <c r="E179" s="73">
        <v>390.09100000000001</v>
      </c>
      <c r="F179" s="69">
        <v>2.5899999999999999E-11</v>
      </c>
      <c r="G179" s="69">
        <f t="shared" si="22"/>
        <v>1.0103356899999999E-8</v>
      </c>
      <c r="H179" s="69">
        <f t="shared" si="23"/>
        <v>4.0196799999999995E-9</v>
      </c>
      <c r="I179" s="72">
        <v>-3925.1</v>
      </c>
      <c r="J179" s="72">
        <v>472.97</v>
      </c>
      <c r="K179" s="69">
        <f t="shared" si="29"/>
        <v>10062.011171752232</v>
      </c>
      <c r="L179" s="69">
        <f t="shared" si="24"/>
        <v>1192989376.9176381</v>
      </c>
      <c r="M179" s="71"/>
      <c r="N179" s="453"/>
      <c r="O179" s="454"/>
      <c r="P179" s="348" t="str">
        <f t="shared" si="25"/>
        <v/>
      </c>
      <c r="Q179" s="612" t="str">
        <f t="shared" si="26"/>
        <v/>
      </c>
      <c r="R179" s="348" t="str">
        <f t="shared" si="27"/>
        <v/>
      </c>
      <c r="S179" s="613" t="str">
        <f t="shared" si="28"/>
        <v/>
      </c>
      <c r="T179" s="613">
        <f t="shared" si="30"/>
        <v>1192989376.9176381</v>
      </c>
      <c r="U179" s="614" t="str">
        <f t="shared" si="31"/>
        <v/>
      </c>
    </row>
    <row r="180" spans="2:21" ht="15" customHeight="1">
      <c r="B180" s="690">
        <v>1169</v>
      </c>
      <c r="C180" s="71" t="s">
        <v>693</v>
      </c>
      <c r="D180" s="19" t="s">
        <v>827</v>
      </c>
      <c r="E180" s="70">
        <v>314.24</v>
      </c>
      <c r="F180" s="69">
        <v>6.3600000000000001E-6</v>
      </c>
      <c r="G180" s="69">
        <f t="shared" si="22"/>
        <v>1.9985663999999999E-3</v>
      </c>
      <c r="H180" s="69">
        <f t="shared" si="23"/>
        <v>9.8707199999999986E-4</v>
      </c>
      <c r="I180" s="72">
        <v>-4510.6000000000004</v>
      </c>
      <c r="J180" s="72">
        <v>250.37</v>
      </c>
      <c r="K180" s="69">
        <f t="shared" si="29"/>
        <v>14353.996945010183</v>
      </c>
      <c r="L180" s="69">
        <f t="shared" si="24"/>
        <v>1701863134.4575737</v>
      </c>
      <c r="M180" s="71"/>
      <c r="N180" s="453"/>
      <c r="O180" s="454"/>
      <c r="P180" s="348" t="str">
        <f t="shared" si="25"/>
        <v/>
      </c>
      <c r="Q180" s="612" t="str">
        <f t="shared" si="26"/>
        <v/>
      </c>
      <c r="R180" s="348" t="str">
        <f t="shared" si="27"/>
        <v/>
      </c>
      <c r="S180" s="613" t="str">
        <f t="shared" si="28"/>
        <v/>
      </c>
      <c r="T180" s="613">
        <f t="shared" si="30"/>
        <v>1701863134.4575737</v>
      </c>
      <c r="U180" s="614" t="str">
        <f t="shared" si="31"/>
        <v/>
      </c>
    </row>
    <row r="181" spans="2:21" ht="15" customHeight="1">
      <c r="B181" s="690">
        <v>1170</v>
      </c>
      <c r="C181" s="71" t="s">
        <v>347</v>
      </c>
      <c r="D181" s="19" t="s">
        <v>110</v>
      </c>
      <c r="E181" s="70">
        <v>207.2</v>
      </c>
      <c r="F181" s="69">
        <v>3.0499999999999998E-10</v>
      </c>
      <c r="G181" s="69">
        <f t="shared" si="22"/>
        <v>6.3195999999999992E-8</v>
      </c>
      <c r="H181" s="69">
        <f t="shared" si="23"/>
        <v>4.7335999999999995E-8</v>
      </c>
      <c r="I181" s="72">
        <f>-160.95848/E181</f>
        <v>-0.776826640926641</v>
      </c>
      <c r="J181" s="72">
        <v>231.61</v>
      </c>
      <c r="K181" s="69">
        <f t="shared" si="29"/>
        <v>3.7491633249355258</v>
      </c>
      <c r="L181" s="69">
        <f t="shared" si="24"/>
        <v>444514.71406967239</v>
      </c>
      <c r="M181" s="71"/>
      <c r="N181" s="453"/>
      <c r="O181" s="454"/>
      <c r="P181" s="348" t="str">
        <f t="shared" si="25"/>
        <v/>
      </c>
      <c r="Q181" s="612" t="str">
        <f t="shared" si="26"/>
        <v/>
      </c>
      <c r="R181" s="348" t="str">
        <f t="shared" si="27"/>
        <v/>
      </c>
      <c r="S181" s="613" t="str">
        <f t="shared" si="28"/>
        <v/>
      </c>
      <c r="T181" s="613">
        <f t="shared" si="30"/>
        <v>444514.71406967239</v>
      </c>
      <c r="U181" s="614" t="str">
        <f t="shared" si="31"/>
        <v/>
      </c>
    </row>
    <row r="182" spans="2:21" ht="15" customHeight="1">
      <c r="B182" s="690">
        <v>1171</v>
      </c>
      <c r="C182" s="71" t="s">
        <v>691</v>
      </c>
      <c r="D182" s="19" t="s">
        <v>692</v>
      </c>
      <c r="E182" s="70">
        <v>388.3</v>
      </c>
      <c r="F182" s="69">
        <v>1.03E-7</v>
      </c>
      <c r="G182" s="69">
        <f t="shared" si="22"/>
        <v>3.9994899999999999E-5</v>
      </c>
      <c r="H182" s="69">
        <f t="shared" si="23"/>
        <v>1.5985599999999998E-5</v>
      </c>
      <c r="I182" s="72">
        <v>-5654.7</v>
      </c>
      <c r="J182" s="72">
        <v>134.72</v>
      </c>
      <c r="K182" s="69">
        <f t="shared" si="29"/>
        <v>14562.709245428792</v>
      </c>
      <c r="L182" s="69">
        <f t="shared" si="24"/>
        <v>1726608839.1662362</v>
      </c>
      <c r="M182" s="71"/>
      <c r="N182" s="453"/>
      <c r="O182" s="454"/>
      <c r="P182" s="348" t="str">
        <f t="shared" si="25"/>
        <v/>
      </c>
      <c r="Q182" s="612" t="str">
        <f t="shared" si="26"/>
        <v/>
      </c>
      <c r="R182" s="348" t="str">
        <f t="shared" si="27"/>
        <v/>
      </c>
      <c r="S182" s="613" t="str">
        <f t="shared" si="28"/>
        <v/>
      </c>
      <c r="T182" s="613">
        <f t="shared" si="30"/>
        <v>1726608839.1662362</v>
      </c>
      <c r="U182" s="614" t="str">
        <f t="shared" si="31"/>
        <v/>
      </c>
    </row>
    <row r="183" spans="2:21" ht="15" customHeight="1">
      <c r="B183" s="690">
        <v>1172</v>
      </c>
      <c r="C183" s="71" t="s">
        <v>690</v>
      </c>
      <c r="D183" s="19" t="s">
        <v>1036</v>
      </c>
      <c r="E183" s="70">
        <v>517.78250000000003</v>
      </c>
      <c r="F183" s="69">
        <v>1.7799999999999999E-6</v>
      </c>
      <c r="G183" s="69">
        <f t="shared" si="22"/>
        <v>9.2165284999999998E-4</v>
      </c>
      <c r="H183" s="69">
        <f t="shared" si="23"/>
        <v>2.7625599999999995E-4</v>
      </c>
      <c r="I183" s="72">
        <v>-4642.3</v>
      </c>
      <c r="J183" s="72">
        <f>AVERAGE(313.02,318.71)</f>
        <v>315.86500000000001</v>
      </c>
      <c r="K183" s="69">
        <f t="shared" si="29"/>
        <v>8965.7336816134175</v>
      </c>
      <c r="L183" s="69">
        <f t="shared" si="24"/>
        <v>1063010650.2430795</v>
      </c>
      <c r="M183" s="71"/>
      <c r="N183" s="453"/>
      <c r="O183" s="454"/>
      <c r="P183" s="348" t="str">
        <f t="shared" si="25"/>
        <v/>
      </c>
      <c r="Q183" s="612" t="str">
        <f t="shared" si="26"/>
        <v/>
      </c>
      <c r="R183" s="348" t="str">
        <f t="shared" si="27"/>
        <v/>
      </c>
      <c r="S183" s="613" t="str">
        <f t="shared" si="28"/>
        <v/>
      </c>
      <c r="T183" s="613">
        <f t="shared" si="30"/>
        <v>1063010650.2430795</v>
      </c>
      <c r="U183" s="614" t="str">
        <f t="shared" si="31"/>
        <v/>
      </c>
    </row>
    <row r="184" spans="2:21" ht="15" customHeight="1">
      <c r="B184" s="690">
        <v>1173</v>
      </c>
      <c r="C184" s="71" t="s">
        <v>346</v>
      </c>
      <c r="D184" s="19" t="s">
        <v>345</v>
      </c>
      <c r="E184" s="70">
        <v>196.03</v>
      </c>
      <c r="F184" s="69">
        <v>1.9E-6</v>
      </c>
      <c r="G184" s="69">
        <f t="shared" si="22"/>
        <v>3.7245700000000003E-4</v>
      </c>
      <c r="H184" s="69">
        <f t="shared" si="23"/>
        <v>2.9487999999999997E-4</v>
      </c>
      <c r="I184" s="72">
        <v>-2454.8000000000002</v>
      </c>
      <c r="J184" s="72">
        <v>47.27</v>
      </c>
      <c r="K184" s="69">
        <f t="shared" si="29"/>
        <v>12522.573075549661</v>
      </c>
      <c r="L184" s="69">
        <f t="shared" si="24"/>
        <v>1484722725.4870956</v>
      </c>
      <c r="M184" s="71"/>
      <c r="N184" s="453"/>
      <c r="O184" s="454"/>
      <c r="P184" s="348" t="str">
        <f t="shared" si="25"/>
        <v/>
      </c>
      <c r="Q184" s="612" t="str">
        <f t="shared" si="26"/>
        <v/>
      </c>
      <c r="R184" s="348" t="str">
        <f t="shared" si="27"/>
        <v/>
      </c>
      <c r="S184" s="613" t="str">
        <f t="shared" si="28"/>
        <v/>
      </c>
      <c r="T184" s="613">
        <f t="shared" si="30"/>
        <v>1484722725.4870956</v>
      </c>
      <c r="U184" s="614" t="str">
        <f t="shared" si="31"/>
        <v/>
      </c>
    </row>
    <row r="185" spans="2:21" ht="15" customHeight="1">
      <c r="B185" s="690">
        <v>1174</v>
      </c>
      <c r="C185" s="71" t="s">
        <v>354</v>
      </c>
      <c r="D185" s="19" t="s">
        <v>689</v>
      </c>
      <c r="E185" s="73">
        <v>305.0616</v>
      </c>
      <c r="F185" s="69">
        <v>1.6900000000000001E-11</v>
      </c>
      <c r="G185" s="69">
        <f t="shared" si="22"/>
        <v>5.1555410400000003E-9</v>
      </c>
      <c r="H185" s="69">
        <f t="shared" si="23"/>
        <v>2.6228799999999999E-9</v>
      </c>
      <c r="I185" s="72">
        <v>-323.60000000000002</v>
      </c>
      <c r="J185" s="72">
        <v>1806.33</v>
      </c>
      <c r="K185" s="69">
        <f t="shared" si="29"/>
        <v>1060.7693659247836</v>
      </c>
      <c r="L185" s="69">
        <f t="shared" si="24"/>
        <v>125768751.72436818</v>
      </c>
      <c r="M185" s="71" t="s">
        <v>310</v>
      </c>
      <c r="N185" s="453">
        <f>3*'Crust Element Composition'!E19/'Singular Minerals'!E185</f>
        <v>0.57955376881259391</v>
      </c>
      <c r="O185" s="463">
        <f>'EmCF Library'!Z35/N185</f>
        <v>3.4509308844590148E-3</v>
      </c>
      <c r="P185" s="348">
        <f t="shared" si="25"/>
        <v>1.7556600806789156E-3</v>
      </c>
      <c r="Q185" s="612">
        <f t="shared" si="26"/>
        <v>108.99793330055167</v>
      </c>
      <c r="R185" s="348">
        <f t="shared" si="27"/>
        <v>4877668003.7656155</v>
      </c>
      <c r="S185" s="613">
        <f t="shared" si="28"/>
        <v>6021587181.6901083</v>
      </c>
      <c r="T185" s="613">
        <f t="shared" si="30"/>
        <v>6021587181.6901083</v>
      </c>
      <c r="U185" s="614">
        <f t="shared" si="31"/>
        <v>10390040589.378456</v>
      </c>
    </row>
    <row r="186" spans="2:21" ht="15" customHeight="1">
      <c r="B186" s="690">
        <v>1175</v>
      </c>
      <c r="C186" s="71" t="s">
        <v>687</v>
      </c>
      <c r="D186" s="19" t="s">
        <v>688</v>
      </c>
      <c r="E186" s="73">
        <v>205.6884</v>
      </c>
      <c r="F186" s="69">
        <v>1.2999999999999999E-12</v>
      </c>
      <c r="G186" s="69">
        <f t="shared" si="22"/>
        <v>2.6739491999999999E-10</v>
      </c>
      <c r="H186" s="69">
        <f t="shared" si="23"/>
        <v>2.0175999999999998E-10</v>
      </c>
      <c r="I186" s="72">
        <v>-80.2</v>
      </c>
      <c r="J186" s="72">
        <v>1284.43</v>
      </c>
      <c r="K186" s="69">
        <f t="shared" si="29"/>
        <v>389.9101748081078</v>
      </c>
      <c r="L186" s="69">
        <f t="shared" si="24"/>
        <v>46229196.982412763</v>
      </c>
      <c r="M186" s="71"/>
      <c r="N186" s="453"/>
      <c r="O186" s="454"/>
      <c r="P186" s="348" t="str">
        <f t="shared" si="25"/>
        <v/>
      </c>
      <c r="Q186" s="612" t="str">
        <f t="shared" si="26"/>
        <v/>
      </c>
      <c r="R186" s="348" t="str">
        <f t="shared" si="27"/>
        <v/>
      </c>
      <c r="S186" s="613" t="str">
        <f t="shared" si="28"/>
        <v/>
      </c>
      <c r="T186" s="613">
        <f t="shared" si="30"/>
        <v>46229196.982412763</v>
      </c>
      <c r="U186" s="614" t="str">
        <f t="shared" si="31"/>
        <v/>
      </c>
    </row>
    <row r="187" spans="2:21" ht="15" customHeight="1">
      <c r="B187" s="690">
        <v>1176</v>
      </c>
      <c r="C187" s="71" t="s">
        <v>685</v>
      </c>
      <c r="D187" s="19" t="s">
        <v>1037</v>
      </c>
      <c r="E187" s="73">
        <v>164.6</v>
      </c>
      <c r="F187" s="69">
        <v>4.8099999999999999E-10</v>
      </c>
      <c r="G187" s="69">
        <f t="shared" si="22"/>
        <v>7.9172599999999995E-8</v>
      </c>
      <c r="H187" s="69">
        <f t="shared" si="23"/>
        <v>7.4651199999999995E-8</v>
      </c>
      <c r="I187" s="72">
        <v>-1343.6</v>
      </c>
      <c r="J187" s="72">
        <v>184.27</v>
      </c>
      <c r="K187" s="69">
        <f t="shared" si="29"/>
        <v>8162.8189550425277</v>
      </c>
      <c r="L187" s="69">
        <f t="shared" si="24"/>
        <v>967814101.2610141</v>
      </c>
      <c r="M187" s="71"/>
      <c r="N187" s="453"/>
      <c r="O187" s="454"/>
      <c r="P187" s="348" t="str">
        <f t="shared" si="25"/>
        <v/>
      </c>
      <c r="Q187" s="612" t="str">
        <f t="shared" si="26"/>
        <v/>
      </c>
      <c r="R187" s="348" t="str">
        <f t="shared" si="27"/>
        <v/>
      </c>
      <c r="S187" s="613" t="str">
        <f t="shared" si="28"/>
        <v/>
      </c>
      <c r="T187" s="613">
        <f t="shared" si="30"/>
        <v>967814101.2610141</v>
      </c>
      <c r="U187" s="614" t="str">
        <f t="shared" si="31"/>
        <v/>
      </c>
    </row>
    <row r="188" spans="2:21" ht="15" customHeight="1">
      <c r="B188" s="690">
        <v>1177</v>
      </c>
      <c r="C188" s="71" t="s">
        <v>683</v>
      </c>
      <c r="D188" s="19" t="s">
        <v>684</v>
      </c>
      <c r="E188" s="73">
        <v>200</v>
      </c>
      <c r="F188" s="69">
        <v>4.3999999999999998E-10</v>
      </c>
      <c r="G188" s="69">
        <f t="shared" si="22"/>
        <v>8.7999999999999994E-8</v>
      </c>
      <c r="H188" s="69">
        <f t="shared" si="23"/>
        <v>6.8287999999999996E-8</v>
      </c>
      <c r="I188" s="72">
        <v>-1351</v>
      </c>
      <c r="J188" s="72">
        <v>73.290000000000006</v>
      </c>
      <c r="K188" s="69">
        <f t="shared" si="29"/>
        <v>6755</v>
      </c>
      <c r="L188" s="69">
        <f t="shared" si="24"/>
        <v>800897862.61639428</v>
      </c>
      <c r="M188" s="71"/>
      <c r="N188" s="453"/>
      <c r="O188" s="454"/>
      <c r="P188" s="348" t="str">
        <f t="shared" si="25"/>
        <v/>
      </c>
      <c r="Q188" s="612" t="str">
        <f t="shared" si="26"/>
        <v/>
      </c>
      <c r="R188" s="348" t="str">
        <f t="shared" si="27"/>
        <v/>
      </c>
      <c r="S188" s="613" t="str">
        <f t="shared" si="28"/>
        <v/>
      </c>
      <c r="T188" s="613">
        <f t="shared" si="30"/>
        <v>800897862.61639428</v>
      </c>
      <c r="U188" s="614" t="str">
        <f t="shared" si="31"/>
        <v/>
      </c>
    </row>
    <row r="189" spans="2:21" ht="15" customHeight="1">
      <c r="B189" s="690">
        <v>1178</v>
      </c>
      <c r="C189" s="71" t="s">
        <v>113</v>
      </c>
      <c r="D189" s="19" t="s">
        <v>112</v>
      </c>
      <c r="E189" s="70">
        <v>84.31</v>
      </c>
      <c r="F189" s="69">
        <v>3.58E-7</v>
      </c>
      <c r="G189" s="69">
        <f t="shared" si="22"/>
        <v>3.0182980000000001E-5</v>
      </c>
      <c r="H189" s="69">
        <f t="shared" si="23"/>
        <v>5.5561599999999993E-5</v>
      </c>
      <c r="I189" s="72">
        <v>-1030.2</v>
      </c>
      <c r="J189" s="72">
        <f>AVERAGE(15.21,32.79)</f>
        <v>24</v>
      </c>
      <c r="K189" s="69">
        <f t="shared" si="29"/>
        <v>12219.191080536117</v>
      </c>
      <c r="L189" s="69">
        <f t="shared" si="24"/>
        <v>1448752630.5407381</v>
      </c>
      <c r="M189" s="71"/>
      <c r="N189" s="453"/>
      <c r="O189" s="454">
        <f>'EmCF Library'!Z66</f>
        <v>0.6</v>
      </c>
      <c r="P189" s="348">
        <f t="shared" si="25"/>
        <v>1.1044953149092633</v>
      </c>
      <c r="Q189" s="612">
        <f t="shared" si="26"/>
        <v>290.99609630638054</v>
      </c>
      <c r="R189" s="348">
        <f t="shared" si="27"/>
        <v>76237562800476.078</v>
      </c>
      <c r="S189" s="613">
        <f t="shared" si="28"/>
        <v>16076069613.252867</v>
      </c>
      <c r="T189" s="613">
        <f t="shared" si="30"/>
        <v>16076069613.252867</v>
      </c>
      <c r="U189" s="614" t="str">
        <f t="shared" si="31"/>
        <v/>
      </c>
    </row>
    <row r="190" spans="2:21" ht="15" customHeight="1">
      <c r="B190" s="690">
        <v>1179</v>
      </c>
      <c r="C190" s="71" t="s">
        <v>206</v>
      </c>
      <c r="D190" s="19" t="s">
        <v>682</v>
      </c>
      <c r="E190" s="70">
        <f>55.85*3+16*4</f>
        <v>231.55</v>
      </c>
      <c r="F190" s="69">
        <v>3.43E-5</v>
      </c>
      <c r="G190" s="69">
        <f t="shared" si="22"/>
        <v>7.942165000000001E-3</v>
      </c>
      <c r="H190" s="69">
        <f t="shared" si="23"/>
        <v>5.3233600000000001E-3</v>
      </c>
      <c r="I190" s="72">
        <v>-1015.9</v>
      </c>
      <c r="J190" s="72">
        <f>AVERAGE(122.82,127.38)</f>
        <v>125.1</v>
      </c>
      <c r="K190" s="69">
        <f t="shared" si="29"/>
        <v>4387.3893327575033</v>
      </c>
      <c r="L190" s="69">
        <f t="shared" si="24"/>
        <v>520185157.52353114</v>
      </c>
      <c r="M190" s="71"/>
      <c r="N190" s="453"/>
      <c r="O190" s="454"/>
      <c r="P190" s="348" t="str">
        <f t="shared" si="25"/>
        <v/>
      </c>
      <c r="Q190" s="612" t="str">
        <f t="shared" si="26"/>
        <v/>
      </c>
      <c r="R190" s="348" t="str">
        <f t="shared" si="27"/>
        <v/>
      </c>
      <c r="S190" s="613" t="str">
        <f t="shared" si="28"/>
        <v/>
      </c>
      <c r="T190" s="613">
        <f t="shared" si="30"/>
        <v>520185157.52353114</v>
      </c>
      <c r="U190" s="614" t="str">
        <f t="shared" si="31"/>
        <v/>
      </c>
    </row>
    <row r="191" spans="2:21" ht="15" customHeight="1">
      <c r="B191" s="690">
        <v>1180</v>
      </c>
      <c r="C191" s="71" t="s">
        <v>680</v>
      </c>
      <c r="D191" s="19" t="s">
        <v>681</v>
      </c>
      <c r="E191" s="70">
        <v>221.12</v>
      </c>
      <c r="F191" s="69">
        <v>5.4599999999999998E-9</v>
      </c>
      <c r="G191" s="69">
        <f t="shared" si="22"/>
        <v>1.2073151999999999E-6</v>
      </c>
      <c r="H191" s="69">
        <f t="shared" si="23"/>
        <v>8.4739199999999992E-7</v>
      </c>
      <c r="I191" s="72">
        <v>-906</v>
      </c>
      <c r="J191" s="72">
        <f>AVERAGE(19.3,18.58,30.48)</f>
        <v>22.786666666666665</v>
      </c>
      <c r="K191" s="69">
        <f t="shared" si="29"/>
        <v>4097.3227206946458</v>
      </c>
      <c r="L191" s="69">
        <f t="shared" si="24"/>
        <v>485793783.78296542</v>
      </c>
      <c r="M191" s="71"/>
      <c r="N191" s="453"/>
      <c r="O191" s="454"/>
      <c r="P191" s="348" t="str">
        <f t="shared" si="25"/>
        <v/>
      </c>
      <c r="Q191" s="612" t="str">
        <f t="shared" si="26"/>
        <v/>
      </c>
      <c r="R191" s="348" t="str">
        <f t="shared" si="27"/>
        <v/>
      </c>
      <c r="S191" s="613" t="str">
        <f t="shared" si="28"/>
        <v/>
      </c>
      <c r="T191" s="613">
        <f t="shared" si="30"/>
        <v>485793783.78296542</v>
      </c>
      <c r="U191" s="614" t="str">
        <f t="shared" si="31"/>
        <v/>
      </c>
    </row>
    <row r="192" spans="2:21" ht="15" customHeight="1">
      <c r="B192" s="690">
        <v>1181</v>
      </c>
      <c r="C192" s="71" t="s">
        <v>678</v>
      </c>
      <c r="D192" s="19" t="s">
        <v>679</v>
      </c>
      <c r="E192" s="70">
        <v>87.94</v>
      </c>
      <c r="F192" s="69">
        <v>1.55E-7</v>
      </c>
      <c r="G192" s="69">
        <f t="shared" si="22"/>
        <v>1.36307E-5</v>
      </c>
      <c r="H192" s="69">
        <f t="shared" si="23"/>
        <v>2.4055999999999998E-5</v>
      </c>
      <c r="I192" s="72">
        <v>-557.29999999999995</v>
      </c>
      <c r="J192" s="72">
        <v>60.76</v>
      </c>
      <c r="K192" s="69">
        <f t="shared" si="29"/>
        <v>6337.2754150557203</v>
      </c>
      <c r="L192" s="69">
        <f t="shared" si="24"/>
        <v>751370885.97032559</v>
      </c>
      <c r="M192" s="71"/>
      <c r="N192" s="453"/>
      <c r="O192" s="454"/>
      <c r="P192" s="348" t="str">
        <f t="shared" si="25"/>
        <v/>
      </c>
      <c r="Q192" s="612" t="str">
        <f t="shared" si="26"/>
        <v/>
      </c>
      <c r="R192" s="348" t="str">
        <f t="shared" si="27"/>
        <v/>
      </c>
      <c r="S192" s="613" t="str">
        <f t="shared" si="28"/>
        <v/>
      </c>
      <c r="T192" s="613">
        <f t="shared" si="30"/>
        <v>751370885.97032559</v>
      </c>
      <c r="U192" s="614" t="str">
        <f t="shared" si="31"/>
        <v/>
      </c>
    </row>
    <row r="193" spans="2:21" ht="15" customHeight="1">
      <c r="B193" s="690">
        <v>1182</v>
      </c>
      <c r="C193" s="71" t="s">
        <v>677</v>
      </c>
      <c r="D193" s="19" t="s">
        <v>128</v>
      </c>
      <c r="E193" s="70">
        <v>119.98</v>
      </c>
      <c r="F193" s="69">
        <v>5.2399999999999999E-8</v>
      </c>
      <c r="G193" s="69">
        <f t="shared" si="22"/>
        <v>6.2869520000000005E-6</v>
      </c>
      <c r="H193" s="69">
        <f t="shared" si="23"/>
        <v>8.1324799999999991E-6</v>
      </c>
      <c r="I193" s="72">
        <v>-156.6</v>
      </c>
      <c r="J193" s="72">
        <v>1433</v>
      </c>
      <c r="K193" s="69">
        <f t="shared" si="29"/>
        <v>1305.2175362560426</v>
      </c>
      <c r="L193" s="69">
        <f t="shared" si="24"/>
        <v>154751433.75823846</v>
      </c>
      <c r="M193" s="71"/>
      <c r="N193" s="453"/>
      <c r="O193" s="454"/>
      <c r="P193" s="348" t="str">
        <f t="shared" si="25"/>
        <v/>
      </c>
      <c r="Q193" s="612" t="str">
        <f t="shared" si="26"/>
        <v/>
      </c>
      <c r="R193" s="348" t="str">
        <f t="shared" si="27"/>
        <v/>
      </c>
      <c r="S193" s="613" t="str">
        <f t="shared" si="28"/>
        <v/>
      </c>
      <c r="T193" s="613">
        <f t="shared" si="30"/>
        <v>154751433.75823846</v>
      </c>
      <c r="U193" s="614" t="str">
        <f t="shared" si="31"/>
        <v/>
      </c>
    </row>
    <row r="194" spans="2:21" ht="15" customHeight="1">
      <c r="B194" s="690">
        <v>1183</v>
      </c>
      <c r="C194" s="71" t="s">
        <v>676</v>
      </c>
      <c r="D194" s="19" t="s">
        <v>1040</v>
      </c>
      <c r="E194" s="73">
        <v>232.6575</v>
      </c>
      <c r="F194" s="69">
        <v>3.17E-12</v>
      </c>
      <c r="G194" s="69">
        <f t="shared" si="22"/>
        <v>7.3752427499999997E-10</v>
      </c>
      <c r="H194" s="69">
        <f t="shared" si="23"/>
        <v>4.9198399999999992E-10</v>
      </c>
      <c r="I194" s="72">
        <v>-47.7</v>
      </c>
      <c r="J194" s="72">
        <v>674.35</v>
      </c>
      <c r="K194" s="69">
        <f t="shared" si="29"/>
        <v>205.02240417781502</v>
      </c>
      <c r="L194" s="69">
        <f t="shared" si="24"/>
        <v>24308216.919983208</v>
      </c>
      <c r="M194" s="71"/>
      <c r="N194" s="453"/>
      <c r="O194" s="454"/>
      <c r="P194" s="348" t="str">
        <f t="shared" si="25"/>
        <v/>
      </c>
      <c r="Q194" s="612" t="str">
        <f t="shared" si="26"/>
        <v/>
      </c>
      <c r="R194" s="348" t="str">
        <f t="shared" si="27"/>
        <v/>
      </c>
      <c r="S194" s="613" t="str">
        <f t="shared" si="28"/>
        <v/>
      </c>
      <c r="T194" s="613">
        <f t="shared" si="30"/>
        <v>24308216.919983208</v>
      </c>
      <c r="U194" s="614" t="str">
        <f t="shared" si="31"/>
        <v/>
      </c>
    </row>
    <row r="195" spans="2:21" ht="15" customHeight="1">
      <c r="B195" s="690">
        <v>1184</v>
      </c>
      <c r="C195" s="71" t="s">
        <v>675</v>
      </c>
      <c r="D195" s="19" t="s">
        <v>1038</v>
      </c>
      <c r="E195" s="70">
        <v>547.82399999999996</v>
      </c>
      <c r="F195" s="69">
        <v>8.7099999999999998E-12</v>
      </c>
      <c r="G195" s="69">
        <f t="shared" si="22"/>
        <v>4.7715470399999994E-9</v>
      </c>
      <c r="H195" s="69">
        <f t="shared" si="23"/>
        <v>1.351792E-9</v>
      </c>
      <c r="I195" s="72">
        <v>-3004.3</v>
      </c>
      <c r="J195" s="72">
        <v>321.64999999999998</v>
      </c>
      <c r="K195" s="69">
        <f t="shared" si="29"/>
        <v>5484.060574199013</v>
      </c>
      <c r="L195" s="69">
        <f t="shared" si="24"/>
        <v>650210568.81344569</v>
      </c>
      <c r="M195" s="71"/>
      <c r="N195" s="453"/>
      <c r="O195" s="454"/>
      <c r="P195" s="348" t="str">
        <f t="shared" si="25"/>
        <v/>
      </c>
      <c r="Q195" s="612" t="str">
        <f t="shared" si="26"/>
        <v/>
      </c>
      <c r="R195" s="348" t="str">
        <f t="shared" si="27"/>
        <v/>
      </c>
      <c r="S195" s="613" t="str">
        <f t="shared" si="28"/>
        <v/>
      </c>
      <c r="T195" s="613">
        <f t="shared" si="30"/>
        <v>650210568.81344569</v>
      </c>
      <c r="U195" s="614" t="str">
        <f t="shared" si="31"/>
        <v/>
      </c>
    </row>
    <row r="196" spans="2:21" ht="15" customHeight="1">
      <c r="B196" s="690">
        <v>1185</v>
      </c>
      <c r="C196" s="71" t="s">
        <v>673</v>
      </c>
      <c r="D196" s="19" t="s">
        <v>674</v>
      </c>
      <c r="E196" s="70">
        <v>1151.2850000000001</v>
      </c>
      <c r="F196" s="69">
        <v>2E-12</v>
      </c>
      <c r="G196" s="69">
        <f t="shared" si="22"/>
        <v>2.3025700000000002E-9</v>
      </c>
      <c r="H196" s="69">
        <f t="shared" si="23"/>
        <v>3.1039999999999998E-10</v>
      </c>
      <c r="I196" s="72">
        <v>-11035.1</v>
      </c>
      <c r="J196" s="72">
        <v>11820.68</v>
      </c>
      <c r="K196" s="69">
        <f t="shared" si="29"/>
        <v>9585.02890248722</v>
      </c>
      <c r="L196" s="69">
        <f t="shared" si="24"/>
        <v>1136436589.3587532</v>
      </c>
      <c r="M196" s="71"/>
      <c r="N196" s="453"/>
      <c r="O196" s="454"/>
      <c r="P196" s="348" t="str">
        <f t="shared" si="25"/>
        <v/>
      </c>
      <c r="Q196" s="612" t="str">
        <f t="shared" si="26"/>
        <v/>
      </c>
      <c r="R196" s="348" t="str">
        <f t="shared" si="27"/>
        <v/>
      </c>
      <c r="S196" s="613" t="str">
        <f t="shared" si="28"/>
        <v/>
      </c>
      <c r="T196" s="613">
        <f t="shared" si="30"/>
        <v>1136436589.3587532</v>
      </c>
      <c r="U196" s="614" t="str">
        <f t="shared" si="31"/>
        <v/>
      </c>
    </row>
    <row r="197" spans="2:21" ht="15" customHeight="1">
      <c r="B197" s="690">
        <v>1186</v>
      </c>
      <c r="C197" s="71" t="s">
        <v>671</v>
      </c>
      <c r="D197" s="19" t="s">
        <v>672</v>
      </c>
      <c r="E197" s="73">
        <v>40.096299999999999</v>
      </c>
      <c r="F197" s="69">
        <v>3.51E-11</v>
      </c>
      <c r="G197" s="69">
        <f t="shared" si="22"/>
        <v>1.4073801299999999E-9</v>
      </c>
      <c r="H197" s="69">
        <f t="shared" si="23"/>
        <v>5.4475199999999994E-9</v>
      </c>
      <c r="I197" s="72">
        <v>-60.3</v>
      </c>
      <c r="J197" s="72">
        <v>1204.05</v>
      </c>
      <c r="K197" s="69">
        <f t="shared" si="29"/>
        <v>1503.8794103196556</v>
      </c>
      <c r="L197" s="69">
        <f t="shared" si="24"/>
        <v>178305522.62884021</v>
      </c>
      <c r="M197" s="71"/>
      <c r="N197" s="453"/>
      <c r="O197" s="454"/>
      <c r="P197" s="348" t="str">
        <f t="shared" si="25"/>
        <v/>
      </c>
      <c r="Q197" s="612" t="str">
        <f t="shared" si="26"/>
        <v/>
      </c>
      <c r="R197" s="348" t="str">
        <f t="shared" si="27"/>
        <v/>
      </c>
      <c r="S197" s="613" t="str">
        <f t="shared" si="28"/>
        <v/>
      </c>
      <c r="T197" s="613">
        <f t="shared" si="30"/>
        <v>178305522.62884021</v>
      </c>
      <c r="U197" s="614" t="str">
        <f t="shared" si="31"/>
        <v/>
      </c>
    </row>
    <row r="198" spans="2:21" ht="15" customHeight="1">
      <c r="B198" s="690">
        <v>1187</v>
      </c>
      <c r="C198" s="71" t="s">
        <v>262</v>
      </c>
      <c r="D198" s="19" t="s">
        <v>117</v>
      </c>
      <c r="E198" s="70">
        <v>160.07</v>
      </c>
      <c r="F198" s="69">
        <v>1.14E-8</v>
      </c>
      <c r="G198" s="69">
        <f t="shared" si="22"/>
        <v>1.8247979999999998E-6</v>
      </c>
      <c r="H198" s="69">
        <f t="shared" si="23"/>
        <v>1.7692799999999998E-6</v>
      </c>
      <c r="I198" s="72">
        <v>-262.8</v>
      </c>
      <c r="J198" s="72">
        <v>1718.5</v>
      </c>
      <c r="K198" s="69">
        <f t="shared" si="29"/>
        <v>1641.7817204972825</v>
      </c>
      <c r="L198" s="69">
        <f t="shared" si="24"/>
        <v>194655732.17304814</v>
      </c>
      <c r="M198" s="71" t="s">
        <v>118</v>
      </c>
      <c r="N198" s="453">
        <f>'Crust Element Composition'!E43/E198</f>
        <v>0.5993627787842819</v>
      </c>
      <c r="O198" s="470">
        <f>'EmCF Library'!Z68/N198</f>
        <v>1.3681196581196581E-4</v>
      </c>
      <c r="P198" s="348">
        <f t="shared" si="25"/>
        <v>1.3264957264957266E-4</v>
      </c>
      <c r="Q198" s="612">
        <f t="shared" si="26"/>
        <v>66.854529674292664</v>
      </c>
      <c r="R198" s="348">
        <f t="shared" si="27"/>
        <v>1058925384512.3202</v>
      </c>
      <c r="S198" s="613">
        <f t="shared" si="28"/>
        <v>3693376257.0946302</v>
      </c>
      <c r="T198" s="613">
        <f t="shared" si="30"/>
        <v>3693376257.0946302</v>
      </c>
      <c r="U198" s="614">
        <f t="shared" si="31"/>
        <v>6162171539.2238636</v>
      </c>
    </row>
    <row r="199" spans="2:21" ht="15" customHeight="1">
      <c r="B199" s="690">
        <v>1188</v>
      </c>
      <c r="C199" s="71" t="s">
        <v>1395</v>
      </c>
      <c r="D199" s="19" t="s">
        <v>117</v>
      </c>
      <c r="E199" s="70">
        <v>160.07</v>
      </c>
      <c r="F199" s="69">
        <v>1.14E-8</v>
      </c>
      <c r="G199" s="69">
        <f t="shared" si="22"/>
        <v>1.8247979999999998E-6</v>
      </c>
      <c r="H199" s="69">
        <f t="shared" si="23"/>
        <v>1.7692799999999998E-6</v>
      </c>
      <c r="I199" s="72">
        <v>-262.8</v>
      </c>
      <c r="J199" s="72">
        <v>1718.5</v>
      </c>
      <c r="K199" s="69">
        <f t="shared" si="29"/>
        <v>1641.7817204972825</v>
      </c>
      <c r="L199" s="69">
        <f t="shared" si="24"/>
        <v>194655732.17304814</v>
      </c>
      <c r="M199" s="71" t="s">
        <v>118</v>
      </c>
      <c r="N199" s="453">
        <f>'Crust Element Composition'!E43/E198</f>
        <v>0.5993627787842819</v>
      </c>
      <c r="O199" s="470">
        <f>'EmCF Library'!Z72/N199</f>
        <v>6.8405982905982903E-4</v>
      </c>
      <c r="P199" s="348">
        <f t="shared" si="25"/>
        <v>6.6324786324786322E-4</v>
      </c>
      <c r="Q199" s="612">
        <f t="shared" si="26"/>
        <v>91.77803462591244</v>
      </c>
      <c r="R199" s="348">
        <f t="shared" si="27"/>
        <v>1453694926574.2871</v>
      </c>
      <c r="S199" s="613">
        <f t="shared" si="28"/>
        <v>5070274455.023159</v>
      </c>
      <c r="T199" s="613">
        <f t="shared" si="30"/>
        <v>5070274455.023159</v>
      </c>
      <c r="U199" s="614">
        <f t="shared" si="31"/>
        <v>8459441651.1940489</v>
      </c>
    </row>
    <row r="200" spans="2:21" ht="15" customHeight="1">
      <c r="B200" s="690">
        <v>1189</v>
      </c>
      <c r="C200" s="71" t="s">
        <v>1407</v>
      </c>
      <c r="D200" s="19" t="s">
        <v>117</v>
      </c>
      <c r="E200" s="70">
        <v>160.07</v>
      </c>
      <c r="F200" s="69">
        <v>1.14E-8</v>
      </c>
      <c r="G200" s="69">
        <f t="shared" si="22"/>
        <v>1.8247979999999998E-6</v>
      </c>
      <c r="H200" s="69">
        <f t="shared" si="23"/>
        <v>1.7692799999999998E-6</v>
      </c>
      <c r="I200" s="72">
        <v>-262.8</v>
      </c>
      <c r="J200" s="72">
        <v>1718.5</v>
      </c>
      <c r="K200" s="69">
        <f t="shared" si="29"/>
        <v>1641.7817204972825</v>
      </c>
      <c r="L200" s="69">
        <f t="shared" si="24"/>
        <v>194655732.17304814</v>
      </c>
      <c r="M200" s="71" t="s">
        <v>130</v>
      </c>
      <c r="N200" s="473">
        <f>(0.000164*186.27)/((1-0.00164)*'Singular Minerals'!E200+0.000164*186.27)</f>
        <v>1.9112021923006455E-4</v>
      </c>
      <c r="O200" s="470">
        <f>'EmCF Library'!Z72/N198</f>
        <v>6.8405982905982903E-4</v>
      </c>
      <c r="P200" s="348">
        <f t="shared" si="25"/>
        <v>6.6324786324786322E-4</v>
      </c>
      <c r="Q200" s="612">
        <f t="shared" si="26"/>
        <v>91.77803462591244</v>
      </c>
      <c r="R200" s="348">
        <f t="shared" si="27"/>
        <v>1453694926574.2871</v>
      </c>
      <c r="S200" s="613">
        <f t="shared" si="28"/>
        <v>5070274455.023159</v>
      </c>
      <c r="T200" s="613">
        <f t="shared" si="30"/>
        <v>5070274455.023159</v>
      </c>
      <c r="U200" s="614">
        <f t="shared" si="31"/>
        <v>26529241518500.566</v>
      </c>
    </row>
    <row r="201" spans="2:21" ht="15" customHeight="1">
      <c r="B201" s="690">
        <v>1190</v>
      </c>
      <c r="C201" s="71" t="s">
        <v>670</v>
      </c>
      <c r="D201" s="19" t="s">
        <v>1039</v>
      </c>
      <c r="E201" s="73">
        <v>240.21</v>
      </c>
      <c r="F201" s="69">
        <v>4.2899999999999999E-7</v>
      </c>
      <c r="G201" s="69">
        <f t="shared" si="22"/>
        <v>1.0305009E-4</v>
      </c>
      <c r="H201" s="69">
        <f t="shared" si="23"/>
        <v>6.6580799999999991E-5</v>
      </c>
      <c r="I201" s="72">
        <v>-1943.3</v>
      </c>
      <c r="J201" s="72">
        <v>-43.07</v>
      </c>
      <c r="K201" s="69">
        <f t="shared" si="29"/>
        <v>8090.0045793264226</v>
      </c>
      <c r="L201" s="69">
        <f t="shared" si="24"/>
        <v>959180958.71789408</v>
      </c>
      <c r="M201" s="71"/>
      <c r="N201" s="453"/>
      <c r="O201" s="454"/>
      <c r="P201" s="348" t="str">
        <f t="shared" si="25"/>
        <v/>
      </c>
      <c r="Q201" s="612" t="str">
        <f t="shared" si="26"/>
        <v/>
      </c>
      <c r="R201" s="348" t="str">
        <f t="shared" si="27"/>
        <v/>
      </c>
      <c r="S201" s="613" t="str">
        <f t="shared" si="28"/>
        <v/>
      </c>
      <c r="T201" s="613">
        <f t="shared" si="30"/>
        <v>959180958.71789408</v>
      </c>
      <c r="U201" s="614" t="str">
        <f t="shared" si="31"/>
        <v/>
      </c>
    </row>
    <row r="202" spans="2:21" ht="15" customHeight="1">
      <c r="B202" s="690">
        <v>1191</v>
      </c>
      <c r="C202" s="71" t="s">
        <v>669</v>
      </c>
      <c r="D202" s="19" t="s">
        <v>1040</v>
      </c>
      <c r="E202" s="70">
        <v>367.11376999999999</v>
      </c>
      <c r="F202" s="69">
        <v>6.5200000000000003E-6</v>
      </c>
      <c r="G202" s="69">
        <f t="shared" si="22"/>
        <v>2.3935817803999999E-3</v>
      </c>
      <c r="H202" s="69">
        <f t="shared" si="23"/>
        <v>1.0119039999999999E-3</v>
      </c>
      <c r="I202" s="72">
        <v>-5354.5</v>
      </c>
      <c r="J202" s="72">
        <v>-12.01</v>
      </c>
      <c r="K202" s="69">
        <f t="shared" si="29"/>
        <v>14585.396783128021</v>
      </c>
      <c r="L202" s="69">
        <f t="shared" si="24"/>
        <v>1729298757.8118823</v>
      </c>
      <c r="M202" s="71"/>
      <c r="N202" s="453"/>
      <c r="O202" s="454"/>
      <c r="P202" s="348" t="str">
        <f t="shared" si="25"/>
        <v/>
      </c>
      <c r="Q202" s="612" t="str">
        <f t="shared" si="26"/>
        <v/>
      </c>
      <c r="R202" s="348" t="str">
        <f t="shared" si="27"/>
        <v/>
      </c>
      <c r="S202" s="613" t="str">
        <f t="shared" si="28"/>
        <v/>
      </c>
      <c r="T202" s="613">
        <f t="shared" si="30"/>
        <v>1729298757.8118823</v>
      </c>
      <c r="U202" s="614" t="str">
        <f t="shared" si="31"/>
        <v/>
      </c>
    </row>
    <row r="203" spans="2:21" ht="15" customHeight="1">
      <c r="B203" s="690">
        <v>1192</v>
      </c>
      <c r="C203" s="71" t="s">
        <v>668</v>
      </c>
      <c r="D203" s="19" t="s">
        <v>1041</v>
      </c>
      <c r="E203" s="70">
        <v>773.88</v>
      </c>
      <c r="F203" s="69">
        <v>2.7800000000000001E-8</v>
      </c>
      <c r="G203" s="69">
        <f t="shared" si="22"/>
        <v>2.1513863999999999E-5</v>
      </c>
      <c r="H203" s="69">
        <f t="shared" si="23"/>
        <v>4.3145599999999999E-6</v>
      </c>
      <c r="I203" s="72">
        <v>-9096.6</v>
      </c>
      <c r="J203" s="72">
        <v>1227.19</v>
      </c>
      <c r="K203" s="69">
        <f t="shared" si="29"/>
        <v>11754.5355869127</v>
      </c>
      <c r="L203" s="69">
        <f t="shared" si="24"/>
        <v>1393661351.2371171</v>
      </c>
      <c r="M203" s="71"/>
      <c r="N203" s="453"/>
      <c r="O203" s="454"/>
      <c r="P203" s="348" t="str">
        <f t="shared" si="25"/>
        <v/>
      </c>
      <c r="Q203" s="612" t="str">
        <f t="shared" si="26"/>
        <v/>
      </c>
      <c r="R203" s="348" t="str">
        <f t="shared" si="27"/>
        <v/>
      </c>
      <c r="S203" s="613" t="str">
        <f t="shared" si="28"/>
        <v/>
      </c>
      <c r="T203" s="613">
        <f t="shared" si="30"/>
        <v>1393661351.2371171</v>
      </c>
      <c r="U203" s="614" t="str">
        <f t="shared" si="31"/>
        <v/>
      </c>
    </row>
    <row r="204" spans="2:21" ht="15" customHeight="1">
      <c r="B204" s="690">
        <v>1193</v>
      </c>
      <c r="C204" s="71" t="s">
        <v>226</v>
      </c>
      <c r="D204" s="19" t="s">
        <v>1042</v>
      </c>
      <c r="E204" s="73">
        <v>398.71</v>
      </c>
      <c r="F204" s="69">
        <v>2.5400000000000001E-5</v>
      </c>
      <c r="G204" s="69">
        <f t="shared" ref="G204:G267" si="32">F204*E204</f>
        <v>1.0127234000000001E-2</v>
      </c>
      <c r="H204" s="69">
        <f t="shared" ref="H204:H267" si="33">F204*$L$2</f>
        <v>3.9420799999999997E-3</v>
      </c>
      <c r="I204" s="72">
        <v>-5616.6</v>
      </c>
      <c r="J204" s="72">
        <f>AVERAGE(5599.64,5568.44)</f>
        <v>5584.04</v>
      </c>
      <c r="K204" s="69">
        <f t="shared" si="29"/>
        <v>14086.930350379977</v>
      </c>
      <c r="L204" s="69">
        <f t="shared" ref="L204:L267" si="34">IF(ISNUMBER(K204),$L$6*K204,0)</f>
        <v>1670198728.119221</v>
      </c>
      <c r="M204" s="71"/>
      <c r="N204" s="453"/>
      <c r="O204" s="454"/>
      <c r="P204" s="348" t="str">
        <f t="shared" ref="P204:P267" si="35">IF(ISNUMBER(O204),(O204/E204)/(1/$L$2),"")</f>
        <v/>
      </c>
      <c r="Q204" s="612" t="str">
        <f t="shared" ref="Q204:Q267" si="36">IF(ISNUMBER(O204),standard_temperature*gas_constant*LN(P204/H204)/E204,"")</f>
        <v/>
      </c>
      <c r="R204" s="348" t="str">
        <f t="shared" ref="R204:R267" si="37">IF(ISNUMBER(Q204),Q204*$G204*crust_mass/crust_age,"")</f>
        <v/>
      </c>
      <c r="S204" s="613" t="str">
        <f t="shared" ref="S204:S267" si="38">IF(ISNUMBER(O204),$S$6*Q204,"")</f>
        <v/>
      </c>
      <c r="T204" s="613">
        <f t="shared" si="30"/>
        <v>1670198728.119221</v>
      </c>
      <c r="U204" s="614" t="str">
        <f t="shared" si="31"/>
        <v/>
      </c>
    </row>
    <row r="205" spans="2:21" ht="15" customHeight="1">
      <c r="B205" s="690">
        <v>1194</v>
      </c>
      <c r="C205" s="71" t="s">
        <v>667</v>
      </c>
      <c r="D205" s="19" t="s">
        <v>511</v>
      </c>
      <c r="E205" s="70">
        <v>183.31</v>
      </c>
      <c r="F205" s="69">
        <v>6.9799999999999997E-12</v>
      </c>
      <c r="G205" s="69">
        <f t="shared" si="32"/>
        <v>1.2795037999999999E-9</v>
      </c>
      <c r="H205" s="69">
        <f t="shared" si="33"/>
        <v>1.0832959999999999E-9</v>
      </c>
      <c r="I205" s="72">
        <v>-1919.2</v>
      </c>
      <c r="J205" s="72">
        <v>23.72</v>
      </c>
      <c r="K205" s="69">
        <f t="shared" ref="K205:K268" si="39">-I205*1000/E205</f>
        <v>10469.696143145491</v>
      </c>
      <c r="L205" s="69">
        <f t="shared" si="34"/>
        <v>1241326019.7318032</v>
      </c>
      <c r="M205" s="71"/>
      <c r="N205" s="453"/>
      <c r="O205" s="454"/>
      <c r="P205" s="348" t="str">
        <f t="shared" si="35"/>
        <v/>
      </c>
      <c r="Q205" s="612" t="str">
        <f t="shared" si="36"/>
        <v/>
      </c>
      <c r="R205" s="348" t="str">
        <f t="shared" si="37"/>
        <v/>
      </c>
      <c r="S205" s="613" t="str">
        <f t="shared" si="38"/>
        <v/>
      </c>
      <c r="T205" s="613">
        <f t="shared" ref="T205:T268" si="40">MAX(L205,S205)</f>
        <v>1241326019.7318032</v>
      </c>
      <c r="U205" s="614" t="str">
        <f t="shared" ref="U205:U268" si="41">IF(ISNUMBER(N205),T205/N205,"")</f>
        <v/>
      </c>
    </row>
    <row r="206" spans="2:21" ht="15" customHeight="1">
      <c r="B206" s="690">
        <v>1195</v>
      </c>
      <c r="C206" s="71" t="s">
        <v>666</v>
      </c>
      <c r="D206" s="19" t="s">
        <v>333</v>
      </c>
      <c r="E206" s="70">
        <v>107.87</v>
      </c>
      <c r="F206" s="69">
        <v>1.94E-10</v>
      </c>
      <c r="G206" s="69">
        <f t="shared" si="32"/>
        <v>2.0926780000000002E-8</v>
      </c>
      <c r="H206" s="69">
        <f t="shared" si="33"/>
        <v>3.0108799999999998E-8</v>
      </c>
      <c r="I206" s="72">
        <f>-160.95848/E206</f>
        <v>-1.4921524056734958</v>
      </c>
      <c r="J206" s="72">
        <v>68.349999999999994</v>
      </c>
      <c r="K206" s="69">
        <f t="shared" si="39"/>
        <v>13.832876663330822</v>
      </c>
      <c r="L206" s="69">
        <f t="shared" si="34"/>
        <v>1640077.1803845826</v>
      </c>
      <c r="M206" s="71" t="s">
        <v>333</v>
      </c>
      <c r="N206" s="453">
        <v>1</v>
      </c>
      <c r="O206" s="472">
        <f>'EmCF Library'!$AA$87/N206</f>
        <v>2.0999999999999998E-6</v>
      </c>
      <c r="P206" s="348">
        <f t="shared" si="35"/>
        <v>3.0214146658014271E-6</v>
      </c>
      <c r="Q206" s="612">
        <f t="shared" si="36"/>
        <v>105.90564321989956</v>
      </c>
      <c r="R206" s="348">
        <f t="shared" si="37"/>
        <v>19237172356.937145</v>
      </c>
      <c r="S206" s="613">
        <f t="shared" si="38"/>
        <v>5850753719.5511713</v>
      </c>
      <c r="T206" s="613">
        <f t="shared" si="40"/>
        <v>5850753719.5511713</v>
      </c>
      <c r="U206" s="614">
        <f t="shared" si="41"/>
        <v>5850753719.5511713</v>
      </c>
    </row>
    <row r="207" spans="2:21" ht="15" customHeight="1">
      <c r="B207" s="690">
        <v>1196</v>
      </c>
      <c r="C207" s="71" t="s">
        <v>1401</v>
      </c>
      <c r="D207" s="19" t="s">
        <v>333</v>
      </c>
      <c r="E207" s="70">
        <v>107.87</v>
      </c>
      <c r="F207" s="69">
        <v>1.94E-10</v>
      </c>
      <c r="G207" s="69">
        <f t="shared" si="32"/>
        <v>2.0926780000000002E-8</v>
      </c>
      <c r="H207" s="69">
        <f t="shared" si="33"/>
        <v>3.0108799999999998E-8</v>
      </c>
      <c r="I207" s="72">
        <f>-160.95848/E207</f>
        <v>-1.4921524056734958</v>
      </c>
      <c r="J207" s="72">
        <v>68.349999999999994</v>
      </c>
      <c r="K207" s="69">
        <f t="shared" si="39"/>
        <v>13.832876663330822</v>
      </c>
      <c r="L207" s="69">
        <f t="shared" si="34"/>
        <v>1640077.1803845826</v>
      </c>
      <c r="M207" s="71" t="s">
        <v>333</v>
      </c>
      <c r="N207" s="453">
        <v>1</v>
      </c>
      <c r="O207" s="472">
        <f>'EmCF Library'!AA88</f>
        <v>4.1999999999999998E-5</v>
      </c>
      <c r="P207" s="348">
        <f t="shared" si="35"/>
        <v>6.0428293316028541E-5</v>
      </c>
      <c r="Q207" s="612">
        <f t="shared" si="36"/>
        <v>174.74664051453249</v>
      </c>
      <c r="R207" s="348">
        <f t="shared" si="37"/>
        <v>31741757475.508629</v>
      </c>
      <c r="S207" s="613">
        <f t="shared" si="38"/>
        <v>9653872313.9293919</v>
      </c>
      <c r="T207" s="613">
        <f t="shared" si="40"/>
        <v>9653872313.9293919</v>
      </c>
      <c r="U207" s="614">
        <f t="shared" si="41"/>
        <v>9653872313.9293919</v>
      </c>
    </row>
    <row r="208" spans="2:21" ht="15" customHeight="1">
      <c r="B208" s="690">
        <v>1197</v>
      </c>
      <c r="C208" s="71" t="s">
        <v>1402</v>
      </c>
      <c r="D208" s="19" t="s">
        <v>333</v>
      </c>
      <c r="E208" s="70">
        <v>107.87</v>
      </c>
      <c r="F208" s="69">
        <v>1.94E-10</v>
      </c>
      <c r="G208" s="69">
        <f t="shared" si="32"/>
        <v>2.0926780000000002E-8</v>
      </c>
      <c r="H208" s="69">
        <f t="shared" si="33"/>
        <v>3.0108799999999998E-8</v>
      </c>
      <c r="I208" s="72">
        <f>-160.95848/E208</f>
        <v>-1.4921524056734958</v>
      </c>
      <c r="J208" s="72">
        <v>68.349999999999994</v>
      </c>
      <c r="K208" s="69">
        <f t="shared" si="39"/>
        <v>13.832876663330822</v>
      </c>
      <c r="L208" s="69">
        <f t="shared" si="34"/>
        <v>1640077.1803845826</v>
      </c>
      <c r="M208" s="71" t="s">
        <v>333</v>
      </c>
      <c r="N208" s="453">
        <v>1</v>
      </c>
      <c r="O208" s="472">
        <f>'EmCF Library'!AA89</f>
        <v>4.5999999999999999E-7</v>
      </c>
      <c r="P208" s="348">
        <f t="shared" si="35"/>
        <v>6.6183368869936025E-7</v>
      </c>
      <c r="Q208" s="612">
        <f t="shared" si="36"/>
        <v>71.011763028665143</v>
      </c>
      <c r="R208" s="348">
        <f t="shared" si="37"/>
        <v>12898892667.27692</v>
      </c>
      <c r="S208" s="613">
        <f t="shared" si="38"/>
        <v>3923042474.7921472</v>
      </c>
      <c r="T208" s="613">
        <f t="shared" si="40"/>
        <v>3923042474.7921472</v>
      </c>
      <c r="U208" s="614">
        <f t="shared" si="41"/>
        <v>3923042474.7921472</v>
      </c>
    </row>
    <row r="209" spans="2:21" ht="15" customHeight="1">
      <c r="B209" s="690">
        <v>1198</v>
      </c>
      <c r="C209" s="71" t="s">
        <v>1403</v>
      </c>
      <c r="D209" s="19" t="s">
        <v>333</v>
      </c>
      <c r="E209" s="70">
        <v>107.87</v>
      </c>
      <c r="F209" s="69">
        <v>1.94E-10</v>
      </c>
      <c r="G209" s="69">
        <f t="shared" si="32"/>
        <v>2.0926780000000002E-8</v>
      </c>
      <c r="H209" s="69">
        <f t="shared" si="33"/>
        <v>3.0108799999999998E-8</v>
      </c>
      <c r="I209" s="72">
        <f>-160.95848/E209</f>
        <v>-1.4921524056734958</v>
      </c>
      <c r="J209" s="72">
        <v>68.349999999999994</v>
      </c>
      <c r="K209" s="69">
        <f t="shared" si="39"/>
        <v>13.832876663330822</v>
      </c>
      <c r="L209" s="69">
        <f t="shared" si="34"/>
        <v>1640077.1803845826</v>
      </c>
      <c r="M209" s="71" t="s">
        <v>333</v>
      </c>
      <c r="N209" s="453">
        <v>1</v>
      </c>
      <c r="O209" s="472">
        <f>'EmCF Library'!AA90</f>
        <v>9.7000000000000003E-6</v>
      </c>
      <c r="P209" s="348">
        <f t="shared" si="35"/>
        <v>1.3956058218225642E-5</v>
      </c>
      <c r="Q209" s="612">
        <f t="shared" si="36"/>
        <v>141.06890067319048</v>
      </c>
      <c r="R209" s="348">
        <f t="shared" si="37"/>
        <v>25624382931.313877</v>
      </c>
      <c r="S209" s="613">
        <f t="shared" si="38"/>
        <v>7793346702.1479721</v>
      </c>
      <c r="T209" s="613">
        <f t="shared" si="40"/>
        <v>7793346702.1479721</v>
      </c>
      <c r="U209" s="614">
        <f t="shared" si="41"/>
        <v>7793346702.1479721</v>
      </c>
    </row>
    <row r="210" spans="2:21" ht="15" customHeight="1">
      <c r="B210" s="690">
        <v>1199</v>
      </c>
      <c r="C210" s="71" t="s">
        <v>664</v>
      </c>
      <c r="D210" s="19" t="s">
        <v>665</v>
      </c>
      <c r="E210" s="70">
        <v>1834.15</v>
      </c>
      <c r="F210" s="69">
        <v>7.8199999999999997E-6</v>
      </c>
      <c r="G210" s="69">
        <f t="shared" si="32"/>
        <v>1.4343053E-2</v>
      </c>
      <c r="H210" s="69">
        <f t="shared" si="33"/>
        <v>1.2136639999999999E-3</v>
      </c>
      <c r="I210" s="72">
        <v>-5316.6</v>
      </c>
      <c r="J210" s="72">
        <v>3.77</v>
      </c>
      <c r="K210" s="69">
        <f t="shared" si="39"/>
        <v>2898.6724095630125</v>
      </c>
      <c r="L210" s="69">
        <f t="shared" si="34"/>
        <v>343677355.62459368</v>
      </c>
      <c r="M210" s="71"/>
      <c r="N210" s="453"/>
      <c r="O210" s="454"/>
      <c r="P210" s="348" t="str">
        <f t="shared" si="35"/>
        <v/>
      </c>
      <c r="Q210" s="612" t="str">
        <f t="shared" si="36"/>
        <v/>
      </c>
      <c r="R210" s="348" t="str">
        <f t="shared" si="37"/>
        <v/>
      </c>
      <c r="S210" s="613" t="str">
        <f t="shared" si="38"/>
        <v/>
      </c>
      <c r="T210" s="613">
        <f t="shared" si="40"/>
        <v>343677355.62459368</v>
      </c>
      <c r="U210" s="614" t="str">
        <f t="shared" si="41"/>
        <v/>
      </c>
    </row>
    <row r="211" spans="2:21" ht="15" customHeight="1">
      <c r="B211" s="690">
        <v>1200</v>
      </c>
      <c r="C211" s="71" t="s">
        <v>663</v>
      </c>
      <c r="D211" s="19" t="s">
        <v>1043</v>
      </c>
      <c r="E211" s="73">
        <v>146.08000000000001</v>
      </c>
      <c r="F211" s="69">
        <v>5.0900000000000002E-7</v>
      </c>
      <c r="G211" s="69">
        <f t="shared" si="32"/>
        <v>7.435472000000001E-5</v>
      </c>
      <c r="H211" s="69">
        <f t="shared" si="33"/>
        <v>7.8996800000000002E-5</v>
      </c>
      <c r="I211" s="72">
        <v>-1972.4</v>
      </c>
      <c r="J211" s="72">
        <f>AVERAGE(15.33,53.85)</f>
        <v>34.590000000000003</v>
      </c>
      <c r="K211" s="69">
        <f t="shared" si="39"/>
        <v>13502.190580503833</v>
      </c>
      <c r="L211" s="69">
        <f t="shared" si="34"/>
        <v>1600869811.4825659</v>
      </c>
      <c r="M211" s="71"/>
      <c r="N211" s="453"/>
      <c r="O211" s="454"/>
      <c r="P211" s="348" t="str">
        <f t="shared" si="35"/>
        <v/>
      </c>
      <c r="Q211" s="612" t="str">
        <f t="shared" si="36"/>
        <v/>
      </c>
      <c r="R211" s="348" t="str">
        <f t="shared" si="37"/>
        <v/>
      </c>
      <c r="S211" s="613" t="str">
        <f t="shared" si="38"/>
        <v/>
      </c>
      <c r="T211" s="613">
        <f t="shared" si="40"/>
        <v>1600869811.4825659</v>
      </c>
      <c r="U211" s="614" t="str">
        <f t="shared" si="41"/>
        <v/>
      </c>
    </row>
    <row r="212" spans="2:21" ht="15" customHeight="1">
      <c r="B212" s="690">
        <v>1201</v>
      </c>
      <c r="C212" s="71" t="s">
        <v>662</v>
      </c>
      <c r="D212" s="19" t="s">
        <v>1044</v>
      </c>
      <c r="E212" s="73">
        <v>907.69</v>
      </c>
      <c r="F212" s="69">
        <v>1.1000000000000001E-6</v>
      </c>
      <c r="G212" s="69">
        <f t="shared" si="32"/>
        <v>9.9845900000000015E-4</v>
      </c>
      <c r="H212" s="69">
        <f t="shared" si="33"/>
        <v>1.7071999999999999E-4</v>
      </c>
      <c r="I212" s="72">
        <v>-10061.299999999999</v>
      </c>
      <c r="J212" s="72">
        <v>879.22</v>
      </c>
      <c r="K212" s="69">
        <f t="shared" si="39"/>
        <v>11084.511231808216</v>
      </c>
      <c r="L212" s="69">
        <f t="shared" si="34"/>
        <v>1314220777.7502022</v>
      </c>
      <c r="M212" s="71"/>
      <c r="N212" s="453"/>
      <c r="O212" s="454"/>
      <c r="P212" s="348" t="str">
        <f t="shared" si="35"/>
        <v/>
      </c>
      <c r="Q212" s="612" t="str">
        <f t="shared" si="36"/>
        <v/>
      </c>
      <c r="R212" s="348" t="str">
        <f t="shared" si="37"/>
        <v/>
      </c>
      <c r="S212" s="613" t="str">
        <f t="shared" si="38"/>
        <v/>
      </c>
      <c r="T212" s="613">
        <f t="shared" si="40"/>
        <v>1314220777.7502022</v>
      </c>
      <c r="U212" s="614" t="str">
        <f t="shared" si="41"/>
        <v/>
      </c>
    </row>
    <row r="213" spans="2:21" ht="15" customHeight="1">
      <c r="B213" s="690">
        <v>1202</v>
      </c>
      <c r="C213" s="71" t="s">
        <v>660</v>
      </c>
      <c r="D213" s="19" t="s">
        <v>661</v>
      </c>
      <c r="E213" s="70">
        <v>133.62</v>
      </c>
      <c r="F213" s="69">
        <v>2.0400000000000001E-8</v>
      </c>
      <c r="G213" s="69">
        <f t="shared" si="32"/>
        <v>2.7258480000000003E-6</v>
      </c>
      <c r="H213" s="69">
        <f t="shared" si="33"/>
        <v>3.1660799999999999E-6</v>
      </c>
      <c r="I213" s="71" t="s">
        <v>1007</v>
      </c>
      <c r="J213" s="71" t="s">
        <v>1007</v>
      </c>
      <c r="K213" s="69" t="e">
        <f t="shared" si="39"/>
        <v>#VALUE!</v>
      </c>
      <c r="L213" s="69">
        <f t="shared" si="34"/>
        <v>0</v>
      </c>
      <c r="M213" s="71"/>
      <c r="N213" s="453"/>
      <c r="O213" s="454"/>
      <c r="P213" s="348" t="str">
        <f t="shared" si="35"/>
        <v/>
      </c>
      <c r="Q213" s="612" t="str">
        <f t="shared" si="36"/>
        <v/>
      </c>
      <c r="R213" s="348" t="str">
        <f t="shared" si="37"/>
        <v/>
      </c>
      <c r="S213" s="613" t="str">
        <f t="shared" si="38"/>
        <v/>
      </c>
      <c r="T213" s="613">
        <f t="shared" si="40"/>
        <v>0</v>
      </c>
      <c r="U213" s="614" t="str">
        <f t="shared" si="41"/>
        <v/>
      </c>
    </row>
    <row r="214" spans="2:21" ht="15" customHeight="1">
      <c r="B214" s="690">
        <v>1203</v>
      </c>
      <c r="C214" s="71" t="s">
        <v>658</v>
      </c>
      <c r="D214" s="19" t="s">
        <v>659</v>
      </c>
      <c r="E214" s="70">
        <v>101.1</v>
      </c>
      <c r="F214" s="69">
        <v>2.96E-6</v>
      </c>
      <c r="G214" s="69">
        <f t="shared" si="32"/>
        <v>2.9925599999999997E-4</v>
      </c>
      <c r="H214" s="69">
        <f t="shared" si="33"/>
        <v>4.5939199999999998E-4</v>
      </c>
      <c r="I214" s="72">
        <v>-395.2</v>
      </c>
      <c r="J214" s="72">
        <f>AVERAGE(-22.21,-21.43)</f>
        <v>-21.82</v>
      </c>
      <c r="K214" s="69">
        <f t="shared" si="39"/>
        <v>3909.0009891196837</v>
      </c>
      <c r="L214" s="69">
        <f t="shared" si="34"/>
        <v>463465660.57014447</v>
      </c>
      <c r="M214" s="71"/>
      <c r="N214" s="453"/>
      <c r="O214" s="454"/>
      <c r="P214" s="348" t="str">
        <f t="shared" si="35"/>
        <v/>
      </c>
      <c r="Q214" s="612" t="str">
        <f t="shared" si="36"/>
        <v/>
      </c>
      <c r="R214" s="348" t="str">
        <f t="shared" si="37"/>
        <v/>
      </c>
      <c r="S214" s="613" t="str">
        <f t="shared" si="38"/>
        <v/>
      </c>
      <c r="T214" s="613">
        <f t="shared" si="40"/>
        <v>463465660.57014447</v>
      </c>
      <c r="U214" s="614" t="str">
        <f t="shared" si="41"/>
        <v/>
      </c>
    </row>
    <row r="215" spans="2:21" ht="15" customHeight="1">
      <c r="B215" s="690">
        <v>1204</v>
      </c>
      <c r="C215" s="71" t="s">
        <v>657</v>
      </c>
      <c r="D215" s="19" t="s">
        <v>135</v>
      </c>
      <c r="E215" s="70">
        <v>84.99</v>
      </c>
      <c r="F215" s="69">
        <v>2.96E-6</v>
      </c>
      <c r="G215" s="69">
        <f t="shared" si="32"/>
        <v>2.5157039999999998E-4</v>
      </c>
      <c r="H215" s="69">
        <f t="shared" si="33"/>
        <v>4.5939199999999998E-4</v>
      </c>
      <c r="I215" s="72">
        <v>-367.1</v>
      </c>
      <c r="J215" s="72">
        <v>-24.07</v>
      </c>
      <c r="K215" s="69">
        <f t="shared" si="39"/>
        <v>4319.3316860807154</v>
      </c>
      <c r="L215" s="69">
        <f t="shared" si="34"/>
        <v>512115990.42388034</v>
      </c>
      <c r="M215" s="71"/>
      <c r="N215" s="453"/>
      <c r="O215" s="454">
        <f>'EmCF Library'!Z91</f>
        <v>0.17480000000000001</v>
      </c>
      <c r="P215" s="348">
        <f t="shared" si="35"/>
        <v>0.31920178844569952</v>
      </c>
      <c r="Q215" s="612">
        <f t="shared" si="36"/>
        <v>190.85287981303617</v>
      </c>
      <c r="R215" s="348">
        <f t="shared" si="37"/>
        <v>416752278540427.31</v>
      </c>
      <c r="S215" s="613">
        <f t="shared" si="38"/>
        <v>10543660965.58828</v>
      </c>
      <c r="T215" s="613">
        <f t="shared" si="40"/>
        <v>10543660965.58828</v>
      </c>
      <c r="U215" s="614" t="str">
        <f t="shared" si="41"/>
        <v/>
      </c>
    </row>
    <row r="216" spans="2:21" ht="15" customHeight="1">
      <c r="B216" s="690">
        <v>1205</v>
      </c>
      <c r="C216" s="71" t="s">
        <v>656</v>
      </c>
      <c r="D216" s="19" t="s">
        <v>1045</v>
      </c>
      <c r="E216" s="73">
        <v>495.9</v>
      </c>
      <c r="F216" s="69">
        <v>3.8800000000000001E-5</v>
      </c>
      <c r="G216" s="69">
        <f t="shared" si="32"/>
        <v>1.9240919999999998E-2</v>
      </c>
      <c r="H216" s="69">
        <f t="shared" si="33"/>
        <v>6.0217600000000001E-3</v>
      </c>
      <c r="I216" s="72">
        <v>-5447.7</v>
      </c>
      <c r="J216" s="72">
        <v>18.54</v>
      </c>
      <c r="K216" s="69">
        <f t="shared" si="39"/>
        <v>10985.480943738658</v>
      </c>
      <c r="L216" s="69">
        <f t="shared" si="34"/>
        <v>1302479379.3713429</v>
      </c>
      <c r="M216" s="71"/>
      <c r="N216" s="453"/>
      <c r="O216" s="454"/>
      <c r="P216" s="348" t="str">
        <f t="shared" si="35"/>
        <v/>
      </c>
      <c r="Q216" s="612" t="str">
        <f t="shared" si="36"/>
        <v/>
      </c>
      <c r="R216" s="348" t="str">
        <f t="shared" si="37"/>
        <v/>
      </c>
      <c r="S216" s="613" t="str">
        <f t="shared" si="38"/>
        <v/>
      </c>
      <c r="T216" s="613">
        <f t="shared" si="40"/>
        <v>1302479379.3713429</v>
      </c>
      <c r="U216" s="614" t="str">
        <f t="shared" si="41"/>
        <v/>
      </c>
    </row>
    <row r="217" spans="2:21" ht="15" customHeight="1">
      <c r="B217" s="690">
        <v>1206</v>
      </c>
      <c r="C217" s="71" t="s">
        <v>655</v>
      </c>
      <c r="D217" s="19" t="s">
        <v>1046</v>
      </c>
      <c r="E217" s="70">
        <v>758.62030000000004</v>
      </c>
      <c r="F217" s="69">
        <v>7.1999999999999996E-13</v>
      </c>
      <c r="G217" s="69">
        <f t="shared" si="32"/>
        <v>5.4620661599999998E-10</v>
      </c>
      <c r="H217" s="69">
        <f t="shared" si="33"/>
        <v>1.1174399999999999E-10</v>
      </c>
      <c r="I217" s="72">
        <v>-7532.2</v>
      </c>
      <c r="J217" s="72">
        <v>968.44</v>
      </c>
      <c r="K217" s="69">
        <f t="shared" si="39"/>
        <v>9928.8141907091067</v>
      </c>
      <c r="L217" s="69">
        <f t="shared" si="34"/>
        <v>1177197048.6534786</v>
      </c>
      <c r="M217" s="71"/>
      <c r="N217" s="453"/>
      <c r="O217" s="454"/>
      <c r="P217" s="348" t="str">
        <f t="shared" si="35"/>
        <v/>
      </c>
      <c r="Q217" s="612" t="str">
        <f t="shared" si="36"/>
        <v/>
      </c>
      <c r="R217" s="348" t="str">
        <f t="shared" si="37"/>
        <v/>
      </c>
      <c r="S217" s="613" t="str">
        <f t="shared" si="38"/>
        <v/>
      </c>
      <c r="T217" s="613">
        <f t="shared" si="40"/>
        <v>1177197048.6534786</v>
      </c>
      <c r="U217" s="614" t="str">
        <f t="shared" si="41"/>
        <v/>
      </c>
    </row>
    <row r="218" spans="2:21" ht="15" customHeight="1">
      <c r="B218" s="690">
        <v>1207</v>
      </c>
      <c r="C218" s="71" t="s">
        <v>653</v>
      </c>
      <c r="D218" s="19" t="s">
        <v>654</v>
      </c>
      <c r="E218" s="70">
        <v>994.37</v>
      </c>
      <c r="F218" s="69">
        <v>1.2900000000000001E-9</v>
      </c>
      <c r="G218" s="69">
        <f t="shared" si="32"/>
        <v>1.2827373E-6</v>
      </c>
      <c r="H218" s="69">
        <f t="shared" si="33"/>
        <v>2.0020799999999999E-7</v>
      </c>
      <c r="I218" s="72">
        <v>-13131.5</v>
      </c>
      <c r="J218" s="72">
        <v>126.04</v>
      </c>
      <c r="K218" s="69">
        <f t="shared" si="39"/>
        <v>13205.848929472933</v>
      </c>
      <c r="L218" s="69">
        <f t="shared" si="34"/>
        <v>1565734445.8400993</v>
      </c>
      <c r="M218" s="71"/>
      <c r="N218" s="453"/>
      <c r="O218" s="454">
        <f>'EmCF Library'!Z92</f>
        <v>0.22</v>
      </c>
      <c r="P218" s="348">
        <f t="shared" si="35"/>
        <v>3.4337319106569987E-2</v>
      </c>
      <c r="Q218" s="612">
        <f t="shared" si="36"/>
        <v>30.044838334151937</v>
      </c>
      <c r="R218" s="348">
        <f t="shared" si="37"/>
        <v>334524030095.99927</v>
      </c>
      <c r="S218" s="613">
        <f t="shared" si="38"/>
        <v>1659826089.4545348</v>
      </c>
      <c r="T218" s="613">
        <f t="shared" si="40"/>
        <v>1659826089.4545348</v>
      </c>
      <c r="U218" s="614" t="str">
        <f t="shared" si="41"/>
        <v/>
      </c>
    </row>
    <row r="219" spans="2:21" ht="15" customHeight="1">
      <c r="B219" s="690">
        <v>1208</v>
      </c>
      <c r="C219" s="71" t="s">
        <v>652</v>
      </c>
      <c r="D219" s="19" t="s">
        <v>1047</v>
      </c>
      <c r="E219" s="73">
        <v>265.42</v>
      </c>
      <c r="F219" s="69">
        <v>4.4900000000000002E-4</v>
      </c>
      <c r="G219" s="69">
        <f t="shared" si="32"/>
        <v>0.11917358000000002</v>
      </c>
      <c r="H219" s="69">
        <f t="shared" si="33"/>
        <v>6.9684799999999991E-2</v>
      </c>
      <c r="I219" s="72">
        <v>-750.9</v>
      </c>
      <c r="J219" s="72">
        <v>21.51</v>
      </c>
      <c r="K219" s="69">
        <f t="shared" si="39"/>
        <v>2829.1010473965789</v>
      </c>
      <c r="L219" s="69">
        <f t="shared" si="34"/>
        <v>335428716.800255</v>
      </c>
      <c r="M219" s="71"/>
      <c r="N219" s="453"/>
      <c r="O219" s="454"/>
      <c r="P219" s="348" t="str">
        <f t="shared" si="35"/>
        <v/>
      </c>
      <c r="Q219" s="612" t="str">
        <f t="shared" si="36"/>
        <v/>
      </c>
      <c r="R219" s="348" t="str">
        <f t="shared" si="37"/>
        <v/>
      </c>
      <c r="S219" s="613" t="str">
        <f t="shared" si="38"/>
        <v/>
      </c>
      <c r="T219" s="613">
        <f t="shared" si="40"/>
        <v>335428716.800255</v>
      </c>
      <c r="U219" s="614" t="str">
        <f t="shared" si="41"/>
        <v/>
      </c>
    </row>
    <row r="220" spans="2:21" ht="15" customHeight="1">
      <c r="B220" s="690">
        <v>1209</v>
      </c>
      <c r="C220" s="71" t="s">
        <v>238</v>
      </c>
      <c r="D220" s="19" t="s">
        <v>1048</v>
      </c>
      <c r="E220" s="73">
        <v>153.31</v>
      </c>
      <c r="F220" s="69">
        <v>1.53E-6</v>
      </c>
      <c r="G220" s="69">
        <f t="shared" si="32"/>
        <v>2.3456430000000001E-4</v>
      </c>
      <c r="H220" s="69">
        <f t="shared" si="33"/>
        <v>2.3745599999999998E-4</v>
      </c>
      <c r="I220" s="72">
        <v>-1925</v>
      </c>
      <c r="J220" s="72">
        <f>AVERAGE(93.57,37.51)</f>
        <v>65.539999999999992</v>
      </c>
      <c r="K220" s="69">
        <f t="shared" si="39"/>
        <v>12556.258561085382</v>
      </c>
      <c r="L220" s="69">
        <f t="shared" si="34"/>
        <v>1488716601.6331732</v>
      </c>
      <c r="M220" s="71"/>
      <c r="N220" s="453"/>
      <c r="O220" s="454">
        <f>'EmCF Library'!Z75</f>
        <v>0.92</v>
      </c>
      <c r="P220" s="348">
        <f t="shared" si="35"/>
        <v>0.93134172591481312</v>
      </c>
      <c r="Q220" s="612">
        <f t="shared" si="36"/>
        <v>133.78604640119397</v>
      </c>
      <c r="R220" s="348">
        <f t="shared" si="37"/>
        <v>272390815211135.91</v>
      </c>
      <c r="S220" s="613">
        <f t="shared" si="38"/>
        <v>7391005661.337162</v>
      </c>
      <c r="T220" s="613">
        <f t="shared" si="40"/>
        <v>7391005661.337162</v>
      </c>
      <c r="U220" s="614" t="str">
        <f t="shared" si="41"/>
        <v/>
      </c>
    </row>
    <row r="221" spans="2:21" ht="15" customHeight="1">
      <c r="B221" s="690">
        <v>1210</v>
      </c>
      <c r="C221" s="71" t="s">
        <v>651</v>
      </c>
      <c r="D221" s="19" t="s">
        <v>1049</v>
      </c>
      <c r="E221" s="70">
        <v>213.66900000000001</v>
      </c>
      <c r="F221" s="69">
        <v>7.4799999999999998E-9</v>
      </c>
      <c r="G221" s="69">
        <f t="shared" si="32"/>
        <v>1.59824412E-6</v>
      </c>
      <c r="H221" s="69">
        <f t="shared" si="33"/>
        <v>1.1608959999999999E-6</v>
      </c>
      <c r="I221" s="72">
        <v>-2904.3</v>
      </c>
      <c r="J221" s="72">
        <v>43.52</v>
      </c>
      <c r="K221" s="69">
        <f t="shared" si="39"/>
        <v>13592.519270460385</v>
      </c>
      <c r="L221" s="69">
        <f t="shared" si="34"/>
        <v>1611579516.1042004</v>
      </c>
      <c r="M221" s="71"/>
      <c r="N221" s="453"/>
      <c r="O221" s="454"/>
      <c r="P221" s="348" t="str">
        <f t="shared" si="35"/>
        <v/>
      </c>
      <c r="Q221" s="612" t="str">
        <f t="shared" si="36"/>
        <v/>
      </c>
      <c r="R221" s="348" t="str">
        <f t="shared" si="37"/>
        <v/>
      </c>
      <c r="S221" s="613" t="str">
        <f t="shared" si="38"/>
        <v/>
      </c>
      <c r="T221" s="613">
        <f t="shared" si="40"/>
        <v>1611579516.1042004</v>
      </c>
      <c r="U221" s="614" t="str">
        <f t="shared" si="41"/>
        <v/>
      </c>
    </row>
    <row r="222" spans="2:21" ht="15" customHeight="1">
      <c r="B222" s="690">
        <v>1211</v>
      </c>
      <c r="C222" s="71" t="s">
        <v>650</v>
      </c>
      <c r="D222" s="19" t="s">
        <v>1050</v>
      </c>
      <c r="E222" s="73">
        <v>87.11</v>
      </c>
      <c r="F222" s="69">
        <v>1.4200000000000001E-4</v>
      </c>
      <c r="G222" s="69">
        <f t="shared" si="32"/>
        <v>1.2369620000000001E-2</v>
      </c>
      <c r="H222" s="69">
        <f t="shared" si="33"/>
        <v>2.20384E-2</v>
      </c>
      <c r="I222" s="72">
        <v>-967.9</v>
      </c>
      <c r="J222" s="72">
        <v>9.26</v>
      </c>
      <c r="K222" s="69">
        <f t="shared" si="39"/>
        <v>11111.238663758466</v>
      </c>
      <c r="L222" s="69">
        <f t="shared" si="34"/>
        <v>1317389681.2471943</v>
      </c>
      <c r="M222" s="71"/>
      <c r="N222" s="453"/>
      <c r="O222" s="454"/>
      <c r="P222" s="348" t="str">
        <f t="shared" si="35"/>
        <v/>
      </c>
      <c r="Q222" s="612" t="str">
        <f t="shared" si="36"/>
        <v/>
      </c>
      <c r="R222" s="348" t="str">
        <f t="shared" si="37"/>
        <v/>
      </c>
      <c r="S222" s="613" t="str">
        <f t="shared" si="38"/>
        <v/>
      </c>
      <c r="T222" s="613">
        <f t="shared" si="40"/>
        <v>1317389681.2471943</v>
      </c>
      <c r="U222" s="614" t="str">
        <f t="shared" si="41"/>
        <v/>
      </c>
    </row>
    <row r="223" spans="2:21" ht="15" customHeight="1">
      <c r="B223" s="690">
        <v>1212</v>
      </c>
      <c r="C223" s="71" t="s">
        <v>648</v>
      </c>
      <c r="D223" s="19" t="s">
        <v>649</v>
      </c>
      <c r="E223" s="73">
        <v>246.03970000000001</v>
      </c>
      <c r="F223" s="69">
        <v>1.85E-9</v>
      </c>
      <c r="G223" s="69">
        <f t="shared" si="32"/>
        <v>4.5517344500000002E-7</v>
      </c>
      <c r="H223" s="69">
        <f t="shared" si="33"/>
        <v>2.8711999999999999E-7</v>
      </c>
      <c r="I223" s="72">
        <v>-168.7</v>
      </c>
      <c r="J223" s="72">
        <f>AVERAGE(2640.08,2713.35)</f>
        <v>2676.7150000000001</v>
      </c>
      <c r="K223" s="69">
        <f t="shared" si="39"/>
        <v>685.66170418838908</v>
      </c>
      <c r="L223" s="69">
        <f t="shared" si="34"/>
        <v>81294595.612493739</v>
      </c>
      <c r="M223" s="71"/>
      <c r="N223" s="453"/>
      <c r="O223" s="454"/>
      <c r="P223" s="348" t="str">
        <f t="shared" si="35"/>
        <v/>
      </c>
      <c r="Q223" s="612" t="str">
        <f t="shared" si="36"/>
        <v/>
      </c>
      <c r="R223" s="348" t="str">
        <f t="shared" si="37"/>
        <v/>
      </c>
      <c r="S223" s="613" t="str">
        <f t="shared" si="38"/>
        <v/>
      </c>
      <c r="T223" s="613">
        <f t="shared" si="40"/>
        <v>81294595.612493739</v>
      </c>
      <c r="U223" s="614" t="str">
        <f t="shared" si="41"/>
        <v/>
      </c>
    </row>
    <row r="224" spans="2:21" ht="15" customHeight="1">
      <c r="B224" s="690">
        <v>1213</v>
      </c>
      <c r="C224" s="71" t="s">
        <v>647</v>
      </c>
      <c r="D224" s="19" t="s">
        <v>1051</v>
      </c>
      <c r="E224" s="70">
        <v>519.04899999999998</v>
      </c>
      <c r="F224" s="69">
        <v>7.8100000000000005E-8</v>
      </c>
      <c r="G224" s="69">
        <f t="shared" si="32"/>
        <v>4.0537726899999999E-5</v>
      </c>
      <c r="H224" s="69">
        <f t="shared" si="33"/>
        <v>1.212112E-5</v>
      </c>
      <c r="I224" s="72">
        <v>-6055.4</v>
      </c>
      <c r="J224" s="72">
        <v>45.05</v>
      </c>
      <c r="K224" s="69">
        <f t="shared" si="39"/>
        <v>11666.335933601646</v>
      </c>
      <c r="L224" s="69">
        <f t="shared" si="34"/>
        <v>1383204073.0993924</v>
      </c>
      <c r="M224" s="71"/>
      <c r="N224" s="453"/>
      <c r="O224" s="454"/>
      <c r="P224" s="348" t="str">
        <f t="shared" si="35"/>
        <v/>
      </c>
      <c r="Q224" s="612" t="str">
        <f t="shared" si="36"/>
        <v/>
      </c>
      <c r="R224" s="348" t="str">
        <f t="shared" si="37"/>
        <v/>
      </c>
      <c r="S224" s="613" t="str">
        <f t="shared" si="38"/>
        <v/>
      </c>
      <c r="T224" s="613">
        <f t="shared" si="40"/>
        <v>1383204073.0993924</v>
      </c>
      <c r="U224" s="614" t="str">
        <f t="shared" si="41"/>
        <v/>
      </c>
    </row>
    <row r="225" spans="2:21" ht="15" customHeight="1">
      <c r="B225" s="690">
        <v>1214</v>
      </c>
      <c r="C225" s="71" t="s">
        <v>220</v>
      </c>
      <c r="D225" s="19" t="s">
        <v>646</v>
      </c>
      <c r="E225" s="73">
        <v>278.33</v>
      </c>
      <c r="F225" s="69">
        <v>4.2200000000000001E-4</v>
      </c>
      <c r="G225" s="69">
        <f t="shared" si="32"/>
        <v>0.11745525999999999</v>
      </c>
      <c r="H225" s="69">
        <f t="shared" si="33"/>
        <v>6.5494399999999994E-2</v>
      </c>
      <c r="I225" s="72">
        <v>-3752.1</v>
      </c>
      <c r="J225" s="72">
        <v>-11.18</v>
      </c>
      <c r="K225" s="69">
        <f t="shared" si="39"/>
        <v>13480.760248625733</v>
      </c>
      <c r="L225" s="69">
        <f t="shared" si="34"/>
        <v>1598328951.8235977</v>
      </c>
      <c r="M225" s="71"/>
      <c r="N225" s="453"/>
      <c r="O225" s="454">
        <f>'EmCF Library'!Z43</f>
        <v>0.46</v>
      </c>
      <c r="P225" s="348">
        <f t="shared" si="35"/>
        <v>0.25650127546437684</v>
      </c>
      <c r="Q225" s="612">
        <f t="shared" si="36"/>
        <v>12.158254510698004</v>
      </c>
      <c r="R225" s="348">
        <f t="shared" si="37"/>
        <v>1.2395482199997794E+16</v>
      </c>
      <c r="S225" s="613">
        <f t="shared" si="38"/>
        <v>671682364.0267545</v>
      </c>
      <c r="T225" s="613">
        <f t="shared" si="40"/>
        <v>1598328951.8235977</v>
      </c>
      <c r="U225" s="614" t="str">
        <f t="shared" si="41"/>
        <v/>
      </c>
    </row>
    <row r="226" spans="2:21" ht="15" customHeight="1">
      <c r="B226" s="690">
        <v>1215</v>
      </c>
      <c r="C226" s="71" t="s">
        <v>344</v>
      </c>
      <c r="D226" s="19" t="s">
        <v>1052</v>
      </c>
      <c r="E226" s="73">
        <v>190.71</v>
      </c>
      <c r="F226" s="69">
        <v>1.5700000000000001E-13</v>
      </c>
      <c r="G226" s="69">
        <f t="shared" si="32"/>
        <v>2.9941470000000004E-11</v>
      </c>
      <c r="H226" s="69">
        <f t="shared" si="33"/>
        <v>2.4366400000000002E-11</v>
      </c>
      <c r="I226" s="71" t="s">
        <v>1007</v>
      </c>
      <c r="J226" s="71" t="s">
        <v>85</v>
      </c>
      <c r="K226" s="69" t="e">
        <f t="shared" si="39"/>
        <v>#VALUE!</v>
      </c>
      <c r="L226" s="69">
        <f t="shared" si="34"/>
        <v>0</v>
      </c>
      <c r="M226" s="71"/>
      <c r="N226" s="453"/>
      <c r="O226" s="454"/>
      <c r="P226" s="348" t="str">
        <f t="shared" si="35"/>
        <v/>
      </c>
      <c r="Q226" s="612" t="str">
        <f t="shared" si="36"/>
        <v/>
      </c>
      <c r="R226" s="348" t="str">
        <f t="shared" si="37"/>
        <v/>
      </c>
      <c r="S226" s="613" t="str">
        <f t="shared" si="38"/>
        <v/>
      </c>
      <c r="T226" s="613">
        <f t="shared" si="40"/>
        <v>0</v>
      </c>
      <c r="U226" s="614" t="str">
        <f t="shared" si="41"/>
        <v/>
      </c>
    </row>
    <row r="227" spans="2:21" ht="15" customHeight="1">
      <c r="B227" s="690">
        <v>1216</v>
      </c>
      <c r="C227" s="71" t="s">
        <v>644</v>
      </c>
      <c r="D227" s="19" t="s">
        <v>645</v>
      </c>
      <c r="E227" s="70">
        <v>412.685</v>
      </c>
      <c r="F227" s="69">
        <v>2.7700000000000002E-9</v>
      </c>
      <c r="G227" s="69">
        <f t="shared" si="32"/>
        <v>1.14313745E-6</v>
      </c>
      <c r="H227" s="69">
        <f t="shared" si="33"/>
        <v>4.2990400000000001E-7</v>
      </c>
      <c r="I227" s="72">
        <v>-5939.9</v>
      </c>
      <c r="J227" s="72">
        <v>81.489999999999995</v>
      </c>
      <c r="K227" s="69">
        <f t="shared" si="39"/>
        <v>14393.302397712541</v>
      </c>
      <c r="L227" s="69">
        <f t="shared" si="34"/>
        <v>1706523334.7623091</v>
      </c>
      <c r="M227" s="71"/>
      <c r="N227" s="453"/>
      <c r="O227" s="454"/>
      <c r="P227" s="348" t="str">
        <f t="shared" si="35"/>
        <v/>
      </c>
      <c r="Q227" s="612" t="str">
        <f t="shared" si="36"/>
        <v/>
      </c>
      <c r="R227" s="348" t="str">
        <f t="shared" si="37"/>
        <v/>
      </c>
      <c r="S227" s="613" t="str">
        <f t="shared" si="38"/>
        <v/>
      </c>
      <c r="T227" s="613">
        <f t="shared" si="40"/>
        <v>1706523334.7623091</v>
      </c>
      <c r="U227" s="614" t="str">
        <f t="shared" si="41"/>
        <v/>
      </c>
    </row>
    <row r="228" spans="2:21" ht="15" customHeight="1">
      <c r="B228" s="690">
        <v>1217</v>
      </c>
      <c r="C228" s="71" t="s">
        <v>642</v>
      </c>
      <c r="D228" s="19" t="s">
        <v>643</v>
      </c>
      <c r="E228" s="73">
        <v>382.2</v>
      </c>
      <c r="F228" s="69">
        <v>4.9499999999999997E-5</v>
      </c>
      <c r="G228" s="69">
        <f t="shared" si="32"/>
        <v>1.8918899999999999E-2</v>
      </c>
      <c r="H228" s="69">
        <f t="shared" si="33"/>
        <v>7.682399999999999E-3</v>
      </c>
      <c r="I228" s="72">
        <v>-5557.6</v>
      </c>
      <c r="J228" s="72">
        <v>-10.41</v>
      </c>
      <c r="K228" s="69">
        <f t="shared" si="39"/>
        <v>14541.077969649399</v>
      </c>
      <c r="L228" s="69">
        <f t="shared" si="34"/>
        <v>1724044154.852782</v>
      </c>
      <c r="M228" s="71"/>
      <c r="N228" s="453"/>
      <c r="O228" s="454"/>
      <c r="P228" s="348" t="str">
        <f t="shared" si="35"/>
        <v/>
      </c>
      <c r="Q228" s="612" t="str">
        <f t="shared" si="36"/>
        <v/>
      </c>
      <c r="R228" s="348" t="str">
        <f t="shared" si="37"/>
        <v/>
      </c>
      <c r="S228" s="613" t="str">
        <f t="shared" si="38"/>
        <v/>
      </c>
      <c r="T228" s="613">
        <f t="shared" si="40"/>
        <v>1724044154.852782</v>
      </c>
      <c r="U228" s="614" t="str">
        <f t="shared" si="41"/>
        <v/>
      </c>
    </row>
    <row r="229" spans="2:21" ht="15" customHeight="1">
      <c r="B229" s="690">
        <v>1218</v>
      </c>
      <c r="C229" s="71" t="s">
        <v>641</v>
      </c>
      <c r="D229" s="19" t="s">
        <v>1053</v>
      </c>
      <c r="E229" s="73">
        <v>595.22</v>
      </c>
      <c r="F229" s="69">
        <v>2.8700000000000001E-6</v>
      </c>
      <c r="G229" s="69">
        <f t="shared" si="32"/>
        <v>1.7082814000000002E-3</v>
      </c>
      <c r="H229" s="69">
        <f t="shared" si="33"/>
        <v>4.4542399999999998E-4</v>
      </c>
      <c r="I229" s="72">
        <v>-7788.2</v>
      </c>
      <c r="J229" s="72">
        <v>187.89</v>
      </c>
      <c r="K229" s="69">
        <f t="shared" si="39"/>
        <v>13084.573771042638</v>
      </c>
      <c r="L229" s="69">
        <f t="shared" si="34"/>
        <v>1551355613.0976439</v>
      </c>
      <c r="M229" s="71"/>
      <c r="N229" s="453"/>
      <c r="O229" s="454"/>
      <c r="P229" s="348" t="str">
        <f t="shared" si="35"/>
        <v/>
      </c>
      <c r="Q229" s="612" t="str">
        <f t="shared" si="36"/>
        <v/>
      </c>
      <c r="R229" s="348" t="str">
        <f t="shared" si="37"/>
        <v/>
      </c>
      <c r="S229" s="613" t="str">
        <f t="shared" si="38"/>
        <v/>
      </c>
      <c r="T229" s="613">
        <f t="shared" si="40"/>
        <v>1551355613.0976439</v>
      </c>
      <c r="U229" s="614" t="str">
        <f t="shared" si="41"/>
        <v/>
      </c>
    </row>
    <row r="230" spans="2:21" ht="15" customHeight="1">
      <c r="B230" s="690">
        <v>1219</v>
      </c>
      <c r="C230" s="71" t="s">
        <v>274</v>
      </c>
      <c r="D230" s="19" t="s">
        <v>1054</v>
      </c>
      <c r="E230" s="70">
        <v>771.94</v>
      </c>
      <c r="F230" s="69">
        <v>7.4400000000000004E-8</v>
      </c>
      <c r="G230" s="69">
        <f t="shared" si="32"/>
        <v>5.7432336000000008E-5</v>
      </c>
      <c r="H230" s="69">
        <f t="shared" si="33"/>
        <v>1.154688E-5</v>
      </c>
      <c r="I230" s="72">
        <v>-766.2</v>
      </c>
      <c r="J230" s="72">
        <v>6833.8</v>
      </c>
      <c r="K230" s="69">
        <f t="shared" si="39"/>
        <v>992.56418892660042</v>
      </c>
      <c r="L230" s="69">
        <f t="shared" si="34"/>
        <v>117682092.88244104</v>
      </c>
      <c r="M230" s="71"/>
      <c r="N230" s="453"/>
      <c r="O230" s="454"/>
      <c r="P230" s="348" t="str">
        <f t="shared" si="35"/>
        <v/>
      </c>
      <c r="Q230" s="612" t="str">
        <f t="shared" si="36"/>
        <v/>
      </c>
      <c r="R230" s="348" t="str">
        <f t="shared" si="37"/>
        <v/>
      </c>
      <c r="S230" s="613" t="str">
        <f t="shared" si="38"/>
        <v/>
      </c>
      <c r="T230" s="613">
        <f t="shared" si="40"/>
        <v>117682092.88244104</v>
      </c>
      <c r="U230" s="614" t="str">
        <f t="shared" si="41"/>
        <v/>
      </c>
    </row>
    <row r="231" spans="2:21" ht="15" customHeight="1">
      <c r="B231" s="690">
        <v>1220</v>
      </c>
      <c r="C231" s="71" t="s">
        <v>639</v>
      </c>
      <c r="D231" s="19" t="s">
        <v>640</v>
      </c>
      <c r="E231" s="70">
        <v>40.304499999999997</v>
      </c>
      <c r="F231" s="69">
        <v>3.7700000000000003E-12</v>
      </c>
      <c r="G231" s="69">
        <f t="shared" si="32"/>
        <v>1.5194796500000001E-10</v>
      </c>
      <c r="H231" s="69">
        <f t="shared" si="33"/>
        <v>5.8510400000000001E-10</v>
      </c>
      <c r="I231" s="72">
        <v>-569.5</v>
      </c>
      <c r="J231" s="72"/>
      <c r="K231" s="69">
        <f t="shared" si="39"/>
        <v>14129.935863241079</v>
      </c>
      <c r="L231" s="69">
        <f t="shared" si="34"/>
        <v>1675297621.2844584</v>
      </c>
      <c r="M231" s="71"/>
      <c r="N231" s="453"/>
      <c r="O231" s="454"/>
      <c r="P231" s="348" t="str">
        <f t="shared" si="35"/>
        <v/>
      </c>
      <c r="Q231" s="612" t="str">
        <f t="shared" si="36"/>
        <v/>
      </c>
      <c r="R231" s="348" t="str">
        <f t="shared" si="37"/>
        <v/>
      </c>
      <c r="S231" s="613" t="str">
        <f t="shared" si="38"/>
        <v/>
      </c>
      <c r="T231" s="613">
        <f t="shared" si="40"/>
        <v>1675297621.2844584</v>
      </c>
      <c r="U231" s="614" t="str">
        <f t="shared" si="41"/>
        <v/>
      </c>
    </row>
    <row r="232" spans="2:21" ht="15" customHeight="1">
      <c r="B232" s="690">
        <v>1221</v>
      </c>
      <c r="C232" s="71" t="s">
        <v>637</v>
      </c>
      <c r="D232" s="19" t="s">
        <v>638</v>
      </c>
      <c r="E232" s="70">
        <v>135.94</v>
      </c>
      <c r="F232" s="69">
        <v>5.1000000000000002E-9</v>
      </c>
      <c r="G232" s="69">
        <f t="shared" si="32"/>
        <v>6.9329400000000004E-7</v>
      </c>
      <c r="H232" s="69">
        <f t="shared" si="33"/>
        <v>7.9151999999999998E-7</v>
      </c>
      <c r="I232" s="72">
        <v>-1575.7</v>
      </c>
      <c r="J232" s="72"/>
      <c r="K232" s="69">
        <f t="shared" si="39"/>
        <v>11591.143151390319</v>
      </c>
      <c r="L232" s="69">
        <f t="shared" si="34"/>
        <v>1374288937.8577592</v>
      </c>
      <c r="M232" s="71"/>
      <c r="N232" s="453"/>
      <c r="O232" s="454"/>
      <c r="P232" s="348" t="str">
        <f t="shared" si="35"/>
        <v/>
      </c>
      <c r="Q232" s="612" t="str">
        <f t="shared" si="36"/>
        <v/>
      </c>
      <c r="R232" s="348" t="str">
        <f t="shared" si="37"/>
        <v/>
      </c>
      <c r="S232" s="613" t="str">
        <f t="shared" si="38"/>
        <v/>
      </c>
      <c r="T232" s="613">
        <f t="shared" si="40"/>
        <v>1374288937.8577592</v>
      </c>
      <c r="U232" s="614" t="str">
        <f t="shared" si="41"/>
        <v/>
      </c>
    </row>
    <row r="233" spans="2:21" ht="15" customHeight="1">
      <c r="B233" s="690">
        <v>1222</v>
      </c>
      <c r="C233" s="71" t="s">
        <v>635</v>
      </c>
      <c r="D233" s="19" t="s">
        <v>636</v>
      </c>
      <c r="E233" s="70">
        <v>110.11</v>
      </c>
      <c r="F233" s="69">
        <v>7.3099999999999998E-9</v>
      </c>
      <c r="G233" s="69">
        <f t="shared" si="32"/>
        <v>8.0490409999999996E-7</v>
      </c>
      <c r="H233" s="69">
        <f t="shared" si="33"/>
        <v>1.1345119999999998E-6</v>
      </c>
      <c r="I233" s="72">
        <v>-2033.3</v>
      </c>
      <c r="J233" s="72"/>
      <c r="K233" s="69">
        <f t="shared" si="39"/>
        <v>18466.079375170284</v>
      </c>
      <c r="L233" s="69">
        <f t="shared" si="34"/>
        <v>2189406884.1567082</v>
      </c>
      <c r="M233" s="71"/>
      <c r="N233" s="453"/>
      <c r="O233" s="454"/>
      <c r="P233" s="348" t="str">
        <f t="shared" si="35"/>
        <v/>
      </c>
      <c r="Q233" s="612" t="str">
        <f t="shared" si="36"/>
        <v/>
      </c>
      <c r="R233" s="348" t="str">
        <f t="shared" si="37"/>
        <v/>
      </c>
      <c r="S233" s="613" t="str">
        <f t="shared" si="38"/>
        <v/>
      </c>
      <c r="T233" s="613">
        <f t="shared" si="40"/>
        <v>2189406884.1567082</v>
      </c>
      <c r="U233" s="614" t="str">
        <f t="shared" si="41"/>
        <v/>
      </c>
    </row>
    <row r="234" spans="2:21" ht="15" customHeight="1">
      <c r="B234" s="690">
        <v>1223</v>
      </c>
      <c r="C234" s="71" t="s">
        <v>633</v>
      </c>
      <c r="D234" s="19" t="s">
        <v>634</v>
      </c>
      <c r="E234" s="73">
        <v>419.25</v>
      </c>
      <c r="F234" s="69">
        <v>1.5800000000000001E-7</v>
      </c>
      <c r="G234" s="69">
        <f t="shared" si="32"/>
        <v>6.6241499999999999E-5</v>
      </c>
      <c r="H234" s="69">
        <f t="shared" si="33"/>
        <v>2.4521599999999999E-5</v>
      </c>
      <c r="I234" s="72">
        <v>-5902.2</v>
      </c>
      <c r="J234" s="72"/>
      <c r="K234" s="69">
        <f t="shared" si="39"/>
        <v>14077.996422182468</v>
      </c>
      <c r="L234" s="69">
        <f t="shared" si="34"/>
        <v>1669139488.4451792</v>
      </c>
      <c r="M234" s="71"/>
      <c r="N234" s="453"/>
      <c r="O234" s="454"/>
      <c r="P234" s="348" t="str">
        <f t="shared" si="35"/>
        <v/>
      </c>
      <c r="Q234" s="612" t="str">
        <f t="shared" si="36"/>
        <v/>
      </c>
      <c r="R234" s="348" t="str">
        <f t="shared" si="37"/>
        <v/>
      </c>
      <c r="S234" s="613" t="str">
        <f t="shared" si="38"/>
        <v/>
      </c>
      <c r="T234" s="613">
        <f t="shared" si="40"/>
        <v>1669139488.4451792</v>
      </c>
      <c r="U234" s="614" t="str">
        <f t="shared" si="41"/>
        <v/>
      </c>
    </row>
    <row r="235" spans="2:21" ht="15" customHeight="1">
      <c r="B235" s="690">
        <v>1224</v>
      </c>
      <c r="C235" s="71" t="s">
        <v>632</v>
      </c>
      <c r="D235" s="19" t="s">
        <v>506</v>
      </c>
      <c r="E235" s="70">
        <v>310.18</v>
      </c>
      <c r="F235" s="69">
        <v>8.9900000000000003E-6</v>
      </c>
      <c r="G235" s="69">
        <f t="shared" si="32"/>
        <v>2.7885182000000003E-3</v>
      </c>
      <c r="H235" s="69">
        <f t="shared" si="33"/>
        <v>1.395248E-3</v>
      </c>
      <c r="I235" s="72">
        <v>-3878.2</v>
      </c>
      <c r="J235" s="72"/>
      <c r="K235" s="69">
        <f t="shared" si="39"/>
        <v>12503.062737765169</v>
      </c>
      <c r="L235" s="69">
        <f t="shared" si="34"/>
        <v>1482409507.451489</v>
      </c>
      <c r="M235" s="69"/>
      <c r="N235" s="453"/>
      <c r="O235" s="454"/>
      <c r="P235" s="348" t="str">
        <f t="shared" si="35"/>
        <v/>
      </c>
      <c r="Q235" s="612" t="str">
        <f t="shared" si="36"/>
        <v/>
      </c>
      <c r="R235" s="348" t="str">
        <f t="shared" si="37"/>
        <v/>
      </c>
      <c r="S235" s="613" t="str">
        <f t="shared" si="38"/>
        <v/>
      </c>
      <c r="T235" s="613">
        <f t="shared" si="40"/>
        <v>1482409507.451489</v>
      </c>
      <c r="U235" s="614" t="str">
        <f t="shared" si="41"/>
        <v/>
      </c>
    </row>
    <row r="236" spans="2:21" ht="15" customHeight="1">
      <c r="B236" s="690">
        <v>1225</v>
      </c>
      <c r="C236" s="71" t="s">
        <v>631</v>
      </c>
      <c r="D236" s="19" t="s">
        <v>1055</v>
      </c>
      <c r="E236" s="73">
        <v>219.7</v>
      </c>
      <c r="F236" s="69">
        <v>1.99E-6</v>
      </c>
      <c r="G236" s="69">
        <f t="shared" si="32"/>
        <v>4.3720299999999999E-4</v>
      </c>
      <c r="H236" s="69">
        <f t="shared" si="33"/>
        <v>3.0884799999999997E-4</v>
      </c>
      <c r="I236" s="72">
        <v>-1448.8</v>
      </c>
      <c r="J236" s="72"/>
      <c r="K236" s="69">
        <f t="shared" si="39"/>
        <v>6594.4469731451982</v>
      </c>
      <c r="L236" s="69">
        <f t="shared" si="34"/>
        <v>781862100.06352925</v>
      </c>
      <c r="M236" s="71"/>
      <c r="N236" s="453"/>
      <c r="O236" s="454"/>
      <c r="P236" s="348" t="str">
        <f t="shared" si="35"/>
        <v/>
      </c>
      <c r="Q236" s="612" t="str">
        <f t="shared" si="36"/>
        <v/>
      </c>
      <c r="R236" s="348" t="str">
        <f t="shared" si="37"/>
        <v/>
      </c>
      <c r="S236" s="613" t="str">
        <f t="shared" si="38"/>
        <v/>
      </c>
      <c r="T236" s="613">
        <f t="shared" si="40"/>
        <v>781862100.06352925</v>
      </c>
      <c r="U236" s="614" t="str">
        <f t="shared" si="41"/>
        <v/>
      </c>
    </row>
    <row r="237" spans="2:21" ht="15" customHeight="1">
      <c r="B237" s="690">
        <v>1226</v>
      </c>
      <c r="C237" s="71" t="s">
        <v>629</v>
      </c>
      <c r="D237" s="19" t="s">
        <v>630</v>
      </c>
      <c r="E237" s="70">
        <v>250.92</v>
      </c>
      <c r="F237" s="69">
        <v>1.1999999999999999E-14</v>
      </c>
      <c r="G237" s="69">
        <f t="shared" si="32"/>
        <v>3.0110399999999997E-12</v>
      </c>
      <c r="H237" s="69">
        <f t="shared" si="33"/>
        <v>1.8623999999999998E-12</v>
      </c>
      <c r="I237" s="71" t="s">
        <v>1007</v>
      </c>
      <c r="J237" s="71"/>
      <c r="K237" s="69" t="e">
        <f t="shared" si="39"/>
        <v>#VALUE!</v>
      </c>
      <c r="L237" s="69">
        <f t="shared" si="34"/>
        <v>0</v>
      </c>
      <c r="M237" s="71"/>
      <c r="N237" s="453"/>
      <c r="O237" s="454"/>
      <c r="P237" s="348" t="str">
        <f t="shared" si="35"/>
        <v/>
      </c>
      <c r="Q237" s="612" t="str">
        <f t="shared" si="36"/>
        <v/>
      </c>
      <c r="R237" s="348" t="str">
        <f t="shared" si="37"/>
        <v/>
      </c>
      <c r="S237" s="613" t="str">
        <f t="shared" si="38"/>
        <v/>
      </c>
      <c r="T237" s="613">
        <f t="shared" si="40"/>
        <v>0</v>
      </c>
      <c r="U237" s="614" t="str">
        <f t="shared" si="41"/>
        <v/>
      </c>
    </row>
    <row r="238" spans="2:21" ht="15" customHeight="1">
      <c r="B238" s="690">
        <v>1227</v>
      </c>
      <c r="C238" s="71" t="s">
        <v>628</v>
      </c>
      <c r="D238" s="19" t="s">
        <v>1056</v>
      </c>
      <c r="E238" s="70">
        <v>290.15820000000002</v>
      </c>
      <c r="F238" s="69">
        <v>6.1399999999999994E-8</v>
      </c>
      <c r="G238" s="69">
        <f t="shared" si="32"/>
        <v>1.781571348E-5</v>
      </c>
      <c r="H238" s="69">
        <f t="shared" si="33"/>
        <v>9.529279999999999E-6</v>
      </c>
      <c r="I238" s="72">
        <v>-3074.2</v>
      </c>
      <c r="J238" s="72"/>
      <c r="K238" s="69">
        <f t="shared" si="39"/>
        <v>10594.909949124305</v>
      </c>
      <c r="L238" s="69">
        <f t="shared" si="34"/>
        <v>1256171833.140907</v>
      </c>
      <c r="M238" s="71"/>
      <c r="N238" s="453"/>
      <c r="O238" s="454"/>
      <c r="P238" s="348" t="str">
        <f t="shared" si="35"/>
        <v/>
      </c>
      <c r="Q238" s="612" t="str">
        <f t="shared" si="36"/>
        <v/>
      </c>
      <c r="R238" s="348" t="str">
        <f t="shared" si="37"/>
        <v/>
      </c>
      <c r="S238" s="613" t="str">
        <f t="shared" si="38"/>
        <v/>
      </c>
      <c r="T238" s="613">
        <f t="shared" si="40"/>
        <v>1256171833.140907</v>
      </c>
      <c r="U238" s="614" t="str">
        <f t="shared" si="41"/>
        <v/>
      </c>
    </row>
    <row r="239" spans="2:21" ht="15" customHeight="1">
      <c r="B239" s="690">
        <v>1228</v>
      </c>
      <c r="C239" s="71" t="s">
        <v>627</v>
      </c>
      <c r="D239" s="19" t="s">
        <v>1057</v>
      </c>
      <c r="E239" s="73">
        <v>372.96</v>
      </c>
      <c r="F239" s="69">
        <v>2.4600000000000001E-14</v>
      </c>
      <c r="G239" s="69">
        <f t="shared" si="32"/>
        <v>9.1748160000000004E-12</v>
      </c>
      <c r="H239" s="69">
        <f t="shared" si="33"/>
        <v>3.81792E-12</v>
      </c>
      <c r="I239" s="72">
        <v>-2681.3</v>
      </c>
      <c r="J239" s="72"/>
      <c r="K239" s="69">
        <f t="shared" si="39"/>
        <v>7189.2428142428143</v>
      </c>
      <c r="L239" s="69">
        <f t="shared" si="34"/>
        <v>852383301.81455839</v>
      </c>
      <c r="M239" s="71"/>
      <c r="N239" s="453"/>
      <c r="O239" s="454"/>
      <c r="P239" s="348" t="str">
        <f t="shared" si="35"/>
        <v/>
      </c>
      <c r="Q239" s="612" t="str">
        <f t="shared" si="36"/>
        <v/>
      </c>
      <c r="R239" s="348" t="str">
        <f t="shared" si="37"/>
        <v/>
      </c>
      <c r="S239" s="613" t="str">
        <f t="shared" si="38"/>
        <v/>
      </c>
      <c r="T239" s="613">
        <f t="shared" si="40"/>
        <v>852383301.81455839</v>
      </c>
      <c r="U239" s="614" t="str">
        <f t="shared" si="41"/>
        <v/>
      </c>
    </row>
    <row r="240" spans="2:21" ht="15.75" customHeight="1">
      <c r="B240" s="690">
        <v>1229</v>
      </c>
      <c r="C240" s="71" t="s">
        <v>626</v>
      </c>
      <c r="D240" s="19" t="s">
        <v>259</v>
      </c>
      <c r="E240" s="73">
        <v>200.02</v>
      </c>
      <c r="F240" s="69">
        <v>3.0499999999999998E-11</v>
      </c>
      <c r="G240" s="69">
        <f t="shared" si="32"/>
        <v>6.1006100000000001E-9</v>
      </c>
      <c r="H240" s="69">
        <f t="shared" si="33"/>
        <v>4.7335999999999995E-9</v>
      </c>
      <c r="I240" s="72">
        <v>-1434.7</v>
      </c>
      <c r="J240" s="72"/>
      <c r="K240" s="69">
        <f t="shared" si="39"/>
        <v>7172.7827217278273</v>
      </c>
      <c r="L240" s="69">
        <f t="shared" si="34"/>
        <v>850431732.17522144</v>
      </c>
      <c r="M240" s="71"/>
      <c r="N240" s="453"/>
      <c r="O240" s="454"/>
      <c r="P240" s="348" t="str">
        <f t="shared" si="35"/>
        <v/>
      </c>
      <c r="Q240" s="612" t="str">
        <f t="shared" si="36"/>
        <v/>
      </c>
      <c r="R240" s="348" t="str">
        <f t="shared" si="37"/>
        <v/>
      </c>
      <c r="S240" s="613" t="str">
        <f t="shared" si="38"/>
        <v/>
      </c>
      <c r="T240" s="613">
        <f t="shared" si="40"/>
        <v>850431732.17522144</v>
      </c>
      <c r="U240" s="614" t="str">
        <f t="shared" si="41"/>
        <v/>
      </c>
    </row>
    <row r="241" spans="2:21" ht="15" customHeight="1">
      <c r="B241" s="690">
        <v>1230</v>
      </c>
      <c r="C241" s="71" t="s">
        <v>624</v>
      </c>
      <c r="D241" s="19" t="s">
        <v>625</v>
      </c>
      <c r="E241" s="73">
        <v>395.38</v>
      </c>
      <c r="F241" s="69">
        <v>3.58E-6</v>
      </c>
      <c r="G241" s="69">
        <f t="shared" si="32"/>
        <v>1.4154604E-3</v>
      </c>
      <c r="H241" s="69">
        <f t="shared" si="33"/>
        <v>5.5561599999999999E-4</v>
      </c>
      <c r="I241" s="72">
        <v>-5823</v>
      </c>
      <c r="J241" s="72"/>
      <c r="K241" s="69">
        <f t="shared" si="39"/>
        <v>14727.603824169153</v>
      </c>
      <c r="L241" s="69">
        <f t="shared" si="34"/>
        <v>1746159352.2188172</v>
      </c>
      <c r="M241" s="71"/>
      <c r="N241" s="453"/>
      <c r="O241" s="454"/>
      <c r="P241" s="348" t="str">
        <f t="shared" si="35"/>
        <v/>
      </c>
      <c r="Q241" s="612" t="str">
        <f t="shared" si="36"/>
        <v/>
      </c>
      <c r="R241" s="348" t="str">
        <f t="shared" si="37"/>
        <v/>
      </c>
      <c r="S241" s="613" t="str">
        <f t="shared" si="38"/>
        <v/>
      </c>
      <c r="T241" s="613">
        <f t="shared" si="40"/>
        <v>1746159352.2188172</v>
      </c>
      <c r="U241" s="614" t="str">
        <f t="shared" si="41"/>
        <v/>
      </c>
    </row>
    <row r="242" spans="2:21" ht="15" customHeight="1">
      <c r="B242" s="690">
        <v>1231</v>
      </c>
      <c r="C242" s="71" t="s">
        <v>622</v>
      </c>
      <c r="D242" s="19" t="s">
        <v>623</v>
      </c>
      <c r="E242" s="70">
        <v>590.03</v>
      </c>
      <c r="F242" s="69">
        <v>5.0999999999999999E-7</v>
      </c>
      <c r="G242" s="69">
        <f t="shared" si="32"/>
        <v>3.0091529999999995E-4</v>
      </c>
      <c r="H242" s="69">
        <f t="shared" si="33"/>
        <v>7.915199999999999E-5</v>
      </c>
      <c r="I242" s="72">
        <v>-2347.1999999999998</v>
      </c>
      <c r="J242" s="72"/>
      <c r="K242" s="69">
        <f t="shared" si="39"/>
        <v>3978.1028083317801</v>
      </c>
      <c r="L242" s="69">
        <f t="shared" si="34"/>
        <v>471658628.63970369</v>
      </c>
      <c r="M242" s="71"/>
      <c r="N242" s="453"/>
      <c r="O242" s="454"/>
      <c r="P242" s="348" t="str">
        <f t="shared" si="35"/>
        <v/>
      </c>
      <c r="Q242" s="612" t="str">
        <f t="shared" si="36"/>
        <v/>
      </c>
      <c r="R242" s="348" t="str">
        <f t="shared" si="37"/>
        <v/>
      </c>
      <c r="S242" s="613" t="str">
        <f t="shared" si="38"/>
        <v/>
      </c>
      <c r="T242" s="613">
        <f t="shared" si="40"/>
        <v>471658628.63970369</v>
      </c>
      <c r="U242" s="614" t="str">
        <f t="shared" si="41"/>
        <v/>
      </c>
    </row>
    <row r="243" spans="2:21" ht="15" customHeight="1">
      <c r="B243" s="690">
        <v>1232</v>
      </c>
      <c r="C243" s="71" t="s">
        <v>620</v>
      </c>
      <c r="D243" s="19" t="s">
        <v>621</v>
      </c>
      <c r="E243" s="73">
        <v>470.7</v>
      </c>
      <c r="F243" s="69">
        <v>1.8900000000000001E-7</v>
      </c>
      <c r="G243" s="69">
        <f t="shared" si="32"/>
        <v>8.89623E-5</v>
      </c>
      <c r="H243" s="69">
        <f t="shared" si="33"/>
        <v>2.9332799999999998E-5</v>
      </c>
      <c r="I243" s="72">
        <v>-6672.5</v>
      </c>
      <c r="J243" s="72"/>
      <c r="K243" s="69">
        <f t="shared" si="39"/>
        <v>14175.69577225409</v>
      </c>
      <c r="L243" s="69">
        <f t="shared" si="34"/>
        <v>1680723085.8769147</v>
      </c>
      <c r="M243" s="71"/>
      <c r="N243" s="453"/>
      <c r="O243" s="454"/>
      <c r="P243" s="348" t="str">
        <f t="shared" si="35"/>
        <v/>
      </c>
      <c r="Q243" s="612" t="str">
        <f t="shared" si="36"/>
        <v/>
      </c>
      <c r="R243" s="348" t="str">
        <f t="shared" si="37"/>
        <v/>
      </c>
      <c r="S243" s="613" t="str">
        <f t="shared" si="38"/>
        <v/>
      </c>
      <c r="T243" s="613">
        <f t="shared" si="40"/>
        <v>1680723085.8769147</v>
      </c>
      <c r="U243" s="614" t="str">
        <f t="shared" si="41"/>
        <v/>
      </c>
    </row>
    <row r="244" spans="2:21" ht="15" customHeight="1">
      <c r="B244" s="690">
        <v>1233</v>
      </c>
      <c r="C244" s="71" t="s">
        <v>618</v>
      </c>
      <c r="D244" s="19" t="s">
        <v>619</v>
      </c>
      <c r="E244" s="70">
        <v>541.54999999999995</v>
      </c>
      <c r="F244" s="69">
        <v>2.3800000000000001E-11</v>
      </c>
      <c r="G244" s="69">
        <f t="shared" si="32"/>
        <v>1.288889E-8</v>
      </c>
      <c r="H244" s="69">
        <f t="shared" si="33"/>
        <v>3.6937599999999999E-9</v>
      </c>
      <c r="I244" s="72">
        <v>-142.19999999999999</v>
      </c>
      <c r="J244" s="72"/>
      <c r="K244" s="69">
        <f t="shared" si="39"/>
        <v>262.57963253623859</v>
      </c>
      <c r="L244" s="69">
        <f t="shared" si="34"/>
        <v>31132415.464821868</v>
      </c>
      <c r="M244" s="71"/>
      <c r="N244" s="453"/>
      <c r="O244" s="454"/>
      <c r="P244" s="348" t="str">
        <f t="shared" si="35"/>
        <v/>
      </c>
      <c r="Q244" s="612" t="str">
        <f t="shared" si="36"/>
        <v/>
      </c>
      <c r="R244" s="348" t="str">
        <f t="shared" si="37"/>
        <v/>
      </c>
      <c r="S244" s="613" t="str">
        <f t="shared" si="38"/>
        <v/>
      </c>
      <c r="T244" s="613">
        <f t="shared" si="40"/>
        <v>31132415.464821868</v>
      </c>
      <c r="U244" s="614" t="str">
        <f t="shared" si="41"/>
        <v/>
      </c>
    </row>
    <row r="245" spans="2:21" ht="15" customHeight="1">
      <c r="B245" s="690">
        <v>1234</v>
      </c>
      <c r="C245" s="71" t="s">
        <v>617</v>
      </c>
      <c r="D245" s="19" t="s">
        <v>128</v>
      </c>
      <c r="E245" s="70">
        <v>119.98</v>
      </c>
      <c r="F245" s="69">
        <v>2.7499999999999999E-6</v>
      </c>
      <c r="G245" s="69">
        <f t="shared" si="32"/>
        <v>3.29945E-4</v>
      </c>
      <c r="H245" s="69">
        <f t="shared" si="33"/>
        <v>4.2679999999999997E-4</v>
      </c>
      <c r="I245" s="72">
        <v>-163.30000000000001</v>
      </c>
      <c r="J245" s="72"/>
      <c r="K245" s="69">
        <f t="shared" si="39"/>
        <v>1361.0601766961161</v>
      </c>
      <c r="L245" s="69">
        <f t="shared" si="34"/>
        <v>161372344.39795876</v>
      </c>
      <c r="M245" s="71"/>
      <c r="N245" s="453"/>
      <c r="O245" s="454"/>
      <c r="P245" s="348" t="str">
        <f t="shared" si="35"/>
        <v/>
      </c>
      <c r="Q245" s="612" t="str">
        <f t="shared" si="36"/>
        <v/>
      </c>
      <c r="R245" s="348" t="str">
        <f t="shared" si="37"/>
        <v/>
      </c>
      <c r="S245" s="613" t="str">
        <f t="shared" si="38"/>
        <v/>
      </c>
      <c r="T245" s="613">
        <f t="shared" si="40"/>
        <v>161372344.39795876</v>
      </c>
      <c r="U245" s="614" t="str">
        <f t="shared" si="41"/>
        <v/>
      </c>
    </row>
    <row r="246" spans="2:21" ht="15" customHeight="1">
      <c r="B246" s="690">
        <v>1235</v>
      </c>
      <c r="C246" s="71" t="s">
        <v>616</v>
      </c>
      <c r="D246" s="19" t="s">
        <v>1058</v>
      </c>
      <c r="E246" s="70">
        <v>362.38</v>
      </c>
      <c r="F246" s="69">
        <v>3.4699999999999998E-9</v>
      </c>
      <c r="G246" s="69">
        <f t="shared" si="32"/>
        <v>1.2574586E-6</v>
      </c>
      <c r="H246" s="69">
        <f t="shared" si="33"/>
        <v>5.3854399999999996E-7</v>
      </c>
      <c r="I246" s="72">
        <v>-2687.3</v>
      </c>
      <c r="J246" s="72"/>
      <c r="K246" s="69">
        <f t="shared" si="39"/>
        <v>7415.6962304762956</v>
      </c>
      <c r="L246" s="69">
        <f t="shared" si="34"/>
        <v>879232459.03788567</v>
      </c>
      <c r="M246" s="71"/>
      <c r="N246" s="453"/>
      <c r="O246" s="454"/>
      <c r="P246" s="348" t="str">
        <f t="shared" si="35"/>
        <v/>
      </c>
      <c r="Q246" s="612" t="str">
        <f t="shared" si="36"/>
        <v/>
      </c>
      <c r="R246" s="348" t="str">
        <f t="shared" si="37"/>
        <v/>
      </c>
      <c r="S246" s="613" t="str">
        <f t="shared" si="38"/>
        <v/>
      </c>
      <c r="T246" s="613">
        <f t="shared" si="40"/>
        <v>879232459.03788567</v>
      </c>
      <c r="U246" s="614" t="str">
        <f t="shared" si="41"/>
        <v/>
      </c>
    </row>
    <row r="247" spans="2:21" ht="15" customHeight="1">
      <c r="B247" s="690">
        <v>1236</v>
      </c>
      <c r="C247" s="71" t="s">
        <v>615</v>
      </c>
      <c r="D247" s="19" t="s">
        <v>129</v>
      </c>
      <c r="E247" s="73">
        <v>86.94</v>
      </c>
      <c r="F247" s="69">
        <v>5.6400000000000002E-7</v>
      </c>
      <c r="G247" s="69">
        <f t="shared" si="32"/>
        <v>4.9034160000000003E-5</v>
      </c>
      <c r="H247" s="69">
        <f t="shared" si="33"/>
        <v>8.7532800000000003E-5</v>
      </c>
      <c r="I247" s="72">
        <v>-465.2</v>
      </c>
      <c r="J247" s="72">
        <f>34.86</f>
        <v>34.86</v>
      </c>
      <c r="K247" s="69">
        <f t="shared" si="39"/>
        <v>5350.8166551644817</v>
      </c>
      <c r="L247" s="69">
        <f t="shared" si="34"/>
        <v>634412675.40687454</v>
      </c>
      <c r="M247" s="71" t="s">
        <v>115</v>
      </c>
      <c r="N247" s="453">
        <f>54.92/'Singular Minerals'!E247</f>
        <v>0.63170002300437089</v>
      </c>
      <c r="O247" s="454">
        <f>0.142/N247</f>
        <v>0.22479024034959938</v>
      </c>
      <c r="P247" s="348">
        <f t="shared" si="35"/>
        <v>0.40128186453022568</v>
      </c>
      <c r="Q247" s="612">
        <f t="shared" si="36"/>
        <v>240.36635468215511</v>
      </c>
      <c r="R247" s="348">
        <f t="shared" si="37"/>
        <v>102303888712801.39</v>
      </c>
      <c r="S247" s="613">
        <f t="shared" si="38"/>
        <v>13279031229.634497</v>
      </c>
      <c r="T247" s="613">
        <f t="shared" si="40"/>
        <v>13279031229.634497</v>
      </c>
      <c r="U247" s="614">
        <f t="shared" si="41"/>
        <v>21021102969.854752</v>
      </c>
    </row>
    <row r="248" spans="2:21" ht="15" customHeight="1">
      <c r="B248" s="690">
        <v>1237</v>
      </c>
      <c r="C248" s="71" t="s">
        <v>614</v>
      </c>
      <c r="D248" s="19" t="s">
        <v>355</v>
      </c>
      <c r="E248" s="73">
        <v>360.31</v>
      </c>
      <c r="F248" s="69">
        <v>8.9299999999999999E-8</v>
      </c>
      <c r="G248" s="69">
        <f t="shared" si="32"/>
        <v>3.2175682999999998E-5</v>
      </c>
      <c r="H248" s="69">
        <f t="shared" si="33"/>
        <v>1.3859359999999999E-5</v>
      </c>
      <c r="I248" s="72">
        <v>-5257.6</v>
      </c>
      <c r="J248" s="72"/>
      <c r="K248" s="69">
        <f t="shared" si="39"/>
        <v>14591.879215120312</v>
      </c>
      <c r="L248" s="69">
        <f t="shared" si="34"/>
        <v>1730067339.0002143</v>
      </c>
      <c r="M248" s="71"/>
      <c r="N248" s="453"/>
      <c r="O248" s="454"/>
      <c r="P248" s="348" t="str">
        <f t="shared" si="35"/>
        <v/>
      </c>
      <c r="Q248" s="612" t="str">
        <f t="shared" si="36"/>
        <v/>
      </c>
      <c r="R248" s="348" t="str">
        <f t="shared" si="37"/>
        <v/>
      </c>
      <c r="S248" s="613" t="str">
        <f t="shared" si="38"/>
        <v/>
      </c>
      <c r="T248" s="613">
        <f t="shared" si="40"/>
        <v>1730067339.0002143</v>
      </c>
      <c r="U248" s="614" t="str">
        <f t="shared" si="41"/>
        <v/>
      </c>
    </row>
    <row r="249" spans="2:21" ht="15" customHeight="1">
      <c r="B249" s="690">
        <v>1238</v>
      </c>
      <c r="C249" s="71" t="s">
        <v>612</v>
      </c>
      <c r="D249" s="19" t="s">
        <v>613</v>
      </c>
      <c r="E249" s="73">
        <v>85.12</v>
      </c>
      <c r="F249" s="69">
        <v>1.79E-6</v>
      </c>
      <c r="G249" s="69">
        <f t="shared" si="32"/>
        <v>1.5236480000000002E-4</v>
      </c>
      <c r="H249" s="69">
        <f t="shared" si="33"/>
        <v>2.7780799999999999E-4</v>
      </c>
      <c r="I249" s="72">
        <v>-100.5</v>
      </c>
      <c r="J249" s="72"/>
      <c r="K249" s="69">
        <f t="shared" si="39"/>
        <v>1180.6860902255639</v>
      </c>
      <c r="L249" s="69">
        <f t="shared" si="34"/>
        <v>139986523.47632295</v>
      </c>
      <c r="M249" s="71"/>
      <c r="N249" s="453"/>
      <c r="O249" s="454"/>
      <c r="P249" s="348" t="str">
        <f t="shared" si="35"/>
        <v/>
      </c>
      <c r="Q249" s="612" t="str">
        <f t="shared" si="36"/>
        <v/>
      </c>
      <c r="R249" s="348" t="str">
        <f t="shared" si="37"/>
        <v/>
      </c>
      <c r="S249" s="613" t="str">
        <f t="shared" si="38"/>
        <v/>
      </c>
      <c r="T249" s="613">
        <f t="shared" si="40"/>
        <v>139986523.47632295</v>
      </c>
      <c r="U249" s="614" t="str">
        <f t="shared" si="41"/>
        <v/>
      </c>
    </row>
    <row r="250" spans="2:21" ht="15" customHeight="1">
      <c r="B250" s="690">
        <v>1239</v>
      </c>
      <c r="C250" s="71" t="s">
        <v>203</v>
      </c>
      <c r="D250" s="19" t="s">
        <v>161</v>
      </c>
      <c r="E250" s="70">
        <v>60.084400000000002</v>
      </c>
      <c r="F250" s="69">
        <v>3.81E-3</v>
      </c>
      <c r="G250" s="69">
        <f t="shared" si="32"/>
        <v>0.22892156400000002</v>
      </c>
      <c r="H250" s="69">
        <f t="shared" si="33"/>
        <v>0.59131199999999995</v>
      </c>
      <c r="I250" s="72">
        <v>-857.2</v>
      </c>
      <c r="J250" s="72">
        <v>0.82</v>
      </c>
      <c r="K250" s="69">
        <f t="shared" si="39"/>
        <v>14266.598318365499</v>
      </c>
      <c r="L250" s="69">
        <f t="shared" si="34"/>
        <v>1691500829.0134084</v>
      </c>
      <c r="M250" s="71"/>
      <c r="N250" s="453"/>
      <c r="O250" s="454">
        <v>0.95</v>
      </c>
      <c r="P250" s="348">
        <f t="shared" si="35"/>
        <v>2.4538815399671128</v>
      </c>
      <c r="Q250" s="612">
        <f t="shared" si="36"/>
        <v>58.71015135710357</v>
      </c>
      <c r="R250" s="348">
        <f t="shared" si="37"/>
        <v>1.1665937074727349E+17</v>
      </c>
      <c r="S250" s="613">
        <f t="shared" si="38"/>
        <v>3243440349.2055173</v>
      </c>
      <c r="T250" s="613">
        <f t="shared" si="40"/>
        <v>3243440349.2055173</v>
      </c>
      <c r="U250" s="614" t="str">
        <f t="shared" si="41"/>
        <v/>
      </c>
    </row>
    <row r="251" spans="2:21" ht="15" customHeight="1">
      <c r="B251" s="690">
        <v>1240</v>
      </c>
      <c r="C251" s="71" t="s">
        <v>610</v>
      </c>
      <c r="D251" s="19" t="s">
        <v>611</v>
      </c>
      <c r="E251" s="73">
        <v>341.91</v>
      </c>
      <c r="F251" s="69">
        <v>3.6199999999999999E-10</v>
      </c>
      <c r="G251" s="69">
        <f t="shared" si="32"/>
        <v>1.2377142000000002E-7</v>
      </c>
      <c r="H251" s="69">
        <f t="shared" si="33"/>
        <v>5.6182399999999995E-8</v>
      </c>
      <c r="I251" s="72">
        <v>-4103.8999999999996</v>
      </c>
      <c r="J251" s="72"/>
      <c r="K251" s="69">
        <f t="shared" si="39"/>
        <v>12002.866251352692</v>
      </c>
      <c r="L251" s="69">
        <f t="shared" si="34"/>
        <v>1423104356.1774721</v>
      </c>
      <c r="M251" s="71"/>
      <c r="N251" s="453"/>
      <c r="O251" s="454"/>
      <c r="P251" s="348" t="str">
        <f t="shared" si="35"/>
        <v/>
      </c>
      <c r="Q251" s="612" t="str">
        <f t="shared" si="36"/>
        <v/>
      </c>
      <c r="R251" s="348" t="str">
        <f t="shared" si="37"/>
        <v/>
      </c>
      <c r="S251" s="613" t="str">
        <f t="shared" si="38"/>
        <v/>
      </c>
      <c r="T251" s="613">
        <f t="shared" si="40"/>
        <v>1423104356.1774721</v>
      </c>
      <c r="U251" s="614" t="str">
        <f t="shared" si="41"/>
        <v/>
      </c>
    </row>
    <row r="252" spans="2:21" ht="15" customHeight="1">
      <c r="B252" s="690">
        <v>1241</v>
      </c>
      <c r="C252" s="71" t="s">
        <v>608</v>
      </c>
      <c r="D252" s="19" t="s">
        <v>609</v>
      </c>
      <c r="E252" s="73">
        <v>427.94839999999999</v>
      </c>
      <c r="F252" s="69">
        <v>1.4000000000000001E-10</v>
      </c>
      <c r="G252" s="69">
        <f t="shared" si="32"/>
        <v>5.9912775999999997E-8</v>
      </c>
      <c r="H252" s="69">
        <f t="shared" si="33"/>
        <v>2.1728000000000001E-8</v>
      </c>
      <c r="I252" s="72">
        <v>-132.69999999999999</v>
      </c>
      <c r="J252" s="72"/>
      <c r="K252" s="69">
        <f t="shared" si="39"/>
        <v>310.08411294445779</v>
      </c>
      <c r="L252" s="69">
        <f t="shared" si="34"/>
        <v>36764722.914658308</v>
      </c>
      <c r="M252" s="71"/>
      <c r="N252" s="453"/>
      <c r="O252" s="454"/>
      <c r="P252" s="348" t="str">
        <f t="shared" si="35"/>
        <v/>
      </c>
      <c r="Q252" s="612" t="str">
        <f t="shared" si="36"/>
        <v/>
      </c>
      <c r="R252" s="348" t="str">
        <f t="shared" si="37"/>
        <v/>
      </c>
      <c r="S252" s="613" t="str">
        <f t="shared" si="38"/>
        <v/>
      </c>
      <c r="T252" s="613">
        <f t="shared" si="40"/>
        <v>36764722.914658308</v>
      </c>
      <c r="U252" s="614" t="str">
        <f t="shared" si="41"/>
        <v/>
      </c>
    </row>
    <row r="253" spans="2:21" ht="15" customHeight="1">
      <c r="B253" s="690">
        <v>1242</v>
      </c>
      <c r="C253" s="71" t="s">
        <v>353</v>
      </c>
      <c r="D253" s="19" t="s">
        <v>1059</v>
      </c>
      <c r="E253" s="73">
        <v>252.8</v>
      </c>
      <c r="F253" s="69">
        <v>1.0300000000000001E-10</v>
      </c>
      <c r="G253" s="69">
        <f t="shared" si="32"/>
        <v>2.6038400000000003E-8</v>
      </c>
      <c r="H253" s="69">
        <f t="shared" si="33"/>
        <v>1.59856E-8</v>
      </c>
      <c r="I253" s="72">
        <v>-1821.9</v>
      </c>
      <c r="J253" s="72"/>
      <c r="K253" s="69">
        <f t="shared" si="39"/>
        <v>7206.8829113924048</v>
      </c>
      <c r="L253" s="69">
        <f t="shared" si="34"/>
        <v>854474777.18146479</v>
      </c>
      <c r="M253" s="71"/>
      <c r="N253" s="453"/>
      <c r="O253" s="454"/>
      <c r="P253" s="348" t="str">
        <f t="shared" si="35"/>
        <v/>
      </c>
      <c r="Q253" s="612" t="str">
        <f t="shared" si="36"/>
        <v/>
      </c>
      <c r="R253" s="348" t="str">
        <f t="shared" si="37"/>
        <v/>
      </c>
      <c r="S253" s="613" t="str">
        <f t="shared" si="38"/>
        <v/>
      </c>
      <c r="T253" s="613">
        <f t="shared" si="40"/>
        <v>854474777.18146479</v>
      </c>
      <c r="U253" s="614" t="str">
        <f t="shared" si="41"/>
        <v/>
      </c>
    </row>
    <row r="254" spans="2:21" ht="15" customHeight="1">
      <c r="B254" s="690">
        <v>1243</v>
      </c>
      <c r="C254" s="71" t="s">
        <v>606</v>
      </c>
      <c r="D254" s="19" t="s">
        <v>607</v>
      </c>
      <c r="E254" s="70">
        <v>114.95</v>
      </c>
      <c r="F254" s="69">
        <v>9.4799999999999997E-7</v>
      </c>
      <c r="G254" s="69">
        <f t="shared" si="32"/>
        <v>1.089726E-4</v>
      </c>
      <c r="H254" s="69">
        <f t="shared" si="33"/>
        <v>1.4712959999999998E-4</v>
      </c>
      <c r="I254" s="72">
        <v>-817.1</v>
      </c>
      <c r="J254" s="72"/>
      <c r="K254" s="69">
        <f t="shared" si="39"/>
        <v>7108.3079599826006</v>
      </c>
      <c r="L254" s="69">
        <f t="shared" si="34"/>
        <v>842787365.20639038</v>
      </c>
      <c r="M254" s="71"/>
      <c r="N254" s="453"/>
      <c r="O254" s="454"/>
      <c r="P254" s="348" t="str">
        <f t="shared" si="35"/>
        <v/>
      </c>
      <c r="Q254" s="612" t="str">
        <f t="shared" si="36"/>
        <v/>
      </c>
      <c r="R254" s="348" t="str">
        <f t="shared" si="37"/>
        <v/>
      </c>
      <c r="S254" s="613" t="str">
        <f t="shared" si="38"/>
        <v/>
      </c>
      <c r="T254" s="613">
        <f t="shared" si="40"/>
        <v>842787365.20639038</v>
      </c>
      <c r="U254" s="614" t="str">
        <f t="shared" si="41"/>
        <v/>
      </c>
    </row>
    <row r="255" spans="2:21" ht="15" customHeight="1">
      <c r="B255" s="690">
        <v>1244</v>
      </c>
      <c r="C255" s="71" t="s">
        <v>604</v>
      </c>
      <c r="D255" s="19" t="s">
        <v>605</v>
      </c>
      <c r="E255" s="70">
        <v>131.02000000000001</v>
      </c>
      <c r="F255" s="69">
        <v>2.3200000000000001E-7</v>
      </c>
      <c r="G255" s="69">
        <f t="shared" si="32"/>
        <v>3.0396640000000002E-5</v>
      </c>
      <c r="H255" s="69">
        <f t="shared" si="33"/>
        <v>3.6006400000000001E-5</v>
      </c>
      <c r="I255" s="72">
        <v>-1243.0999999999999</v>
      </c>
      <c r="J255" s="72"/>
      <c r="K255" s="69">
        <f t="shared" si="39"/>
        <v>9487.8644481758511</v>
      </c>
      <c r="L255" s="69">
        <f t="shared" si="34"/>
        <v>1124916411.1529408</v>
      </c>
      <c r="M255" s="71"/>
      <c r="N255" s="453"/>
      <c r="O255" s="454"/>
      <c r="P255" s="348" t="str">
        <f t="shared" si="35"/>
        <v/>
      </c>
      <c r="Q255" s="612" t="str">
        <f t="shared" si="36"/>
        <v/>
      </c>
      <c r="R255" s="348" t="str">
        <f t="shared" si="37"/>
        <v/>
      </c>
      <c r="S255" s="613" t="str">
        <f t="shared" si="38"/>
        <v/>
      </c>
      <c r="T255" s="613">
        <f t="shared" si="40"/>
        <v>1124916411.1529408</v>
      </c>
      <c r="U255" s="614" t="str">
        <f t="shared" si="41"/>
        <v/>
      </c>
    </row>
    <row r="256" spans="2:21" ht="15" customHeight="1">
      <c r="B256" s="690">
        <v>1245</v>
      </c>
      <c r="C256" s="71" t="s">
        <v>602</v>
      </c>
      <c r="D256" s="19" t="s">
        <v>603</v>
      </c>
      <c r="E256" s="73">
        <v>935.9</v>
      </c>
      <c r="F256" s="69">
        <v>6.1399999999999997E-6</v>
      </c>
      <c r="G256" s="69">
        <f t="shared" si="32"/>
        <v>5.7464259999999998E-3</v>
      </c>
      <c r="H256" s="69">
        <f t="shared" si="33"/>
        <v>9.5292799999999991E-4</v>
      </c>
      <c r="I256" s="72">
        <v>-9399.5</v>
      </c>
      <c r="J256" s="72"/>
      <c r="K256" s="69">
        <f t="shared" si="39"/>
        <v>10043.273854044235</v>
      </c>
      <c r="L256" s="69">
        <f t="shared" si="34"/>
        <v>1190767811.0103841</v>
      </c>
      <c r="M256" s="71"/>
      <c r="N256" s="453"/>
      <c r="O256" s="454"/>
      <c r="P256" s="348" t="str">
        <f t="shared" si="35"/>
        <v/>
      </c>
      <c r="Q256" s="612" t="str">
        <f t="shared" si="36"/>
        <v/>
      </c>
      <c r="R256" s="348" t="str">
        <f t="shared" si="37"/>
        <v/>
      </c>
      <c r="S256" s="613" t="str">
        <f t="shared" si="38"/>
        <v/>
      </c>
      <c r="T256" s="613">
        <f t="shared" si="40"/>
        <v>1190767811.0103841</v>
      </c>
      <c r="U256" s="614" t="str">
        <f t="shared" si="41"/>
        <v/>
      </c>
    </row>
    <row r="257" spans="2:21" ht="15" customHeight="1">
      <c r="B257" s="690">
        <v>1246</v>
      </c>
      <c r="C257" s="71" t="s">
        <v>600</v>
      </c>
      <c r="D257" s="19" t="s">
        <v>601</v>
      </c>
      <c r="E257" s="70">
        <v>891.096</v>
      </c>
      <c r="F257" s="69">
        <v>2.25E-13</v>
      </c>
      <c r="G257" s="69">
        <f t="shared" si="32"/>
        <v>2.0049660000000001E-10</v>
      </c>
      <c r="H257" s="69">
        <f t="shared" si="33"/>
        <v>3.4920000000000001E-11</v>
      </c>
      <c r="I257" s="72">
        <v>-8808.5</v>
      </c>
      <c r="J257" s="72"/>
      <c r="K257" s="69">
        <f t="shared" si="39"/>
        <v>9885.0180003052428</v>
      </c>
      <c r="L257" s="69">
        <f t="shared" si="34"/>
        <v>1172004409.8251746</v>
      </c>
      <c r="M257" s="71"/>
      <c r="N257" s="453"/>
      <c r="O257" s="454"/>
      <c r="P257" s="348" t="str">
        <f t="shared" si="35"/>
        <v/>
      </c>
      <c r="Q257" s="612" t="str">
        <f t="shared" si="36"/>
        <v/>
      </c>
      <c r="R257" s="348" t="str">
        <f t="shared" si="37"/>
        <v/>
      </c>
      <c r="S257" s="613" t="str">
        <f t="shared" si="38"/>
        <v/>
      </c>
      <c r="T257" s="613">
        <f t="shared" si="40"/>
        <v>1172004409.8251746</v>
      </c>
      <c r="U257" s="614" t="str">
        <f t="shared" si="41"/>
        <v/>
      </c>
    </row>
    <row r="258" spans="2:21" ht="15" customHeight="1">
      <c r="B258" s="690">
        <v>1247</v>
      </c>
      <c r="C258" s="71" t="s">
        <v>599</v>
      </c>
      <c r="D258" s="19" t="s">
        <v>1053</v>
      </c>
      <c r="E258" s="70">
        <v>595.28499999999997</v>
      </c>
      <c r="F258" s="69">
        <v>2.0100000000000001E-5</v>
      </c>
      <c r="G258" s="69">
        <f t="shared" si="32"/>
        <v>1.1965228499999999E-2</v>
      </c>
      <c r="H258" s="69">
        <f t="shared" si="33"/>
        <v>3.1195199999999998E-3</v>
      </c>
      <c r="I258" s="72">
        <v>-7788.2</v>
      </c>
      <c r="J258" s="72"/>
      <c r="K258" s="69">
        <f t="shared" si="39"/>
        <v>13083.145048170205</v>
      </c>
      <c r="L258" s="69">
        <f t="shared" si="34"/>
        <v>1551186218.4129949</v>
      </c>
      <c r="M258" s="71"/>
      <c r="N258" s="453"/>
      <c r="O258" s="454"/>
      <c r="P258" s="348" t="str">
        <f t="shared" si="35"/>
        <v/>
      </c>
      <c r="Q258" s="612" t="str">
        <f t="shared" si="36"/>
        <v/>
      </c>
      <c r="R258" s="348" t="str">
        <f t="shared" si="37"/>
        <v/>
      </c>
      <c r="S258" s="613" t="str">
        <f t="shared" si="38"/>
        <v/>
      </c>
      <c r="T258" s="613">
        <f t="shared" si="40"/>
        <v>1551186218.4129949</v>
      </c>
      <c r="U258" s="614" t="str">
        <f t="shared" si="41"/>
        <v/>
      </c>
    </row>
    <row r="259" spans="2:21" ht="15" customHeight="1">
      <c r="B259" s="690">
        <v>1248</v>
      </c>
      <c r="C259" s="71" t="s">
        <v>223</v>
      </c>
      <c r="D259" s="19" t="s">
        <v>143</v>
      </c>
      <c r="E259" s="70">
        <v>79.866</v>
      </c>
      <c r="F259" s="69">
        <v>3.41E-6</v>
      </c>
      <c r="G259" s="69">
        <f t="shared" si="32"/>
        <v>2.7234306000000001E-4</v>
      </c>
      <c r="H259" s="69">
        <f t="shared" si="33"/>
        <v>5.2923199999999992E-4</v>
      </c>
      <c r="I259" s="72">
        <v>-890.1</v>
      </c>
      <c r="J259" s="72">
        <f>AVERAGE(20.51,20.92)</f>
        <v>20.715000000000003</v>
      </c>
      <c r="K259" s="69">
        <f t="shared" si="39"/>
        <v>11144.917737209826</v>
      </c>
      <c r="L259" s="69">
        <f t="shared" si="34"/>
        <v>1321382797.1527596</v>
      </c>
      <c r="M259" s="71" t="s">
        <v>143</v>
      </c>
      <c r="N259" s="453">
        <v>1</v>
      </c>
      <c r="O259" s="463">
        <f>'EmCF Library'!Z100/N259</f>
        <v>4.0000000000000001E-3</v>
      </c>
      <c r="P259" s="348">
        <f t="shared" si="35"/>
        <v>7.7730198081786984E-3</v>
      </c>
      <c r="Q259" s="612">
        <f t="shared" si="36"/>
        <v>83.396626735101748</v>
      </c>
      <c r="R259" s="348">
        <f t="shared" si="37"/>
        <v>197144435062449.84</v>
      </c>
      <c r="S259" s="613">
        <f t="shared" si="38"/>
        <v>4607243856.2625628</v>
      </c>
      <c r="T259" s="613">
        <f t="shared" si="40"/>
        <v>4607243856.2625628</v>
      </c>
      <c r="U259" s="614">
        <f t="shared" si="41"/>
        <v>4607243856.2625628</v>
      </c>
    </row>
    <row r="260" spans="2:21" ht="15" customHeight="1">
      <c r="B260" s="690">
        <v>1249</v>
      </c>
      <c r="C260" s="71" t="s">
        <v>597</v>
      </c>
      <c r="D260" s="19" t="s">
        <v>598</v>
      </c>
      <c r="E260" s="73">
        <v>922.32410000000004</v>
      </c>
      <c r="F260" s="69">
        <v>5.2899999999999997E-13</v>
      </c>
      <c r="G260" s="69">
        <f t="shared" si="32"/>
        <v>4.8790944889999997E-10</v>
      </c>
      <c r="H260" s="69">
        <f t="shared" si="33"/>
        <v>8.210079999999999E-11</v>
      </c>
      <c r="I260" s="72">
        <v>-463.5</v>
      </c>
      <c r="J260" s="72"/>
      <c r="K260" s="69">
        <f t="shared" si="39"/>
        <v>502.5348464818386</v>
      </c>
      <c r="L260" s="69">
        <f t="shared" si="34"/>
        <v>59582395.919698358</v>
      </c>
      <c r="M260" s="71"/>
      <c r="N260" s="453"/>
      <c r="O260" s="454"/>
      <c r="P260" s="348" t="str">
        <f t="shared" si="35"/>
        <v/>
      </c>
      <c r="Q260" s="612" t="str">
        <f t="shared" si="36"/>
        <v/>
      </c>
      <c r="R260" s="348" t="str">
        <f t="shared" si="37"/>
        <v/>
      </c>
      <c r="S260" s="613" t="str">
        <f t="shared" si="38"/>
        <v/>
      </c>
      <c r="T260" s="613">
        <f t="shared" si="40"/>
        <v>59582395.919698358</v>
      </c>
      <c r="U260" s="614" t="str">
        <f t="shared" si="41"/>
        <v/>
      </c>
    </row>
    <row r="261" spans="2:21" ht="15" customHeight="1">
      <c r="B261" s="690">
        <v>1250</v>
      </c>
      <c r="C261" s="71" t="s">
        <v>596</v>
      </c>
      <c r="D261" s="19" t="s">
        <v>1060</v>
      </c>
      <c r="E261" s="73">
        <v>274.3</v>
      </c>
      <c r="F261" s="69">
        <v>2.6699999999999998E-6</v>
      </c>
      <c r="G261" s="69">
        <f t="shared" si="32"/>
        <v>7.3238099999999994E-4</v>
      </c>
      <c r="H261" s="69">
        <f t="shared" si="33"/>
        <v>4.1438399999999995E-4</v>
      </c>
      <c r="I261" s="72">
        <v>-3715.9</v>
      </c>
      <c r="J261" s="72"/>
      <c r="K261" s="69">
        <f t="shared" si="39"/>
        <v>13546.846518410499</v>
      </c>
      <c r="L261" s="69">
        <f t="shared" si="34"/>
        <v>1606164385.164665</v>
      </c>
      <c r="M261" s="71"/>
      <c r="N261" s="453"/>
      <c r="O261" s="454"/>
      <c r="P261" s="348" t="str">
        <f t="shared" si="35"/>
        <v/>
      </c>
      <c r="Q261" s="612" t="str">
        <f t="shared" si="36"/>
        <v/>
      </c>
      <c r="R261" s="348" t="str">
        <f t="shared" si="37"/>
        <v/>
      </c>
      <c r="S261" s="613" t="str">
        <f t="shared" si="38"/>
        <v/>
      </c>
      <c r="T261" s="613">
        <f t="shared" si="40"/>
        <v>1606164385.164665</v>
      </c>
      <c r="U261" s="614" t="str">
        <f t="shared" si="41"/>
        <v/>
      </c>
    </row>
    <row r="262" spans="2:21" ht="15" customHeight="1">
      <c r="B262" s="690">
        <v>1251</v>
      </c>
      <c r="C262" s="71" t="s">
        <v>595</v>
      </c>
      <c r="D262" s="19" t="s">
        <v>1061</v>
      </c>
      <c r="E262" s="70">
        <v>683.33</v>
      </c>
      <c r="F262" s="69">
        <v>2.0400000000000001E-8</v>
      </c>
      <c r="G262" s="69">
        <f t="shared" si="32"/>
        <v>1.3939932000000001E-5</v>
      </c>
      <c r="H262" s="69">
        <f t="shared" si="33"/>
        <v>3.1660799999999999E-6</v>
      </c>
      <c r="I262" s="72">
        <v>-9962.9</v>
      </c>
      <c r="J262" s="72"/>
      <c r="K262" s="69">
        <f t="shared" si="39"/>
        <v>14579.924780120878</v>
      </c>
      <c r="L262" s="69">
        <f t="shared" si="34"/>
        <v>1728649976.8329556</v>
      </c>
      <c r="M262" s="71"/>
      <c r="N262" s="453"/>
      <c r="O262" s="454"/>
      <c r="P262" s="348" t="str">
        <f t="shared" si="35"/>
        <v/>
      </c>
      <c r="Q262" s="612" t="str">
        <f t="shared" si="36"/>
        <v/>
      </c>
      <c r="R262" s="348" t="str">
        <f t="shared" si="37"/>
        <v/>
      </c>
      <c r="S262" s="613" t="str">
        <f t="shared" si="38"/>
        <v/>
      </c>
      <c r="T262" s="613">
        <f t="shared" si="40"/>
        <v>1728649976.8329556</v>
      </c>
      <c r="U262" s="614" t="str">
        <f t="shared" si="41"/>
        <v/>
      </c>
    </row>
    <row r="263" spans="2:21" ht="15" customHeight="1">
      <c r="B263" s="690">
        <v>1252</v>
      </c>
      <c r="C263" s="71" t="s">
        <v>593</v>
      </c>
      <c r="D263" s="19" t="s">
        <v>594</v>
      </c>
      <c r="E263" s="73">
        <v>61.83</v>
      </c>
      <c r="F263" s="69">
        <v>3.5999999999999999E-7</v>
      </c>
      <c r="G263" s="69">
        <f t="shared" si="32"/>
        <v>2.2258799999999998E-5</v>
      </c>
      <c r="H263" s="69">
        <f t="shared" si="33"/>
        <v>5.5871999999999996E-5</v>
      </c>
      <c r="I263" s="72">
        <v>-969</v>
      </c>
      <c r="J263" s="72"/>
      <c r="K263" s="69">
        <f t="shared" si="39"/>
        <v>15672.003881610868</v>
      </c>
      <c r="L263" s="69">
        <f t="shared" si="34"/>
        <v>1858130926.9723139</v>
      </c>
      <c r="M263" s="71"/>
      <c r="N263" s="453"/>
      <c r="O263" s="454"/>
      <c r="P263" s="348" t="str">
        <f t="shared" si="35"/>
        <v/>
      </c>
      <c r="Q263" s="612" t="str">
        <f t="shared" si="36"/>
        <v/>
      </c>
      <c r="R263" s="348" t="str">
        <f t="shared" si="37"/>
        <v/>
      </c>
      <c r="S263" s="613" t="str">
        <f t="shared" si="38"/>
        <v/>
      </c>
      <c r="T263" s="613">
        <f t="shared" si="40"/>
        <v>1858130926.9723139</v>
      </c>
      <c r="U263" s="614" t="str">
        <f t="shared" si="41"/>
        <v/>
      </c>
    </row>
    <row r="264" spans="2:21" ht="15" customHeight="1">
      <c r="B264" s="690">
        <v>1253</v>
      </c>
      <c r="C264" s="71" t="s">
        <v>591</v>
      </c>
      <c r="D264" s="19" t="s">
        <v>592</v>
      </c>
      <c r="E264" s="70">
        <v>845.11</v>
      </c>
      <c r="F264" s="69">
        <v>6.3399999999999999E-8</v>
      </c>
      <c r="G264" s="69">
        <f t="shared" si="32"/>
        <v>5.3579974000000001E-5</v>
      </c>
      <c r="H264" s="69">
        <f t="shared" si="33"/>
        <v>9.8396799999999986E-6</v>
      </c>
      <c r="I264" s="72">
        <v>-11504.2</v>
      </c>
      <c r="J264" s="72"/>
      <c r="K264" s="69">
        <f t="shared" si="39"/>
        <v>13612.665806818048</v>
      </c>
      <c r="L264" s="69">
        <f t="shared" si="34"/>
        <v>1613968164.2030866</v>
      </c>
      <c r="M264" s="71"/>
      <c r="N264" s="453"/>
      <c r="O264" s="454"/>
      <c r="P264" s="348" t="str">
        <f t="shared" si="35"/>
        <v/>
      </c>
      <c r="Q264" s="612" t="str">
        <f t="shared" si="36"/>
        <v/>
      </c>
      <c r="R264" s="348" t="str">
        <f t="shared" si="37"/>
        <v/>
      </c>
      <c r="S264" s="613" t="str">
        <f t="shared" si="38"/>
        <v/>
      </c>
      <c r="T264" s="613">
        <f t="shared" si="40"/>
        <v>1613968164.2030866</v>
      </c>
      <c r="U264" s="614" t="str">
        <f t="shared" si="41"/>
        <v/>
      </c>
    </row>
    <row r="265" spans="2:21" ht="15" customHeight="1">
      <c r="B265" s="690">
        <v>1254</v>
      </c>
      <c r="C265" s="71" t="s">
        <v>589</v>
      </c>
      <c r="D265" s="19" t="s">
        <v>590</v>
      </c>
      <c r="E265" s="73">
        <v>287.93</v>
      </c>
      <c r="F265" s="69">
        <v>9.2799999999999994E-9</v>
      </c>
      <c r="G265" s="69">
        <f t="shared" si="32"/>
        <v>2.6719903999999999E-6</v>
      </c>
      <c r="H265" s="69">
        <f t="shared" si="33"/>
        <v>1.4402559999999998E-6</v>
      </c>
      <c r="I265" s="72">
        <v>-1419.6</v>
      </c>
      <c r="J265" s="72"/>
      <c r="K265" s="69">
        <f t="shared" si="39"/>
        <v>4930.3650192755185</v>
      </c>
      <c r="L265" s="69">
        <f t="shared" si="34"/>
        <v>584562369.48281288</v>
      </c>
      <c r="M265" s="71"/>
      <c r="N265" s="453"/>
      <c r="O265" s="454"/>
      <c r="P265" s="348" t="str">
        <f t="shared" si="35"/>
        <v/>
      </c>
      <c r="Q265" s="612" t="str">
        <f t="shared" si="36"/>
        <v/>
      </c>
      <c r="R265" s="348" t="str">
        <f t="shared" si="37"/>
        <v/>
      </c>
      <c r="S265" s="613" t="str">
        <f t="shared" si="38"/>
        <v/>
      </c>
      <c r="T265" s="613">
        <f t="shared" si="40"/>
        <v>584562369.48281288</v>
      </c>
      <c r="U265" s="614" t="str">
        <f t="shared" si="41"/>
        <v/>
      </c>
    </row>
    <row r="266" spans="2:21" ht="15" customHeight="1">
      <c r="B266" s="690">
        <v>1255</v>
      </c>
      <c r="C266" s="71" t="s">
        <v>587</v>
      </c>
      <c r="D266" s="19" t="s">
        <v>588</v>
      </c>
      <c r="E266" s="70">
        <v>647.84</v>
      </c>
      <c r="F266" s="69">
        <v>5.6699999999999999E-6</v>
      </c>
      <c r="G266" s="69">
        <f t="shared" si="32"/>
        <v>3.6732528E-3</v>
      </c>
      <c r="H266" s="69">
        <f t="shared" si="33"/>
        <v>8.7998399999999989E-4</v>
      </c>
      <c r="I266" s="72">
        <v>-9257.7999999999993</v>
      </c>
      <c r="J266" s="72"/>
      <c r="K266" s="69">
        <f t="shared" si="39"/>
        <v>14290.256853544084</v>
      </c>
      <c r="L266" s="69">
        <f t="shared" si="34"/>
        <v>1694305872.7228332</v>
      </c>
      <c r="M266" s="71"/>
      <c r="N266" s="453"/>
      <c r="O266" s="454"/>
      <c r="P266" s="348" t="str">
        <f t="shared" si="35"/>
        <v/>
      </c>
      <c r="Q266" s="612" t="str">
        <f t="shared" si="36"/>
        <v/>
      </c>
      <c r="R266" s="348" t="str">
        <f t="shared" si="37"/>
        <v/>
      </c>
      <c r="S266" s="613" t="str">
        <f t="shared" si="38"/>
        <v/>
      </c>
      <c r="T266" s="613">
        <f t="shared" si="40"/>
        <v>1694305872.7228332</v>
      </c>
      <c r="U266" s="614" t="str">
        <f t="shared" si="41"/>
        <v/>
      </c>
    </row>
    <row r="267" spans="2:21" ht="15" customHeight="1">
      <c r="B267" s="690">
        <v>1256</v>
      </c>
      <c r="C267" s="71" t="s">
        <v>585</v>
      </c>
      <c r="D267" s="19" t="s">
        <v>93</v>
      </c>
      <c r="E267" s="73">
        <v>277.11</v>
      </c>
      <c r="F267" s="69">
        <v>1.64E-6</v>
      </c>
      <c r="G267" s="69">
        <f t="shared" si="32"/>
        <v>4.5446040000000004E-4</v>
      </c>
      <c r="H267" s="69">
        <f t="shared" si="33"/>
        <v>2.5452799999999996E-4</v>
      </c>
      <c r="I267" s="72">
        <v>-4035.4</v>
      </c>
      <c r="J267" s="72"/>
      <c r="K267" s="69">
        <f t="shared" si="39"/>
        <v>14562.448125293204</v>
      </c>
      <c r="L267" s="69">
        <f t="shared" si="34"/>
        <v>1726577879.7941444</v>
      </c>
      <c r="M267" s="71"/>
      <c r="N267" s="453"/>
      <c r="O267" s="454"/>
      <c r="P267" s="348" t="str">
        <f t="shared" si="35"/>
        <v/>
      </c>
      <c r="Q267" s="612" t="str">
        <f t="shared" si="36"/>
        <v/>
      </c>
      <c r="R267" s="348" t="str">
        <f t="shared" si="37"/>
        <v/>
      </c>
      <c r="S267" s="613" t="str">
        <f t="shared" si="38"/>
        <v/>
      </c>
      <c r="T267" s="613">
        <f t="shared" si="40"/>
        <v>1726577879.7941444</v>
      </c>
      <c r="U267" s="614" t="str">
        <f t="shared" si="41"/>
        <v/>
      </c>
    </row>
    <row r="268" spans="2:21" ht="15" customHeight="1">
      <c r="B268" s="690">
        <v>1257</v>
      </c>
      <c r="C268" s="71" t="s">
        <v>285</v>
      </c>
      <c r="D268" s="19" t="s">
        <v>584</v>
      </c>
      <c r="E268" s="70">
        <v>115.85429999999999</v>
      </c>
      <c r="F268" s="69">
        <v>2.08E-6</v>
      </c>
      <c r="G268" s="69">
        <f t="shared" ref="G268:G327" si="42">F268*E268</f>
        <v>2.40976944E-4</v>
      </c>
      <c r="H268" s="69">
        <f t="shared" ref="H268:H327" si="43">F268*$L$2</f>
        <v>3.2281599999999997E-4</v>
      </c>
      <c r="I268" s="72">
        <v>-671.1</v>
      </c>
      <c r="J268" s="72"/>
      <c r="K268" s="69">
        <f t="shared" si="39"/>
        <v>5792.6205587535378</v>
      </c>
      <c r="L268" s="69">
        <f t="shared" ref="L268:L327" si="44">IF(ISNUMBER(K268),$L$6*K268,0)</f>
        <v>686794585.41132379</v>
      </c>
      <c r="M268" s="71"/>
      <c r="N268" s="453"/>
      <c r="O268" s="454"/>
      <c r="P268" s="348" t="str">
        <f t="shared" ref="P268:P327" si="45">IF(ISNUMBER(O268),(O268/E268)/(1/$L$2),"")</f>
        <v/>
      </c>
      <c r="Q268" s="612" t="str">
        <f t="shared" ref="Q268:Q327" si="46">IF(ISNUMBER(O268),standard_temperature*gas_constant*LN(P268/H268)/E268,"")</f>
        <v/>
      </c>
      <c r="R268" s="348" t="str">
        <f t="shared" ref="R268:R327" si="47">IF(ISNUMBER(Q268),Q268*$G268*crust_mass/crust_age,"")</f>
        <v/>
      </c>
      <c r="S268" s="613" t="str">
        <f t="shared" ref="S268:S327" si="48">IF(ISNUMBER(O268),$S$6*Q268,"")</f>
        <v/>
      </c>
      <c r="T268" s="613">
        <f t="shared" si="40"/>
        <v>686794585.41132379</v>
      </c>
      <c r="U268" s="614" t="str">
        <f t="shared" si="41"/>
        <v/>
      </c>
    </row>
    <row r="269" spans="2:21" ht="15" customHeight="1">
      <c r="B269" s="690">
        <v>1258</v>
      </c>
      <c r="C269" s="71" t="s">
        <v>582</v>
      </c>
      <c r="D269" s="19" t="s">
        <v>583</v>
      </c>
      <c r="E269" s="73">
        <v>162.04580000000001</v>
      </c>
      <c r="F269" s="69">
        <v>6.1500000000000004E-5</v>
      </c>
      <c r="G269" s="69">
        <f t="shared" si="42"/>
        <v>9.9658167000000013E-3</v>
      </c>
      <c r="H269" s="69">
        <f t="shared" si="43"/>
        <v>9.5447999999999991E-3</v>
      </c>
      <c r="I269" s="72">
        <v>-2441</v>
      </c>
      <c r="J269" s="72"/>
      <c r="K269" s="69">
        <f t="shared" ref="K269:K327" si="49">-I269*1000/E269</f>
        <v>15063.642501070684</v>
      </c>
      <c r="L269" s="69">
        <f t="shared" si="44"/>
        <v>1786001344.5336769</v>
      </c>
      <c r="M269" s="71"/>
      <c r="N269" s="453"/>
      <c r="O269" s="454"/>
      <c r="P269" s="348" t="str">
        <f t="shared" si="45"/>
        <v/>
      </c>
      <c r="Q269" s="612" t="str">
        <f t="shared" si="46"/>
        <v/>
      </c>
      <c r="R269" s="348" t="str">
        <f t="shared" si="47"/>
        <v/>
      </c>
      <c r="S269" s="613" t="str">
        <f t="shared" si="48"/>
        <v/>
      </c>
      <c r="T269" s="613">
        <f t="shared" ref="T269:T327" si="50">MAX(L269,S269)</f>
        <v>1786001344.5336769</v>
      </c>
      <c r="U269" s="614" t="str">
        <f t="shared" ref="U269:U327" si="51">IF(ISNUMBER(N269),T269/N269,"")</f>
        <v/>
      </c>
    </row>
    <row r="270" spans="2:21" ht="15" customHeight="1">
      <c r="B270" s="690">
        <v>1259</v>
      </c>
      <c r="C270" s="71" t="s">
        <v>581</v>
      </c>
      <c r="D270" s="19" t="s">
        <v>511</v>
      </c>
      <c r="E270" s="70">
        <v>183.31</v>
      </c>
      <c r="F270" s="69">
        <v>4.0200000000000001E-10</v>
      </c>
      <c r="G270" s="69">
        <f t="shared" si="42"/>
        <v>7.3690620000000006E-8</v>
      </c>
      <c r="H270" s="69">
        <f t="shared" si="43"/>
        <v>6.23904E-8</v>
      </c>
      <c r="I270" s="72">
        <v>-1919.2</v>
      </c>
      <c r="J270" s="72"/>
      <c r="K270" s="69">
        <f t="shared" si="49"/>
        <v>10469.696143145491</v>
      </c>
      <c r="L270" s="69">
        <f t="shared" si="44"/>
        <v>1241326019.7318032</v>
      </c>
      <c r="M270" s="71"/>
      <c r="N270" s="453"/>
      <c r="O270" s="454"/>
      <c r="P270" s="348" t="str">
        <f t="shared" si="45"/>
        <v/>
      </c>
      <c r="Q270" s="612" t="str">
        <f t="shared" si="46"/>
        <v/>
      </c>
      <c r="R270" s="348" t="str">
        <f t="shared" si="47"/>
        <v/>
      </c>
      <c r="S270" s="613" t="str">
        <f t="shared" si="48"/>
        <v/>
      </c>
      <c r="T270" s="613">
        <f t="shared" si="50"/>
        <v>1241326019.7318032</v>
      </c>
      <c r="U270" s="614" t="str">
        <f t="shared" si="51"/>
        <v/>
      </c>
    </row>
    <row r="271" spans="2:21" ht="15" customHeight="1">
      <c r="B271" s="690">
        <v>1260</v>
      </c>
      <c r="C271" s="71" t="s">
        <v>348</v>
      </c>
      <c r="D271" s="19" t="s">
        <v>580</v>
      </c>
      <c r="E271" s="70">
        <v>208.78</v>
      </c>
      <c r="F271" s="69">
        <v>5.0599999999999998E-11</v>
      </c>
      <c r="G271" s="69">
        <f t="shared" si="42"/>
        <v>1.0564268000000001E-8</v>
      </c>
      <c r="H271" s="69">
        <f t="shared" si="43"/>
        <v>7.8531199999999995E-9</v>
      </c>
      <c r="I271" s="71" t="s">
        <v>1007</v>
      </c>
      <c r="J271" s="71"/>
      <c r="K271" s="69" t="e">
        <f t="shared" si="49"/>
        <v>#VALUE!</v>
      </c>
      <c r="L271" s="69">
        <f t="shared" si="44"/>
        <v>0</v>
      </c>
      <c r="M271" s="71"/>
      <c r="N271" s="453"/>
      <c r="O271" s="454"/>
      <c r="P271" s="348" t="str">
        <f t="shared" si="45"/>
        <v/>
      </c>
      <c r="Q271" s="612" t="str">
        <f t="shared" si="46"/>
        <v/>
      </c>
      <c r="R271" s="348" t="str">
        <f t="shared" si="47"/>
        <v/>
      </c>
      <c r="S271" s="613" t="str">
        <f t="shared" si="48"/>
        <v/>
      </c>
      <c r="T271" s="613">
        <f t="shared" si="50"/>
        <v>0</v>
      </c>
      <c r="U271" s="614" t="str">
        <f t="shared" si="51"/>
        <v/>
      </c>
    </row>
    <row r="272" spans="2:21" ht="15" customHeight="1">
      <c r="B272" s="690">
        <v>1261</v>
      </c>
      <c r="C272" s="71" t="s">
        <v>255</v>
      </c>
      <c r="D272" s="19" t="s">
        <v>254</v>
      </c>
      <c r="E272" s="70">
        <v>125.4</v>
      </c>
      <c r="F272" s="69">
        <v>6.3599999999999998E-10</v>
      </c>
      <c r="G272" s="69">
        <f t="shared" si="42"/>
        <v>7.9754399999999996E-8</v>
      </c>
      <c r="H272" s="69">
        <f t="shared" si="43"/>
        <v>9.8707199999999983E-8</v>
      </c>
      <c r="I272" s="72">
        <v>-731.9</v>
      </c>
      <c r="J272" s="72"/>
      <c r="K272" s="69">
        <f t="shared" si="49"/>
        <v>5836.5231259968095</v>
      </c>
      <c r="L272" s="69">
        <f t="shared" si="44"/>
        <v>691999836.67239106</v>
      </c>
      <c r="M272" s="71"/>
      <c r="N272" s="453"/>
      <c r="O272" s="454"/>
      <c r="P272" s="348" t="str">
        <f t="shared" si="45"/>
        <v/>
      </c>
      <c r="Q272" s="612" t="str">
        <f t="shared" si="46"/>
        <v/>
      </c>
      <c r="R272" s="348" t="str">
        <f t="shared" si="47"/>
        <v/>
      </c>
      <c r="S272" s="613" t="str">
        <f t="shared" si="48"/>
        <v/>
      </c>
      <c r="T272" s="613">
        <f t="shared" si="50"/>
        <v>691999836.67239106</v>
      </c>
      <c r="U272" s="614" t="str">
        <f t="shared" si="51"/>
        <v/>
      </c>
    </row>
    <row r="273" spans="2:21" ht="15" customHeight="1">
      <c r="B273" s="690">
        <v>1262</v>
      </c>
      <c r="C273" s="71" t="s">
        <v>579</v>
      </c>
      <c r="D273" s="19" t="s">
        <v>586</v>
      </c>
      <c r="E273" s="73">
        <v>969.21</v>
      </c>
      <c r="F273" s="69">
        <v>2.0499999999999999E-10</v>
      </c>
      <c r="G273" s="69">
        <f t="shared" si="42"/>
        <v>1.9868805000000001E-7</v>
      </c>
      <c r="H273" s="69">
        <f t="shared" si="43"/>
        <v>3.1815999999999998E-8</v>
      </c>
      <c r="I273" s="72">
        <v>-12703.6</v>
      </c>
      <c r="J273" s="72">
        <v>62.96</v>
      </c>
      <c r="K273" s="69">
        <f t="shared" si="49"/>
        <v>13107.169756812249</v>
      </c>
      <c r="L273" s="69">
        <f t="shared" si="44"/>
        <v>1554034677.0068357</v>
      </c>
      <c r="M273" s="71"/>
      <c r="N273" s="453"/>
      <c r="O273" s="454">
        <f>'EmCF Library'!Z33</f>
        <v>0.1</v>
      </c>
      <c r="P273" s="348">
        <f t="shared" si="45"/>
        <v>1.6013041549303039E-2</v>
      </c>
      <c r="Q273" s="612">
        <f t="shared" si="46"/>
        <v>33.578150222568134</v>
      </c>
      <c r="R273" s="348">
        <f t="shared" si="47"/>
        <v>57909290012.056831</v>
      </c>
      <c r="S273" s="613">
        <f t="shared" si="48"/>
        <v>1855023786.6212623</v>
      </c>
      <c r="T273" s="613">
        <f t="shared" si="50"/>
        <v>1855023786.6212623</v>
      </c>
      <c r="U273" s="614" t="str">
        <f t="shared" si="51"/>
        <v/>
      </c>
    </row>
    <row r="274" spans="2:21" ht="15" customHeight="1">
      <c r="B274" s="690">
        <v>1263</v>
      </c>
      <c r="C274" s="71" t="s">
        <v>577</v>
      </c>
      <c r="D274" s="19" t="s">
        <v>578</v>
      </c>
      <c r="E274" s="73">
        <v>495.03</v>
      </c>
      <c r="F274" s="69">
        <v>4.7700000000000005E-7</v>
      </c>
      <c r="G274" s="69">
        <f t="shared" si="42"/>
        <v>2.3612931000000002E-4</v>
      </c>
      <c r="H274" s="69">
        <f t="shared" si="43"/>
        <v>7.4030400000000009E-5</v>
      </c>
      <c r="I274" s="72">
        <v>-5326.3</v>
      </c>
      <c r="J274" s="72"/>
      <c r="K274" s="69">
        <f t="shared" si="49"/>
        <v>10759.549926267095</v>
      </c>
      <c r="L274" s="69">
        <f t="shared" si="44"/>
        <v>1275692159.6834493</v>
      </c>
      <c r="M274" s="71"/>
      <c r="N274" s="453"/>
      <c r="O274" s="454"/>
      <c r="P274" s="348" t="str">
        <f t="shared" si="45"/>
        <v/>
      </c>
      <c r="Q274" s="612" t="str">
        <f t="shared" si="46"/>
        <v/>
      </c>
      <c r="R274" s="348" t="str">
        <f t="shared" si="47"/>
        <v/>
      </c>
      <c r="S274" s="613" t="str">
        <f t="shared" si="48"/>
        <v/>
      </c>
      <c r="T274" s="613">
        <f t="shared" si="50"/>
        <v>1275692159.6834493</v>
      </c>
      <c r="U274" s="614" t="str">
        <f t="shared" si="51"/>
        <v/>
      </c>
    </row>
    <row r="275" spans="2:21" ht="15" customHeight="1">
      <c r="B275" s="690">
        <v>1264</v>
      </c>
      <c r="C275" s="71" t="s">
        <v>257</v>
      </c>
      <c r="D275" s="19" t="s">
        <v>256</v>
      </c>
      <c r="E275" s="70">
        <v>97.46</v>
      </c>
      <c r="F275" s="69">
        <v>1.02E-6</v>
      </c>
      <c r="G275" s="69">
        <f t="shared" si="42"/>
        <v>9.9409199999999997E-5</v>
      </c>
      <c r="H275" s="69">
        <f t="shared" si="43"/>
        <v>1.5830399999999998E-4</v>
      </c>
      <c r="I275" s="72">
        <v>-201.4</v>
      </c>
      <c r="J275" s="72">
        <f>AVERAGE(744.87,744.08)</f>
        <v>744.47500000000002</v>
      </c>
      <c r="K275" s="69">
        <f t="shared" si="49"/>
        <v>2066.488815924482</v>
      </c>
      <c r="L275" s="69">
        <f t="shared" si="44"/>
        <v>245010581.16870484</v>
      </c>
      <c r="M275" s="71" t="s">
        <v>147</v>
      </c>
      <c r="N275" s="453">
        <f>65.39/'Singular Minerals'!E275</f>
        <v>0.67094192489226356</v>
      </c>
      <c r="O275" s="454">
        <f>'EmCF Library'!AA104/N275</f>
        <v>7.8993424070958856E-2</v>
      </c>
      <c r="P275" s="348">
        <f t="shared" si="45"/>
        <v>0.12579293469949532</v>
      </c>
      <c r="Q275" s="612">
        <f t="shared" si="46"/>
        <v>169.84654885940193</v>
      </c>
      <c r="R275" s="348">
        <f t="shared" si="47"/>
        <v>146555806849506.81</v>
      </c>
      <c r="S275" s="613">
        <f t="shared" si="48"/>
        <v>9383166914.2381897</v>
      </c>
      <c r="T275" s="613">
        <f t="shared" si="50"/>
        <v>9383166914.2381897</v>
      </c>
      <c r="U275" s="614">
        <f t="shared" si="51"/>
        <v>13985065720.471844</v>
      </c>
    </row>
    <row r="276" spans="2:21" ht="15" customHeight="1">
      <c r="B276" s="690">
        <v>1265</v>
      </c>
      <c r="C276" s="71" t="s">
        <v>1394</v>
      </c>
      <c r="D276" s="19" t="s">
        <v>256</v>
      </c>
      <c r="E276" s="70">
        <v>164</v>
      </c>
      <c r="F276" s="69">
        <v>1.02E-6</v>
      </c>
      <c r="G276" s="69">
        <f t="shared" si="42"/>
        <v>1.6727999999999998E-4</v>
      </c>
      <c r="H276" s="69">
        <f t="shared" si="43"/>
        <v>1.5830399999999998E-4</v>
      </c>
      <c r="I276" s="72">
        <v>-201.4</v>
      </c>
      <c r="J276" s="72">
        <f>AVERAGE(744.87,744.08)</f>
        <v>744.47500000000002</v>
      </c>
      <c r="K276" s="69">
        <f t="shared" si="49"/>
        <v>1228.0487804878048</v>
      </c>
      <c r="L276" s="69">
        <f t="shared" si="44"/>
        <v>145602019.76037788</v>
      </c>
      <c r="M276" s="71" t="s">
        <v>104</v>
      </c>
      <c r="N276" s="474">
        <f>'EmCF Library'!Z59/'Singular Minerals'!O276</f>
        <v>3.7977844805222466E-4</v>
      </c>
      <c r="O276" s="454">
        <f>0.053/N275</f>
        <v>7.8993424070958856E-2</v>
      </c>
      <c r="P276" s="348">
        <f t="shared" si="45"/>
        <v>7.4754752535443988E-2</v>
      </c>
      <c r="Q276" s="612">
        <f t="shared" si="46"/>
        <v>93.068333736500165</v>
      </c>
      <c r="R276" s="348">
        <f t="shared" si="47"/>
        <v>135134327129394.34</v>
      </c>
      <c r="S276" s="613">
        <f t="shared" si="48"/>
        <v>5141556986.2564545</v>
      </c>
      <c r="T276" s="613">
        <f t="shared" si="50"/>
        <v>5141556986.2564545</v>
      </c>
      <c r="U276" s="614">
        <f t="shared" si="51"/>
        <v>13538306380011.908</v>
      </c>
    </row>
    <row r="277" spans="2:21" ht="15" customHeight="1">
      <c r="B277" s="690">
        <v>1266</v>
      </c>
      <c r="C277" s="71" t="s">
        <v>235</v>
      </c>
      <c r="D277" s="19" t="s">
        <v>234</v>
      </c>
      <c r="E277" s="73">
        <v>142.27000000000001</v>
      </c>
      <c r="F277" s="69">
        <v>1.0700000000000001E-7</v>
      </c>
      <c r="G277" s="69">
        <f t="shared" si="42"/>
        <v>1.5222890000000002E-5</v>
      </c>
      <c r="H277" s="69">
        <f t="shared" si="43"/>
        <v>1.6606400000000001E-5</v>
      </c>
      <c r="I277" s="72">
        <v>-2172.5</v>
      </c>
      <c r="J277" s="72"/>
      <c r="K277" s="69">
        <f t="shared" si="49"/>
        <v>15270.260771771982</v>
      </c>
      <c r="L277" s="69">
        <f t="shared" si="44"/>
        <v>1810498773.3097191</v>
      </c>
      <c r="M277" s="71"/>
      <c r="N277" s="453"/>
      <c r="O277" s="454"/>
      <c r="P277" s="348" t="str">
        <f t="shared" si="45"/>
        <v/>
      </c>
      <c r="Q277" s="612" t="str">
        <f t="shared" si="46"/>
        <v/>
      </c>
      <c r="R277" s="348" t="str">
        <f t="shared" si="47"/>
        <v/>
      </c>
      <c r="S277" s="613" t="str">
        <f t="shared" si="48"/>
        <v/>
      </c>
      <c r="T277" s="613">
        <f t="shared" si="50"/>
        <v>1810498773.3097191</v>
      </c>
      <c r="U277" s="614" t="str">
        <f t="shared" si="51"/>
        <v/>
      </c>
    </row>
    <row r="278" spans="2:21" ht="15" customHeight="1">
      <c r="B278" s="690">
        <v>1267</v>
      </c>
      <c r="C278" s="71" t="s">
        <v>576</v>
      </c>
      <c r="D278" s="19" t="s">
        <v>137</v>
      </c>
      <c r="E278" s="73">
        <v>186.09</v>
      </c>
      <c r="F278" s="69">
        <v>2.0600000000000002E-6</v>
      </c>
      <c r="G278" s="69">
        <f t="shared" si="42"/>
        <v>3.8334540000000002E-4</v>
      </c>
      <c r="H278" s="69">
        <f t="shared" si="43"/>
        <v>3.1971199999999999E-4</v>
      </c>
      <c r="I278" s="72">
        <v>-2882.9</v>
      </c>
      <c r="J278" s="72">
        <f>AVERAGE(46.35,25.75,49.66,28.72)</f>
        <v>37.619999999999997</v>
      </c>
      <c r="K278" s="69">
        <f t="shared" si="49"/>
        <v>15491.966252888387</v>
      </c>
      <c r="L278" s="69">
        <f t="shared" si="44"/>
        <v>1836784997.7296257</v>
      </c>
      <c r="M278" s="71" t="s">
        <v>111</v>
      </c>
      <c r="N278" s="453">
        <f>'Crust Element Composition'!E39/'Singular Minerals'!E278</f>
        <v>3.7299156322209683E-2</v>
      </c>
      <c r="O278" s="465">
        <f>'EmCF Library'!Z65/N278</f>
        <v>4.0215386831868608E-2</v>
      </c>
      <c r="P278" s="348">
        <f t="shared" si="45"/>
        <v>3.3539835758536231E-2</v>
      </c>
      <c r="Q278" s="612">
        <f t="shared" si="46"/>
        <v>61.98138099963208</v>
      </c>
      <c r="R278" s="348">
        <f t="shared" si="47"/>
        <v>206239206893313.22</v>
      </c>
      <c r="S278" s="613">
        <f t="shared" si="48"/>
        <v>3424159321.4588628</v>
      </c>
      <c r="T278" s="613">
        <f t="shared" si="50"/>
        <v>3424159321.4588628</v>
      </c>
      <c r="U278" s="614">
        <f t="shared" si="51"/>
        <v>91802594457.611267</v>
      </c>
    </row>
    <row r="279" spans="2:21" ht="15" customHeight="1">
      <c r="B279" s="690">
        <v>1268</v>
      </c>
      <c r="C279" s="71" t="s">
        <v>574</v>
      </c>
      <c r="D279" s="19" t="s">
        <v>575</v>
      </c>
      <c r="E279" s="70">
        <v>796.01</v>
      </c>
      <c r="F279" s="69">
        <v>7.6799999999999999E-7</v>
      </c>
      <c r="G279" s="69">
        <f t="shared" si="42"/>
        <v>6.1133567999999995E-4</v>
      </c>
      <c r="H279" s="69">
        <f t="shared" si="43"/>
        <v>1.191936E-4</v>
      </c>
      <c r="I279" s="72">
        <v>-11215.6</v>
      </c>
      <c r="J279" s="72"/>
      <c r="K279" s="69">
        <f t="shared" si="49"/>
        <v>14089.772741548473</v>
      </c>
      <c r="L279" s="69">
        <f t="shared" si="44"/>
        <v>1670535732.5620885</v>
      </c>
      <c r="M279" s="71"/>
      <c r="N279" s="453"/>
      <c r="O279" s="454"/>
      <c r="P279" s="348" t="str">
        <f t="shared" si="45"/>
        <v/>
      </c>
      <c r="Q279" s="612" t="str">
        <f t="shared" si="46"/>
        <v/>
      </c>
      <c r="R279" s="348" t="str">
        <f t="shared" si="47"/>
        <v/>
      </c>
      <c r="S279" s="613" t="str">
        <f t="shared" si="48"/>
        <v/>
      </c>
      <c r="T279" s="613">
        <f t="shared" si="50"/>
        <v>1670535732.5620885</v>
      </c>
      <c r="U279" s="614" t="str">
        <f t="shared" si="51"/>
        <v/>
      </c>
    </row>
    <row r="280" spans="2:21" ht="15" customHeight="1">
      <c r="B280" s="690">
        <v>1269</v>
      </c>
      <c r="C280" s="71" t="s">
        <v>572</v>
      </c>
      <c r="D280" s="19" t="s">
        <v>573</v>
      </c>
      <c r="E280" s="73">
        <v>789.36320000000001</v>
      </c>
      <c r="F280" s="69">
        <v>7.7200000000000002E-12</v>
      </c>
      <c r="G280" s="69">
        <f t="shared" si="42"/>
        <v>6.0938839039999998E-9</v>
      </c>
      <c r="H280" s="69">
        <f t="shared" si="43"/>
        <v>1.198144E-9</v>
      </c>
      <c r="I280" s="72">
        <v>-184.5</v>
      </c>
      <c r="J280" s="72"/>
      <c r="K280" s="69">
        <f t="shared" si="49"/>
        <v>233.73271011367137</v>
      </c>
      <c r="L280" s="69">
        <f t="shared" si="44"/>
        <v>27712217.313630894</v>
      </c>
      <c r="M280" s="71"/>
      <c r="N280" s="453"/>
      <c r="O280" s="454"/>
      <c r="P280" s="348" t="str">
        <f t="shared" si="45"/>
        <v/>
      </c>
      <c r="Q280" s="612" t="str">
        <f t="shared" si="46"/>
        <v/>
      </c>
      <c r="R280" s="348" t="str">
        <f t="shared" si="47"/>
        <v/>
      </c>
      <c r="S280" s="613" t="str">
        <f t="shared" si="48"/>
        <v/>
      </c>
      <c r="T280" s="613">
        <f t="shared" si="50"/>
        <v>27712217.313630894</v>
      </c>
      <c r="U280" s="614" t="str">
        <f t="shared" si="51"/>
        <v/>
      </c>
    </row>
    <row r="281" spans="2:21" ht="15" customHeight="1">
      <c r="B281" s="690">
        <v>1270</v>
      </c>
      <c r="C281" s="71" t="s">
        <v>571</v>
      </c>
      <c r="D281" s="19" t="s">
        <v>138</v>
      </c>
      <c r="E281" s="73">
        <v>339.7</v>
      </c>
      <c r="F281" s="69">
        <v>8.0999999999999999E-10</v>
      </c>
      <c r="G281" s="69">
        <f t="shared" si="42"/>
        <v>2.7515700000000001E-7</v>
      </c>
      <c r="H281" s="69">
        <f t="shared" si="43"/>
        <v>1.2571199999999998E-7</v>
      </c>
      <c r="I281" s="72">
        <v>-173.7</v>
      </c>
      <c r="J281" s="72">
        <v>2523.44</v>
      </c>
      <c r="K281" s="69">
        <f t="shared" si="49"/>
        <v>511.33352958492787</v>
      </c>
      <c r="L281" s="69">
        <f t="shared" si="44"/>
        <v>60625600.43355523</v>
      </c>
      <c r="M281" s="71" t="s">
        <v>327</v>
      </c>
      <c r="N281" s="453">
        <v>0.71699999999999997</v>
      </c>
      <c r="O281" s="454">
        <f>'EmCF Library'!Z93/N281</f>
        <v>0.48814504881450488</v>
      </c>
      <c r="P281" s="348">
        <f t="shared" si="45"/>
        <v>0.22302064049458686</v>
      </c>
      <c r="Q281" s="612">
        <f t="shared" si="46"/>
        <v>104.99613167342775</v>
      </c>
      <c r="R281" s="348">
        <f t="shared" si="47"/>
        <v>250768850832.87134</v>
      </c>
      <c r="S281" s="613">
        <f t="shared" si="48"/>
        <v>5800507784.5687876</v>
      </c>
      <c r="T281" s="613">
        <f t="shared" si="50"/>
        <v>5800507784.5687876</v>
      </c>
      <c r="U281" s="614">
        <f t="shared" si="51"/>
        <v>8089969016.1349897</v>
      </c>
    </row>
    <row r="282" spans="2:21">
      <c r="B282" s="690">
        <v>1271</v>
      </c>
      <c r="C282" s="71" t="s">
        <v>569</v>
      </c>
      <c r="D282" s="19" t="s">
        <v>570</v>
      </c>
      <c r="E282" s="73">
        <v>1247.57</v>
      </c>
      <c r="F282" s="69">
        <v>2.7700000000000001E-7</v>
      </c>
      <c r="G282" s="69">
        <f t="shared" si="42"/>
        <v>3.4557688999999997E-4</v>
      </c>
      <c r="H282" s="69">
        <f t="shared" si="43"/>
        <v>4.2990400000000001E-5</v>
      </c>
      <c r="I282" s="72">
        <v>-15197</v>
      </c>
      <c r="J282" s="72"/>
      <c r="K282" s="69">
        <f t="shared" si="49"/>
        <v>12181.280409115321</v>
      </c>
      <c r="L282" s="69">
        <f t="shared" si="44"/>
        <v>1444257800.6797066</v>
      </c>
      <c r="M282" s="71"/>
      <c r="N282" s="453"/>
      <c r="O282" s="454"/>
      <c r="P282" s="348" t="str">
        <f t="shared" si="45"/>
        <v/>
      </c>
      <c r="Q282" s="612" t="str">
        <f t="shared" si="46"/>
        <v/>
      </c>
      <c r="R282" s="348" t="str">
        <f t="shared" si="47"/>
        <v/>
      </c>
      <c r="S282" s="613" t="str">
        <f t="shared" si="48"/>
        <v/>
      </c>
      <c r="T282" s="613">
        <f t="shared" si="50"/>
        <v>1444257800.6797066</v>
      </c>
      <c r="U282" s="614" t="str">
        <f t="shared" si="51"/>
        <v/>
      </c>
    </row>
    <row r="283" spans="2:21" ht="15" customHeight="1">
      <c r="B283" s="690">
        <v>1272</v>
      </c>
      <c r="C283" s="71" t="s">
        <v>567</v>
      </c>
      <c r="D283" s="19" t="s">
        <v>816</v>
      </c>
      <c r="E283" s="73">
        <v>147.63</v>
      </c>
      <c r="F283" s="69">
        <v>5.3400000000000002E-9</v>
      </c>
      <c r="G283" s="69">
        <f t="shared" si="42"/>
        <v>7.8834419999999997E-7</v>
      </c>
      <c r="H283" s="69">
        <f t="shared" si="43"/>
        <v>8.2876799999999997E-7</v>
      </c>
      <c r="I283" s="72">
        <v>-1140.0999999999999</v>
      </c>
      <c r="J283" s="72"/>
      <c r="K283" s="69">
        <f t="shared" si="49"/>
        <v>7722.6850911061438</v>
      </c>
      <c r="L283" s="69">
        <f t="shared" si="44"/>
        <v>915630197.35402</v>
      </c>
      <c r="M283" s="71"/>
      <c r="N283" s="453"/>
      <c r="O283" s="454"/>
      <c r="P283" s="348" t="str">
        <f t="shared" si="45"/>
        <v/>
      </c>
      <c r="Q283" s="612" t="str">
        <f t="shared" si="46"/>
        <v/>
      </c>
      <c r="R283" s="348" t="str">
        <f t="shared" si="47"/>
        <v/>
      </c>
      <c r="S283" s="613" t="str">
        <f t="shared" si="48"/>
        <v/>
      </c>
      <c r="T283" s="613">
        <f t="shared" si="50"/>
        <v>915630197.35402</v>
      </c>
      <c r="U283" s="614" t="str">
        <f t="shared" si="51"/>
        <v/>
      </c>
    </row>
    <row r="284" spans="2:21" ht="15" customHeight="1">
      <c r="B284" s="690">
        <v>1273</v>
      </c>
      <c r="C284" s="71" t="s">
        <v>566</v>
      </c>
      <c r="D284" s="19" t="s">
        <v>507</v>
      </c>
      <c r="E284" s="73">
        <v>256.52999999999997</v>
      </c>
      <c r="F284" s="69">
        <v>1.8400000000000001E-9</v>
      </c>
      <c r="G284" s="69">
        <f t="shared" si="42"/>
        <v>4.7201519999999997E-7</v>
      </c>
      <c r="H284" s="69">
        <f t="shared" si="43"/>
        <v>2.8556799999999998E-7</v>
      </c>
      <c r="I284" s="71">
        <v>0</v>
      </c>
      <c r="J284" s="71">
        <v>4856.3999999999996</v>
      </c>
      <c r="K284" s="69">
        <f t="shared" si="49"/>
        <v>0</v>
      </c>
      <c r="L284" s="69">
        <f t="shared" si="44"/>
        <v>0</v>
      </c>
      <c r="M284" s="71"/>
      <c r="N284" s="453"/>
      <c r="O284" s="454">
        <f>'EmCF Library'!Z197</f>
        <v>5.0000000000000001E-3</v>
      </c>
      <c r="P284" s="348">
        <f t="shared" si="45"/>
        <v>3.024987330916462E-3</v>
      </c>
      <c r="Q284" s="612">
        <f t="shared" si="46"/>
        <v>89.554983635748997</v>
      </c>
      <c r="R284" s="348">
        <f t="shared" si="47"/>
        <v>366915001282.63916</v>
      </c>
      <c r="S284" s="613">
        <f t="shared" si="48"/>
        <v>4947462077.3820143</v>
      </c>
      <c r="T284" s="613">
        <f t="shared" si="50"/>
        <v>4947462077.3820143</v>
      </c>
      <c r="U284" s="614" t="str">
        <f t="shared" si="51"/>
        <v/>
      </c>
    </row>
    <row r="285" spans="2:21" ht="15" customHeight="1">
      <c r="B285" s="690">
        <v>1274</v>
      </c>
      <c r="C285" s="71" t="s">
        <v>264</v>
      </c>
      <c r="D285" s="19" t="s">
        <v>1062</v>
      </c>
      <c r="E285" s="70">
        <v>429.89</v>
      </c>
      <c r="F285" s="69">
        <v>7.6199999999999998E-13</v>
      </c>
      <c r="G285" s="69">
        <f t="shared" si="42"/>
        <v>3.2757617999999996E-10</v>
      </c>
      <c r="H285" s="69">
        <f t="shared" si="43"/>
        <v>1.1826239999999998E-10</v>
      </c>
      <c r="I285" s="71" t="s">
        <v>1007</v>
      </c>
      <c r="J285" s="71"/>
      <c r="K285" s="69" t="e">
        <f t="shared" si="49"/>
        <v>#VALUE!</v>
      </c>
      <c r="L285" s="69">
        <f t="shared" si="44"/>
        <v>0</v>
      </c>
      <c r="M285" s="71"/>
      <c r="N285" s="453"/>
      <c r="O285" s="454"/>
      <c r="P285" s="348" t="str">
        <f t="shared" si="45"/>
        <v/>
      </c>
      <c r="Q285" s="612" t="str">
        <f t="shared" si="46"/>
        <v/>
      </c>
      <c r="R285" s="348" t="str">
        <f t="shared" si="47"/>
        <v/>
      </c>
      <c r="S285" s="613" t="str">
        <f t="shared" si="48"/>
        <v/>
      </c>
      <c r="T285" s="613">
        <f t="shared" si="50"/>
        <v>0</v>
      </c>
      <c r="U285" s="614" t="str">
        <f t="shared" si="51"/>
        <v/>
      </c>
    </row>
    <row r="286" spans="2:21" ht="15" customHeight="1">
      <c r="B286" s="690">
        <v>1275</v>
      </c>
      <c r="C286" s="71" t="s">
        <v>565</v>
      </c>
      <c r="D286" s="19" t="s">
        <v>126</v>
      </c>
      <c r="E286" s="70">
        <v>74.55</v>
      </c>
      <c r="F286" s="69">
        <v>2.7400000000000001E-8</v>
      </c>
      <c r="G286" s="69">
        <f t="shared" si="42"/>
        <v>2.04267E-6</v>
      </c>
      <c r="H286" s="69">
        <f t="shared" si="43"/>
        <v>4.2524799999999998E-6</v>
      </c>
      <c r="I286" s="72">
        <v>-410.2</v>
      </c>
      <c r="J286" s="72">
        <f>AVERAGE(19.24,19.62)</f>
        <v>19.43</v>
      </c>
      <c r="K286" s="69">
        <f t="shared" si="49"/>
        <v>5502.3474178403758</v>
      </c>
      <c r="L286" s="69">
        <f t="shared" si="44"/>
        <v>652378724.84399605</v>
      </c>
      <c r="M286" s="71"/>
      <c r="N286" s="453"/>
      <c r="O286" s="454">
        <f>'EmCF Library'!Z94</f>
        <v>0.14000000000000001</v>
      </c>
      <c r="P286" s="348">
        <f t="shared" si="45"/>
        <v>0.29145539906103285</v>
      </c>
      <c r="Q286" s="612">
        <f t="shared" si="46"/>
        <v>370.24812246363592</v>
      </c>
      <c r="R286" s="348">
        <f t="shared" si="47"/>
        <v>6564638276475.0625</v>
      </c>
      <c r="S286" s="613">
        <f t="shared" si="48"/>
        <v>20454345149.134819</v>
      </c>
      <c r="T286" s="613">
        <f t="shared" si="50"/>
        <v>20454345149.134819</v>
      </c>
      <c r="U286" s="614" t="str">
        <f t="shared" si="51"/>
        <v/>
      </c>
    </row>
    <row r="287" spans="2:21" ht="15" customHeight="1">
      <c r="B287" s="690">
        <v>1276</v>
      </c>
      <c r="C287" s="71" t="s">
        <v>237</v>
      </c>
      <c r="D287" s="19" t="s">
        <v>236</v>
      </c>
      <c r="E287" s="73">
        <v>379.27</v>
      </c>
      <c r="F287" s="69">
        <v>7.6700000000000003E-7</v>
      </c>
      <c r="G287" s="69">
        <f t="shared" si="42"/>
        <v>2.9090008999999999E-4</v>
      </c>
      <c r="H287" s="69">
        <f t="shared" si="43"/>
        <v>1.190384E-4</v>
      </c>
      <c r="I287" s="72">
        <v>-5543</v>
      </c>
      <c r="J287" s="72">
        <f>AVERAGE(36.26,45.81)</f>
        <v>41.034999999999997</v>
      </c>
      <c r="K287" s="69">
        <f t="shared" si="49"/>
        <v>14614.918132201336</v>
      </c>
      <c r="L287" s="69">
        <f t="shared" si="44"/>
        <v>1732798918.4890652</v>
      </c>
      <c r="M287" s="71"/>
      <c r="N287" s="453"/>
      <c r="O287" s="454">
        <f>'EmCF Library'!Z95</f>
        <v>0.4</v>
      </c>
      <c r="P287" s="348">
        <f t="shared" si="45"/>
        <v>0.16368286445012789</v>
      </c>
      <c r="Q287" s="612">
        <f t="shared" si="46"/>
        <v>47.228996789169699</v>
      </c>
      <c r="R287" s="348">
        <f t="shared" si="47"/>
        <v>119253820535907.25</v>
      </c>
      <c r="S287" s="613">
        <f t="shared" si="48"/>
        <v>2609164348.8831925</v>
      </c>
      <c r="T287" s="613">
        <f t="shared" si="50"/>
        <v>2609164348.8831925</v>
      </c>
      <c r="U287" s="614" t="str">
        <f t="shared" si="51"/>
        <v/>
      </c>
    </row>
    <row r="288" spans="2:21" ht="15" customHeight="1">
      <c r="B288" s="690">
        <v>1277</v>
      </c>
      <c r="C288" s="71" t="s">
        <v>563</v>
      </c>
      <c r="D288" s="19" t="s">
        <v>564</v>
      </c>
      <c r="E288" s="73">
        <v>159.6</v>
      </c>
      <c r="F288" s="69">
        <v>1.14E-12</v>
      </c>
      <c r="G288" s="69">
        <f t="shared" si="42"/>
        <v>1.81944E-10</v>
      </c>
      <c r="H288" s="69">
        <f t="shared" si="43"/>
        <v>1.7692799999999999E-10</v>
      </c>
      <c r="I288" s="72">
        <v>-270.3</v>
      </c>
      <c r="J288" s="72"/>
      <c r="K288" s="69">
        <f t="shared" si="49"/>
        <v>1693.609022556391</v>
      </c>
      <c r="L288" s="69">
        <f t="shared" si="44"/>
        <v>200800569.39648473</v>
      </c>
      <c r="M288" s="71"/>
      <c r="N288" s="453"/>
      <c r="O288" s="454"/>
      <c r="P288" s="348" t="str">
        <f t="shared" si="45"/>
        <v/>
      </c>
      <c r="Q288" s="612" t="str">
        <f t="shared" si="46"/>
        <v/>
      </c>
      <c r="R288" s="348" t="str">
        <f t="shared" si="47"/>
        <v/>
      </c>
      <c r="S288" s="613" t="str">
        <f t="shared" si="48"/>
        <v/>
      </c>
      <c r="T288" s="613">
        <f t="shared" si="50"/>
        <v>200800569.39648473</v>
      </c>
      <c r="U288" s="614" t="str">
        <f t="shared" si="51"/>
        <v/>
      </c>
    </row>
    <row r="289" spans="2:21" ht="15" customHeight="1">
      <c r="B289" s="690">
        <v>1278</v>
      </c>
      <c r="C289" s="71" t="s">
        <v>561</v>
      </c>
      <c r="D289" s="19" t="s">
        <v>562</v>
      </c>
      <c r="E289" s="73">
        <v>1463.6913</v>
      </c>
      <c r="F289" s="69">
        <v>1.24E-12</v>
      </c>
      <c r="G289" s="69">
        <f t="shared" si="42"/>
        <v>1.8149772119999999E-9</v>
      </c>
      <c r="H289" s="69">
        <f t="shared" si="43"/>
        <v>1.9244799999999997E-10</v>
      </c>
      <c r="I289" s="72">
        <v>-1999.6</v>
      </c>
      <c r="J289" s="72"/>
      <c r="K289" s="69">
        <f t="shared" si="49"/>
        <v>1366.1350586698165</v>
      </c>
      <c r="L289" s="69">
        <f t="shared" si="44"/>
        <v>161974041.2337496</v>
      </c>
      <c r="M289" s="71"/>
      <c r="N289" s="453"/>
      <c r="O289" s="454"/>
      <c r="P289" s="348" t="str">
        <f t="shared" si="45"/>
        <v/>
      </c>
      <c r="Q289" s="612" t="str">
        <f t="shared" si="46"/>
        <v/>
      </c>
      <c r="R289" s="348" t="str">
        <f t="shared" si="47"/>
        <v/>
      </c>
      <c r="S289" s="613" t="str">
        <f t="shared" si="48"/>
        <v/>
      </c>
      <c r="T289" s="613">
        <f t="shared" si="50"/>
        <v>161974041.2337496</v>
      </c>
      <c r="U289" s="614" t="str">
        <f t="shared" si="51"/>
        <v/>
      </c>
    </row>
    <row r="290" spans="2:21" ht="15" customHeight="1">
      <c r="B290" s="690">
        <v>1279</v>
      </c>
      <c r="C290" s="71" t="s">
        <v>559</v>
      </c>
      <c r="D290" s="19" t="s">
        <v>560</v>
      </c>
      <c r="E290" s="73">
        <v>201.96</v>
      </c>
      <c r="F290" s="69">
        <v>6.3E-7</v>
      </c>
      <c r="G290" s="69">
        <f t="shared" si="42"/>
        <v>1.272348E-4</v>
      </c>
      <c r="H290" s="69">
        <f t="shared" si="43"/>
        <v>9.7775999999999994E-5</v>
      </c>
      <c r="I290" s="72">
        <v>-1632.1</v>
      </c>
      <c r="J290" s="72"/>
      <c r="K290" s="69">
        <f t="shared" si="49"/>
        <v>8081.3032283620514</v>
      </c>
      <c r="L290" s="69">
        <f t="shared" si="44"/>
        <v>958149294.26352835</v>
      </c>
      <c r="M290" s="71"/>
      <c r="N290" s="453"/>
      <c r="O290" s="454"/>
      <c r="P290" s="348" t="str">
        <f t="shared" si="45"/>
        <v/>
      </c>
      <c r="Q290" s="612" t="str">
        <f t="shared" si="46"/>
        <v/>
      </c>
      <c r="R290" s="348" t="str">
        <f t="shared" si="47"/>
        <v/>
      </c>
      <c r="S290" s="613" t="str">
        <f t="shared" si="48"/>
        <v/>
      </c>
      <c r="T290" s="613">
        <f t="shared" si="50"/>
        <v>958149294.26352835</v>
      </c>
      <c r="U290" s="614" t="str">
        <f t="shared" si="51"/>
        <v/>
      </c>
    </row>
    <row r="291" spans="2:21" ht="15" customHeight="1">
      <c r="B291" s="690">
        <v>1280</v>
      </c>
      <c r="C291" s="71" t="s">
        <v>557</v>
      </c>
      <c r="D291" s="19" t="s">
        <v>558</v>
      </c>
      <c r="E291" s="70">
        <v>705.23</v>
      </c>
      <c r="F291" s="69">
        <v>2.2699999999999999E-13</v>
      </c>
      <c r="G291" s="69">
        <f t="shared" si="42"/>
        <v>1.6008720999999999E-10</v>
      </c>
      <c r="H291" s="69">
        <f t="shared" si="43"/>
        <v>3.5230399999999996E-11</v>
      </c>
      <c r="I291" s="72">
        <v>-100.6</v>
      </c>
      <c r="J291" s="72">
        <v>1714.45</v>
      </c>
      <c r="K291" s="69">
        <f t="shared" si="49"/>
        <v>142.64849765324789</v>
      </c>
      <c r="L291" s="69">
        <f t="shared" si="44"/>
        <v>16912935.140773647</v>
      </c>
      <c r="M291" s="71" t="s">
        <v>142</v>
      </c>
      <c r="N291" s="453">
        <f>'Crust Element Composition'!E70/E291</f>
        <v>0.1809338797271812</v>
      </c>
      <c r="O291" s="454">
        <f>'EmCF Library'!Z97/N291</f>
        <v>1.1053761755485893E-6</v>
      </c>
      <c r="P291" s="348">
        <f t="shared" si="45"/>
        <v>2.4326018808777423E-7</v>
      </c>
      <c r="Q291" s="612">
        <f t="shared" si="46"/>
        <v>31.071714419559196</v>
      </c>
      <c r="R291" s="348">
        <f t="shared" si="47"/>
        <v>43175917.739265926</v>
      </c>
      <c r="S291" s="613">
        <f t="shared" si="48"/>
        <v>1716555824.467237</v>
      </c>
      <c r="T291" s="613">
        <f t="shared" si="50"/>
        <v>1716555824.467237</v>
      </c>
      <c r="U291" s="614">
        <f t="shared" si="51"/>
        <v>9487199561.8262501</v>
      </c>
    </row>
    <row r="292" spans="2:21" ht="15" customHeight="1">
      <c r="B292" s="690">
        <v>1281</v>
      </c>
      <c r="C292" s="71" t="s">
        <v>555</v>
      </c>
      <c r="D292" s="19" t="s">
        <v>556</v>
      </c>
      <c r="E292" s="73">
        <v>1643.31</v>
      </c>
      <c r="F292" s="69">
        <v>3.4699999999999999E-13</v>
      </c>
      <c r="G292" s="69">
        <f t="shared" si="42"/>
        <v>5.7022856999999994E-10</v>
      </c>
      <c r="H292" s="69">
        <f t="shared" si="43"/>
        <v>5.3854399999999994E-11</v>
      </c>
      <c r="I292" s="72">
        <v>-1939.7</v>
      </c>
      <c r="J292" s="72"/>
      <c r="K292" s="69">
        <f t="shared" si="49"/>
        <v>1180.3615872842008</v>
      </c>
      <c r="L292" s="69">
        <f t="shared" si="44"/>
        <v>139948049.20361376</v>
      </c>
      <c r="M292" s="71"/>
      <c r="N292" s="453"/>
      <c r="O292" s="454"/>
      <c r="P292" s="348" t="str">
        <f t="shared" si="45"/>
        <v/>
      </c>
      <c r="Q292" s="612" t="str">
        <f t="shared" si="46"/>
        <v/>
      </c>
      <c r="R292" s="348" t="str">
        <f t="shared" si="47"/>
        <v/>
      </c>
      <c r="S292" s="613" t="str">
        <f t="shared" si="48"/>
        <v/>
      </c>
      <c r="T292" s="613">
        <f t="shared" si="50"/>
        <v>139948049.20361376</v>
      </c>
      <c r="U292" s="614" t="str">
        <f t="shared" si="51"/>
        <v/>
      </c>
    </row>
    <row r="293" spans="2:21" ht="15" customHeight="1">
      <c r="B293" s="690">
        <v>1282</v>
      </c>
      <c r="C293" s="71" t="s">
        <v>553</v>
      </c>
      <c r="D293" s="19" t="s">
        <v>554</v>
      </c>
      <c r="E293" s="73">
        <v>806.56</v>
      </c>
      <c r="F293" s="69">
        <v>6.1900000000000002E-7</v>
      </c>
      <c r="G293" s="69">
        <f t="shared" si="42"/>
        <v>4.9926064E-4</v>
      </c>
      <c r="H293" s="69">
        <f t="shared" si="43"/>
        <v>9.6068799999999991E-5</v>
      </c>
      <c r="I293" s="72">
        <v>-11543.9</v>
      </c>
      <c r="J293" s="72"/>
      <c r="K293" s="69">
        <f t="shared" si="49"/>
        <v>14312.512398333665</v>
      </c>
      <c r="L293" s="69">
        <f t="shared" si="44"/>
        <v>1696944572.6863177</v>
      </c>
      <c r="M293" s="71"/>
      <c r="N293" s="453"/>
      <c r="O293" s="454"/>
      <c r="P293" s="348" t="str">
        <f t="shared" si="45"/>
        <v/>
      </c>
      <c r="Q293" s="612" t="str">
        <f t="shared" si="46"/>
        <v/>
      </c>
      <c r="R293" s="348" t="str">
        <f t="shared" si="47"/>
        <v/>
      </c>
      <c r="S293" s="613" t="str">
        <f t="shared" si="48"/>
        <v/>
      </c>
      <c r="T293" s="613">
        <f t="shared" si="50"/>
        <v>1696944572.6863177</v>
      </c>
      <c r="U293" s="614" t="str">
        <f t="shared" si="51"/>
        <v/>
      </c>
    </row>
    <row r="294" spans="2:21" ht="15" customHeight="1">
      <c r="B294" s="690">
        <v>1283</v>
      </c>
      <c r="C294" s="71" t="s">
        <v>551</v>
      </c>
      <c r="D294" s="19" t="s">
        <v>552</v>
      </c>
      <c r="E294" s="73">
        <v>264.04000000000002</v>
      </c>
      <c r="F294" s="69">
        <v>1.56E-11</v>
      </c>
      <c r="G294" s="69">
        <f t="shared" si="42"/>
        <v>4.1190240000000006E-9</v>
      </c>
      <c r="H294" s="69">
        <f t="shared" si="43"/>
        <v>2.4211199999999996E-9</v>
      </c>
      <c r="I294" s="72">
        <v>-1169.5999999999999</v>
      </c>
      <c r="J294" s="72"/>
      <c r="K294" s="69">
        <f t="shared" si="49"/>
        <v>4429.6318739584904</v>
      </c>
      <c r="L294" s="69">
        <f t="shared" si="44"/>
        <v>525193589.93794352</v>
      </c>
      <c r="M294" s="71"/>
      <c r="N294" s="453"/>
      <c r="O294" s="454"/>
      <c r="P294" s="348" t="str">
        <f t="shared" si="45"/>
        <v/>
      </c>
      <c r="Q294" s="612" t="str">
        <f t="shared" si="46"/>
        <v/>
      </c>
      <c r="R294" s="348" t="str">
        <f t="shared" si="47"/>
        <v/>
      </c>
      <c r="S294" s="613" t="str">
        <f t="shared" si="48"/>
        <v/>
      </c>
      <c r="T294" s="613">
        <f t="shared" si="50"/>
        <v>525193589.93794352</v>
      </c>
      <c r="U294" s="614" t="str">
        <f t="shared" si="51"/>
        <v/>
      </c>
    </row>
    <row r="295" spans="2:21" ht="15" customHeight="1">
      <c r="B295" s="690">
        <v>1284</v>
      </c>
      <c r="C295" s="71" t="s">
        <v>550</v>
      </c>
      <c r="D295" s="19" t="s">
        <v>529</v>
      </c>
      <c r="E295" s="73">
        <v>324.12</v>
      </c>
      <c r="F295" s="69">
        <v>2.1299999999999999E-8</v>
      </c>
      <c r="G295" s="69">
        <f t="shared" si="42"/>
        <v>6.9037559999999995E-6</v>
      </c>
      <c r="H295" s="69">
        <f t="shared" si="43"/>
        <v>3.3057599999999995E-6</v>
      </c>
      <c r="I295" s="72">
        <v>-2048.8000000000002</v>
      </c>
      <c r="J295" s="72"/>
      <c r="K295" s="69">
        <f t="shared" si="49"/>
        <v>6321.1156361841304</v>
      </c>
      <c r="L295" s="69">
        <f t="shared" si="44"/>
        <v>749454922.63078308</v>
      </c>
      <c r="M295" s="71"/>
      <c r="N295" s="453"/>
      <c r="O295" s="454"/>
      <c r="P295" s="348" t="str">
        <f t="shared" si="45"/>
        <v/>
      </c>
      <c r="Q295" s="612" t="str">
        <f t="shared" si="46"/>
        <v/>
      </c>
      <c r="R295" s="348" t="str">
        <f t="shared" si="47"/>
        <v/>
      </c>
      <c r="S295" s="613" t="str">
        <f t="shared" si="48"/>
        <v/>
      </c>
      <c r="T295" s="613">
        <f t="shared" si="50"/>
        <v>749454922.63078308</v>
      </c>
      <c r="U295" s="614" t="str">
        <f t="shared" si="51"/>
        <v/>
      </c>
    </row>
    <row r="296" spans="2:21" ht="15" customHeight="1">
      <c r="B296" s="690">
        <v>1285</v>
      </c>
      <c r="C296" s="71" t="s">
        <v>548</v>
      </c>
      <c r="D296" s="19" t="s">
        <v>549</v>
      </c>
      <c r="E296" s="73">
        <v>280.05</v>
      </c>
      <c r="F296" s="69">
        <v>2.7100000000000001E-13</v>
      </c>
      <c r="G296" s="69">
        <f t="shared" si="42"/>
        <v>7.5893550000000003E-11</v>
      </c>
      <c r="H296" s="69">
        <f t="shared" si="43"/>
        <v>4.2059199999999998E-11</v>
      </c>
      <c r="I296" s="72">
        <v>-3540.6</v>
      </c>
      <c r="J296" s="72"/>
      <c r="K296" s="69">
        <f t="shared" si="49"/>
        <v>12642.742367434386</v>
      </c>
      <c r="L296" s="69">
        <f t="shared" si="44"/>
        <v>1498970442.5888872</v>
      </c>
      <c r="M296" s="71"/>
      <c r="N296" s="453"/>
      <c r="O296" s="454"/>
      <c r="P296" s="348" t="str">
        <f t="shared" si="45"/>
        <v/>
      </c>
      <c r="Q296" s="612" t="str">
        <f t="shared" si="46"/>
        <v/>
      </c>
      <c r="R296" s="348" t="str">
        <f t="shared" si="47"/>
        <v/>
      </c>
      <c r="S296" s="613" t="str">
        <f t="shared" si="48"/>
        <v/>
      </c>
      <c r="T296" s="613">
        <f t="shared" si="50"/>
        <v>1498970442.5888872</v>
      </c>
      <c r="U296" s="614" t="str">
        <f t="shared" si="51"/>
        <v/>
      </c>
    </row>
    <row r="297" spans="2:21" ht="15" customHeight="1">
      <c r="B297" s="690">
        <v>1286</v>
      </c>
      <c r="C297" s="71" t="s">
        <v>547</v>
      </c>
      <c r="D297" s="19" t="s">
        <v>1063</v>
      </c>
      <c r="E297" s="70">
        <v>562.85500000000002</v>
      </c>
      <c r="F297" s="69">
        <v>1.1400000000000001E-6</v>
      </c>
      <c r="G297" s="69">
        <f t="shared" si="42"/>
        <v>6.416547000000001E-4</v>
      </c>
      <c r="H297" s="69">
        <f t="shared" si="43"/>
        <v>1.76928E-4</v>
      </c>
      <c r="I297" s="72">
        <v>-6981.9</v>
      </c>
      <c r="J297" s="72"/>
      <c r="K297" s="69">
        <f t="shared" si="49"/>
        <v>12404.438087962264</v>
      </c>
      <c r="L297" s="69">
        <f t="shared" si="44"/>
        <v>1470716203.0505359</v>
      </c>
      <c r="M297" s="71"/>
      <c r="N297" s="453"/>
      <c r="O297" s="454"/>
      <c r="P297" s="348" t="str">
        <f t="shared" si="45"/>
        <v/>
      </c>
      <c r="Q297" s="612" t="str">
        <f t="shared" si="46"/>
        <v/>
      </c>
      <c r="R297" s="348" t="str">
        <f t="shared" si="47"/>
        <v/>
      </c>
      <c r="S297" s="613" t="str">
        <f t="shared" si="48"/>
        <v/>
      </c>
      <c r="T297" s="613">
        <f t="shared" si="50"/>
        <v>1470716203.0505359</v>
      </c>
      <c r="U297" s="614" t="str">
        <f t="shared" si="51"/>
        <v/>
      </c>
    </row>
    <row r="298" spans="2:21" ht="15" customHeight="1">
      <c r="B298" s="690">
        <v>1287</v>
      </c>
      <c r="C298" s="71" t="s">
        <v>338</v>
      </c>
      <c r="D298" s="19" t="s">
        <v>171</v>
      </c>
      <c r="E298" s="70">
        <v>118.71</v>
      </c>
      <c r="F298" s="69">
        <v>3.8700000000000001E-10</v>
      </c>
      <c r="G298" s="69">
        <f t="shared" si="42"/>
        <v>4.594077E-8</v>
      </c>
      <c r="H298" s="69">
        <f t="shared" si="43"/>
        <v>6.0062399999999994E-8</v>
      </c>
      <c r="I298" s="72">
        <f>-160.95848/E298</f>
        <v>-1.3558965546289279</v>
      </c>
      <c r="J298" s="72"/>
      <c r="K298" s="69">
        <f t="shared" si="49"/>
        <v>11.421923634309897</v>
      </c>
      <c r="L298" s="69">
        <f t="shared" si="44"/>
        <v>1354225.6440690563</v>
      </c>
      <c r="M298" s="71" t="s">
        <v>1781</v>
      </c>
      <c r="N298" s="453">
        <v>1</v>
      </c>
      <c r="O298" s="454"/>
      <c r="P298" s="348" t="str">
        <f t="shared" si="45"/>
        <v/>
      </c>
      <c r="Q298" s="612" t="str">
        <f t="shared" si="46"/>
        <v/>
      </c>
      <c r="R298" s="348" t="str">
        <f t="shared" si="47"/>
        <v/>
      </c>
      <c r="S298" s="613" t="str">
        <f t="shared" si="48"/>
        <v/>
      </c>
      <c r="T298" s="613">
        <f t="shared" si="50"/>
        <v>1354225.6440690563</v>
      </c>
      <c r="U298" s="614">
        <f t="shared" si="51"/>
        <v>1354225.6440690563</v>
      </c>
    </row>
    <row r="299" spans="2:21" ht="15" customHeight="1">
      <c r="B299" s="690">
        <v>1288</v>
      </c>
      <c r="C299" s="71" t="s">
        <v>546</v>
      </c>
      <c r="D299" s="19" t="s">
        <v>345</v>
      </c>
      <c r="E299" s="73">
        <v>197.76</v>
      </c>
      <c r="F299" s="69">
        <v>2.2799999999999999E-5</v>
      </c>
      <c r="G299" s="69">
        <f t="shared" si="42"/>
        <v>4.5089279999999997E-3</v>
      </c>
      <c r="H299" s="69">
        <f t="shared" si="43"/>
        <v>3.5385599999999996E-3</v>
      </c>
      <c r="I299" s="72">
        <v>-2455.1</v>
      </c>
      <c r="J299" s="72"/>
      <c r="K299" s="69">
        <f t="shared" si="49"/>
        <v>12414.542880258899</v>
      </c>
      <c r="L299" s="69">
        <f t="shared" si="44"/>
        <v>1471914264.7163477</v>
      </c>
      <c r="M299" s="71"/>
      <c r="N299" s="453"/>
      <c r="O299" s="454"/>
      <c r="P299" s="348" t="str">
        <f t="shared" si="45"/>
        <v/>
      </c>
      <c r="Q299" s="612" t="str">
        <f t="shared" si="46"/>
        <v/>
      </c>
      <c r="R299" s="348" t="str">
        <f t="shared" si="47"/>
        <v/>
      </c>
      <c r="S299" s="613" t="str">
        <f t="shared" si="48"/>
        <v/>
      </c>
      <c r="T299" s="613">
        <f t="shared" si="50"/>
        <v>1471914264.7163477</v>
      </c>
      <c r="U299" s="614" t="str">
        <f t="shared" si="51"/>
        <v/>
      </c>
    </row>
    <row r="300" spans="2:21" ht="15" customHeight="1">
      <c r="B300" s="690">
        <v>1289</v>
      </c>
      <c r="C300" s="71" t="s">
        <v>544</v>
      </c>
      <c r="D300" s="19" t="s">
        <v>545</v>
      </c>
      <c r="E300" s="70">
        <v>567.6</v>
      </c>
      <c r="F300" s="69">
        <v>1.3399999999999999E-8</v>
      </c>
      <c r="G300" s="69">
        <f t="shared" si="42"/>
        <v>7.6058399999999995E-6</v>
      </c>
      <c r="H300" s="69">
        <f t="shared" si="43"/>
        <v>2.0796799999999996E-6</v>
      </c>
      <c r="I300" s="72">
        <v>-3576.5</v>
      </c>
      <c r="J300" s="72"/>
      <c r="K300" s="69">
        <f t="shared" si="49"/>
        <v>6301.092318534179</v>
      </c>
      <c r="L300" s="69">
        <f t="shared" si="44"/>
        <v>747080883.79905319</v>
      </c>
      <c r="M300" s="71"/>
      <c r="N300" s="453"/>
      <c r="O300" s="454"/>
      <c r="P300" s="348" t="str">
        <f t="shared" si="45"/>
        <v/>
      </c>
      <c r="Q300" s="612" t="str">
        <f t="shared" si="46"/>
        <v/>
      </c>
      <c r="R300" s="348" t="str">
        <f t="shared" si="47"/>
        <v/>
      </c>
      <c r="S300" s="613" t="str">
        <f t="shared" si="48"/>
        <v/>
      </c>
      <c r="T300" s="613">
        <f t="shared" si="50"/>
        <v>747080883.79905319</v>
      </c>
      <c r="U300" s="614" t="str">
        <f t="shared" si="51"/>
        <v/>
      </c>
    </row>
    <row r="301" spans="2:21" ht="15" customHeight="1">
      <c r="B301" s="690">
        <v>1290</v>
      </c>
      <c r="C301" s="71" t="s">
        <v>543</v>
      </c>
      <c r="D301" s="19" t="s">
        <v>1064</v>
      </c>
      <c r="E301" s="73">
        <v>182.25</v>
      </c>
      <c r="F301" s="69">
        <v>1.29E-8</v>
      </c>
      <c r="G301" s="69">
        <f t="shared" si="42"/>
        <v>2.3510250000000001E-6</v>
      </c>
      <c r="H301" s="69">
        <f t="shared" si="43"/>
        <v>2.0020799999999997E-6</v>
      </c>
      <c r="I301" s="72">
        <v>-2875.2</v>
      </c>
      <c r="J301" s="72"/>
      <c r="K301" s="69">
        <f t="shared" si="49"/>
        <v>15776.131687242798</v>
      </c>
      <c r="L301" s="69">
        <f t="shared" si="44"/>
        <v>1870476705.9463401</v>
      </c>
      <c r="M301" s="71"/>
      <c r="N301" s="453"/>
      <c r="O301" s="454"/>
      <c r="P301" s="348" t="str">
        <f t="shared" si="45"/>
        <v/>
      </c>
      <c r="Q301" s="612" t="str">
        <f t="shared" si="46"/>
        <v/>
      </c>
      <c r="R301" s="348" t="str">
        <f t="shared" si="47"/>
        <v/>
      </c>
      <c r="S301" s="613" t="str">
        <f t="shared" si="48"/>
        <v/>
      </c>
      <c r="T301" s="613">
        <f t="shared" si="50"/>
        <v>1870476705.9463401</v>
      </c>
      <c r="U301" s="614" t="str">
        <f t="shared" si="51"/>
        <v/>
      </c>
    </row>
    <row r="302" spans="2:21" ht="15" customHeight="1">
      <c r="B302" s="690">
        <v>1291</v>
      </c>
      <c r="C302" s="71" t="s">
        <v>541</v>
      </c>
      <c r="D302" s="19" t="s">
        <v>542</v>
      </c>
      <c r="E302" s="70">
        <v>937.67</v>
      </c>
      <c r="F302" s="69">
        <v>1.81E-12</v>
      </c>
      <c r="G302" s="69">
        <f t="shared" si="42"/>
        <v>1.6971827E-9</v>
      </c>
      <c r="H302" s="69">
        <f t="shared" si="43"/>
        <v>2.8091199999999998E-10</v>
      </c>
      <c r="I302" s="72">
        <v>-4129.8</v>
      </c>
      <c r="J302" s="72"/>
      <c r="K302" s="69">
        <f t="shared" si="49"/>
        <v>4404.3213497285824</v>
      </c>
      <c r="L302" s="69">
        <f t="shared" si="44"/>
        <v>522192680.27733153</v>
      </c>
      <c r="M302" s="71"/>
      <c r="N302" s="453"/>
      <c r="O302" s="454"/>
      <c r="P302" s="348" t="str">
        <f t="shared" si="45"/>
        <v/>
      </c>
      <c r="Q302" s="612" t="str">
        <f t="shared" si="46"/>
        <v/>
      </c>
      <c r="R302" s="348" t="str">
        <f t="shared" si="47"/>
        <v/>
      </c>
      <c r="S302" s="613" t="str">
        <f t="shared" si="48"/>
        <v/>
      </c>
      <c r="T302" s="613">
        <f t="shared" si="50"/>
        <v>522192680.27733153</v>
      </c>
      <c r="U302" s="614" t="str">
        <f t="shared" si="51"/>
        <v/>
      </c>
    </row>
    <row r="303" spans="2:21" ht="15" customHeight="1">
      <c r="B303" s="690">
        <v>1292</v>
      </c>
      <c r="C303" s="71" t="s">
        <v>539</v>
      </c>
      <c r="D303" s="19" t="s">
        <v>540</v>
      </c>
      <c r="E303" s="73">
        <v>1053.3800000000001</v>
      </c>
      <c r="F303" s="69">
        <v>4.0900000000000002E-8</v>
      </c>
      <c r="G303" s="69">
        <f t="shared" si="42"/>
        <v>4.3083242000000009E-5</v>
      </c>
      <c r="H303" s="69">
        <f t="shared" si="43"/>
        <v>6.3476799999999997E-6</v>
      </c>
      <c r="I303" s="72">
        <v>-13453.5</v>
      </c>
      <c r="J303" s="72"/>
      <c r="K303" s="69">
        <f t="shared" si="49"/>
        <v>12771.744289809943</v>
      </c>
      <c r="L303" s="69">
        <f t="shared" si="44"/>
        <v>1514265389.1327791</v>
      </c>
      <c r="M303" s="71"/>
      <c r="N303" s="453"/>
      <c r="O303" s="454"/>
      <c r="P303" s="348" t="str">
        <f t="shared" si="45"/>
        <v/>
      </c>
      <c r="Q303" s="612" t="str">
        <f t="shared" si="46"/>
        <v/>
      </c>
      <c r="R303" s="348" t="str">
        <f t="shared" si="47"/>
        <v/>
      </c>
      <c r="S303" s="613" t="str">
        <f t="shared" si="48"/>
        <v/>
      </c>
      <c r="T303" s="613">
        <f t="shared" si="50"/>
        <v>1514265389.1327791</v>
      </c>
      <c r="U303" s="614" t="str">
        <f t="shared" si="51"/>
        <v/>
      </c>
    </row>
    <row r="304" spans="2:21" ht="15" customHeight="1">
      <c r="B304" s="690">
        <v>1293</v>
      </c>
      <c r="C304" s="71" t="s">
        <v>537</v>
      </c>
      <c r="D304" s="19" t="s">
        <v>538</v>
      </c>
      <c r="E304" s="73">
        <v>812.37</v>
      </c>
      <c r="F304" s="69">
        <v>4.2800000000000002E-7</v>
      </c>
      <c r="G304" s="69">
        <f t="shared" si="42"/>
        <v>3.4769436000000003E-4</v>
      </c>
      <c r="H304" s="69">
        <f t="shared" si="43"/>
        <v>6.6425600000000003E-5</v>
      </c>
      <c r="I304" s="72">
        <v>-11639.3</v>
      </c>
      <c r="J304" s="72"/>
      <c r="K304" s="69">
        <f t="shared" si="49"/>
        <v>14327.584721247707</v>
      </c>
      <c r="L304" s="69">
        <f t="shared" si="44"/>
        <v>1698731603.2128196</v>
      </c>
      <c r="M304" s="71"/>
      <c r="N304" s="453"/>
      <c r="O304" s="454"/>
      <c r="P304" s="348" t="str">
        <f t="shared" si="45"/>
        <v/>
      </c>
      <c r="Q304" s="612" t="str">
        <f t="shared" si="46"/>
        <v/>
      </c>
      <c r="R304" s="348" t="str">
        <f t="shared" si="47"/>
        <v/>
      </c>
      <c r="S304" s="613" t="str">
        <f t="shared" si="48"/>
        <v/>
      </c>
      <c r="T304" s="613">
        <f t="shared" si="50"/>
        <v>1698731603.2128196</v>
      </c>
      <c r="U304" s="614" t="str">
        <f t="shared" si="51"/>
        <v/>
      </c>
    </row>
    <row r="305" spans="2:21" ht="15" customHeight="1">
      <c r="B305" s="690">
        <v>1294</v>
      </c>
      <c r="C305" s="71" t="s">
        <v>536</v>
      </c>
      <c r="D305" s="19" t="s">
        <v>161</v>
      </c>
      <c r="E305" s="73">
        <v>60.08</v>
      </c>
      <c r="F305" s="69">
        <v>1.05E-8</v>
      </c>
      <c r="G305" s="69">
        <f t="shared" si="42"/>
        <v>6.3084E-7</v>
      </c>
      <c r="H305" s="69">
        <f t="shared" si="43"/>
        <v>1.6295999999999998E-6</v>
      </c>
      <c r="I305" s="72">
        <v>-855.9</v>
      </c>
      <c r="J305" s="72"/>
      <c r="K305" s="69">
        <f t="shared" si="49"/>
        <v>14246.005326231692</v>
      </c>
      <c r="L305" s="69">
        <f t="shared" si="44"/>
        <v>1689059247.4612482</v>
      </c>
      <c r="M305" s="71"/>
      <c r="N305" s="453"/>
      <c r="O305" s="454"/>
      <c r="P305" s="348" t="str">
        <f t="shared" si="45"/>
        <v/>
      </c>
      <c r="Q305" s="612" t="str">
        <f t="shared" si="46"/>
        <v/>
      </c>
      <c r="R305" s="348" t="str">
        <f t="shared" si="47"/>
        <v/>
      </c>
      <c r="S305" s="613" t="str">
        <f t="shared" si="48"/>
        <v/>
      </c>
      <c r="T305" s="613">
        <f t="shared" si="50"/>
        <v>1689059247.4612482</v>
      </c>
      <c r="U305" s="614" t="str">
        <f t="shared" si="51"/>
        <v/>
      </c>
    </row>
    <row r="306" spans="2:21" ht="15" customHeight="1">
      <c r="B306" s="690">
        <v>1295</v>
      </c>
      <c r="C306" s="71" t="s">
        <v>534</v>
      </c>
      <c r="D306" s="19" t="s">
        <v>535</v>
      </c>
      <c r="E306" s="73">
        <v>87.910700000000006</v>
      </c>
      <c r="F306" s="69">
        <v>1.1900000000000001E-11</v>
      </c>
      <c r="G306" s="69">
        <f t="shared" si="42"/>
        <v>1.0461373300000002E-9</v>
      </c>
      <c r="H306" s="69">
        <f t="shared" si="43"/>
        <v>1.8468799999999999E-9</v>
      </c>
      <c r="I306" s="72">
        <v>-99.9</v>
      </c>
      <c r="J306" s="72"/>
      <c r="K306" s="69">
        <f t="shared" si="49"/>
        <v>1136.3804406062061</v>
      </c>
      <c r="L306" s="69">
        <f t="shared" si="44"/>
        <v>134733481.27321789</v>
      </c>
      <c r="M306" s="71"/>
      <c r="N306" s="453"/>
      <c r="O306" s="454"/>
      <c r="P306" s="348" t="str">
        <f t="shared" si="45"/>
        <v/>
      </c>
      <c r="Q306" s="612" t="str">
        <f t="shared" si="46"/>
        <v/>
      </c>
      <c r="R306" s="348" t="str">
        <f t="shared" si="47"/>
        <v/>
      </c>
      <c r="S306" s="613" t="str">
        <f t="shared" si="48"/>
        <v/>
      </c>
      <c r="T306" s="613">
        <f t="shared" si="50"/>
        <v>134733481.27321789</v>
      </c>
      <c r="U306" s="614" t="str">
        <f t="shared" si="51"/>
        <v/>
      </c>
    </row>
    <row r="307" spans="2:21" ht="15" customHeight="1">
      <c r="B307" s="690">
        <v>1296</v>
      </c>
      <c r="C307" s="71" t="s">
        <v>532</v>
      </c>
      <c r="D307" s="19" t="s">
        <v>533</v>
      </c>
      <c r="E307" s="70">
        <v>405.23</v>
      </c>
      <c r="F307" s="69">
        <v>7.1900000000000002E-8</v>
      </c>
      <c r="G307" s="69">
        <f t="shared" si="42"/>
        <v>2.9136037000000001E-5</v>
      </c>
      <c r="H307" s="69">
        <f t="shared" si="43"/>
        <v>1.1158879999999999E-5</v>
      </c>
      <c r="I307" s="72">
        <v>-6151.5</v>
      </c>
      <c r="J307" s="72">
        <v>-17.88</v>
      </c>
      <c r="K307" s="69">
        <f t="shared" si="49"/>
        <v>15180.267995952914</v>
      </c>
      <c r="L307" s="69">
        <f t="shared" si="44"/>
        <v>1799828895.9145441</v>
      </c>
      <c r="M307" s="71" t="s">
        <v>1727</v>
      </c>
      <c r="N307" s="453">
        <f>('Crust Element Composition'!E9*5+'Crust Element Composition'!E49*6)/E307</f>
        <v>0.37028699750758826</v>
      </c>
      <c r="O307" s="454">
        <f>'EmCF Library'!Z101/N307</f>
        <v>0.8641945360056621</v>
      </c>
      <c r="P307" s="348">
        <f t="shared" si="45"/>
        <v>0.33097991754825346</v>
      </c>
      <c r="Q307" s="612">
        <f t="shared" si="46"/>
        <v>62.990971819798069</v>
      </c>
      <c r="R307" s="348">
        <f t="shared" si="47"/>
        <v>15930467239073.916</v>
      </c>
      <c r="S307" s="613">
        <f t="shared" si="48"/>
        <v>3479934132.5711093</v>
      </c>
      <c r="T307" s="613">
        <f t="shared" si="50"/>
        <v>3479934132.5711093</v>
      </c>
      <c r="U307" s="614">
        <f t="shared" si="51"/>
        <v>9397937696.961113</v>
      </c>
    </row>
    <row r="308" spans="2:21">
      <c r="B308" s="690">
        <v>1297</v>
      </c>
      <c r="C308" s="71" t="s">
        <v>530</v>
      </c>
      <c r="D308" s="19" t="s">
        <v>531</v>
      </c>
      <c r="E308" s="73">
        <v>223.57</v>
      </c>
      <c r="F308" s="69">
        <v>5.2100000000000001E-6</v>
      </c>
      <c r="G308" s="69">
        <f t="shared" si="42"/>
        <v>1.1647997E-3</v>
      </c>
      <c r="H308" s="69">
        <f t="shared" si="43"/>
        <v>8.085919999999999E-4</v>
      </c>
      <c r="I308" s="72">
        <v>-1392.9</v>
      </c>
      <c r="J308" s="72"/>
      <c r="K308" s="69">
        <f t="shared" si="49"/>
        <v>6230.2634521626342</v>
      </c>
      <c r="L308" s="69">
        <f t="shared" si="44"/>
        <v>738683150.61052442</v>
      </c>
      <c r="M308" s="71"/>
      <c r="N308" s="453"/>
      <c r="O308" s="454"/>
      <c r="P308" s="348" t="str">
        <f t="shared" si="45"/>
        <v/>
      </c>
      <c r="Q308" s="612" t="str">
        <f t="shared" si="46"/>
        <v/>
      </c>
      <c r="R308" s="348" t="str">
        <f t="shared" si="47"/>
        <v/>
      </c>
      <c r="S308" s="613" t="str">
        <f t="shared" si="48"/>
        <v/>
      </c>
      <c r="T308" s="613">
        <f t="shared" si="50"/>
        <v>738683150.61052442</v>
      </c>
      <c r="U308" s="614" t="str">
        <f t="shared" si="51"/>
        <v/>
      </c>
    </row>
    <row r="309" spans="2:21" ht="15" customHeight="1">
      <c r="B309" s="690">
        <v>1298</v>
      </c>
      <c r="C309" s="71" t="s">
        <v>252</v>
      </c>
      <c r="D309" s="19" t="s">
        <v>170</v>
      </c>
      <c r="E309" s="70">
        <v>270.02999999999997</v>
      </c>
      <c r="F309" s="69">
        <v>5.5999999999999997E-9</v>
      </c>
      <c r="G309" s="69">
        <f t="shared" si="42"/>
        <v>1.5121679999999999E-6</v>
      </c>
      <c r="H309" s="69">
        <f t="shared" si="43"/>
        <v>8.6911999999999988E-7</v>
      </c>
      <c r="I309" s="72">
        <v>-1032.5</v>
      </c>
      <c r="J309" s="72">
        <v>167.73</v>
      </c>
      <c r="K309" s="69">
        <f t="shared" si="49"/>
        <v>3823.6492241602787</v>
      </c>
      <c r="L309" s="69">
        <f t="shared" si="44"/>
        <v>453346038.64171749</v>
      </c>
      <c r="M309" s="71" t="s">
        <v>146</v>
      </c>
      <c r="N309" s="453">
        <f>'Crust Element Composition'!E75/'Singular Minerals'!E309</f>
        <v>0.88149057512128293</v>
      </c>
      <c r="O309" s="454">
        <f>0.000255/N309</f>
        <v>2.8928272995421982E-4</v>
      </c>
      <c r="P309" s="348">
        <f t="shared" si="45"/>
        <v>1.662655249005478E-4</v>
      </c>
      <c r="Q309" s="612">
        <f t="shared" si="46"/>
        <v>48.229340602011376</v>
      </c>
      <c r="R309" s="348">
        <f t="shared" si="47"/>
        <v>633039912708.93311</v>
      </c>
      <c r="S309" s="613">
        <f t="shared" si="48"/>
        <v>2664428309.3849096</v>
      </c>
      <c r="T309" s="613">
        <f t="shared" si="50"/>
        <v>2664428309.3849096</v>
      </c>
      <c r="U309" s="614">
        <f t="shared" si="51"/>
        <v>3022639588.65166</v>
      </c>
    </row>
    <row r="310" spans="2:21" ht="15" customHeight="1">
      <c r="B310" s="690">
        <v>1299</v>
      </c>
      <c r="C310" s="71" t="s">
        <v>528</v>
      </c>
      <c r="D310" s="19" t="s">
        <v>529</v>
      </c>
      <c r="E310" s="70">
        <v>324.12</v>
      </c>
      <c r="F310" s="69">
        <v>3.1800000000000003E-11</v>
      </c>
      <c r="G310" s="69">
        <f t="shared" si="42"/>
        <v>1.0307016000000001E-8</v>
      </c>
      <c r="H310" s="69">
        <f t="shared" si="43"/>
        <v>4.9353599999999998E-9</v>
      </c>
      <c r="I310" s="72">
        <v>-2048.8000000000002</v>
      </c>
      <c r="J310" s="72"/>
      <c r="K310" s="69">
        <f t="shared" si="49"/>
        <v>6321.1156361841304</v>
      </c>
      <c r="L310" s="69">
        <f t="shared" si="44"/>
        <v>749454922.63078308</v>
      </c>
      <c r="M310" s="71"/>
      <c r="N310" s="453"/>
      <c r="O310" s="454"/>
      <c r="P310" s="348" t="str">
        <f t="shared" si="45"/>
        <v/>
      </c>
      <c r="Q310" s="612" t="str">
        <f t="shared" si="46"/>
        <v/>
      </c>
      <c r="R310" s="348" t="str">
        <f t="shared" si="47"/>
        <v/>
      </c>
      <c r="S310" s="613" t="str">
        <f t="shared" si="48"/>
        <v/>
      </c>
      <c r="T310" s="613">
        <f t="shared" si="50"/>
        <v>749454922.63078308</v>
      </c>
      <c r="U310" s="614" t="str">
        <f t="shared" si="51"/>
        <v/>
      </c>
    </row>
    <row r="311" spans="2:21" ht="15" customHeight="1">
      <c r="B311" s="690">
        <v>1300</v>
      </c>
      <c r="C311" s="71" t="s">
        <v>270</v>
      </c>
      <c r="D311" s="19" t="s">
        <v>269</v>
      </c>
      <c r="E311" s="70">
        <v>122.82</v>
      </c>
      <c r="F311" s="69">
        <v>4.2300000000000002E-8</v>
      </c>
      <c r="G311" s="69">
        <f t="shared" si="42"/>
        <v>5.1952860000000001E-6</v>
      </c>
      <c r="H311" s="69">
        <f t="shared" si="43"/>
        <v>6.5649599999999996E-6</v>
      </c>
      <c r="I311" s="72">
        <v>-126.4</v>
      </c>
      <c r="J311" s="72"/>
      <c r="K311" s="69">
        <f t="shared" si="49"/>
        <v>1029.1483471747274</v>
      </c>
      <c r="L311" s="69">
        <f t="shared" si="44"/>
        <v>122019646.42004946</v>
      </c>
      <c r="M311" s="71"/>
      <c r="N311" s="453"/>
      <c r="O311" s="454"/>
      <c r="P311" s="348" t="str">
        <f t="shared" si="45"/>
        <v/>
      </c>
      <c r="Q311" s="612" t="str">
        <f t="shared" si="46"/>
        <v/>
      </c>
      <c r="R311" s="348" t="str">
        <f t="shared" si="47"/>
        <v/>
      </c>
      <c r="S311" s="613" t="str">
        <f t="shared" si="48"/>
        <v/>
      </c>
      <c r="T311" s="613">
        <f t="shared" si="50"/>
        <v>122019646.42004946</v>
      </c>
      <c r="U311" s="614" t="str">
        <f t="shared" si="51"/>
        <v/>
      </c>
    </row>
    <row r="312" spans="2:21" ht="15" customHeight="1">
      <c r="B312" s="690">
        <v>1301</v>
      </c>
      <c r="C312" s="71" t="s">
        <v>527</v>
      </c>
      <c r="D312" s="19" t="s">
        <v>169</v>
      </c>
      <c r="E312" s="70">
        <v>737.43</v>
      </c>
      <c r="F312" s="69">
        <v>6.7800000000000001E-7</v>
      </c>
      <c r="G312" s="69">
        <f t="shared" si="42"/>
        <v>4.9997753999999998E-4</v>
      </c>
      <c r="H312" s="69">
        <f t="shared" si="43"/>
        <v>1.052256E-4</v>
      </c>
      <c r="I312" s="72">
        <v>-5957.2</v>
      </c>
      <c r="J312" s="72">
        <f>AVERAGE(83.41,75.09)</f>
        <v>79.25</v>
      </c>
      <c r="K312" s="69">
        <f t="shared" si="49"/>
        <v>8078.3260784074428</v>
      </c>
      <c r="L312" s="69">
        <f t="shared" si="44"/>
        <v>957796312.31899333</v>
      </c>
      <c r="M312" s="71"/>
      <c r="N312" s="453"/>
      <c r="O312" s="454">
        <f>'EmCF Library'!Z103</f>
        <v>0.21</v>
      </c>
      <c r="P312" s="348">
        <f t="shared" si="45"/>
        <v>4.4196737317440296E-2</v>
      </c>
      <c r="Q312" s="612">
        <f t="shared" si="46"/>
        <v>20.304042550797192</v>
      </c>
      <c r="R312" s="348">
        <f t="shared" si="47"/>
        <v>88115586340513.203</v>
      </c>
      <c r="S312" s="613">
        <f t="shared" si="48"/>
        <v>1121696152.0109124</v>
      </c>
      <c r="T312" s="613">
        <f t="shared" si="50"/>
        <v>1121696152.0109124</v>
      </c>
      <c r="U312" s="614" t="str">
        <f t="shared" si="51"/>
        <v/>
      </c>
    </row>
    <row r="313" spans="2:21" ht="15" customHeight="1">
      <c r="B313" s="690">
        <v>1302</v>
      </c>
      <c r="C313" s="71" t="s">
        <v>526</v>
      </c>
      <c r="D313" s="19" t="s">
        <v>1065</v>
      </c>
      <c r="E313" s="70">
        <v>108.16</v>
      </c>
      <c r="F313" s="69">
        <v>2.18E-8</v>
      </c>
      <c r="G313" s="69">
        <f t="shared" si="42"/>
        <v>2.357888E-6</v>
      </c>
      <c r="H313" s="69">
        <f t="shared" si="43"/>
        <v>3.3833599999999998E-6</v>
      </c>
      <c r="I313" s="72">
        <v>-571.4</v>
      </c>
      <c r="J313" s="72"/>
      <c r="K313" s="69">
        <f t="shared" si="49"/>
        <v>5282.9142011834319</v>
      </c>
      <c r="L313" s="69">
        <f t="shared" si="44"/>
        <v>626361908.5290314</v>
      </c>
      <c r="M313" s="71"/>
      <c r="N313" s="453"/>
      <c r="O313" s="454"/>
      <c r="P313" s="348" t="str">
        <f t="shared" si="45"/>
        <v/>
      </c>
      <c r="Q313" s="612" t="str">
        <f t="shared" si="46"/>
        <v/>
      </c>
      <c r="R313" s="348" t="str">
        <f t="shared" si="47"/>
        <v/>
      </c>
      <c r="S313" s="613" t="str">
        <f t="shared" si="48"/>
        <v/>
      </c>
      <c r="T313" s="613">
        <f t="shared" si="50"/>
        <v>626361908.5290314</v>
      </c>
      <c r="U313" s="614" t="str">
        <f t="shared" si="51"/>
        <v/>
      </c>
    </row>
    <row r="314" spans="2:21" ht="15" customHeight="1">
      <c r="B314" s="690">
        <v>1303</v>
      </c>
      <c r="C314" s="71" t="s">
        <v>524</v>
      </c>
      <c r="D314" s="19" t="s">
        <v>525</v>
      </c>
      <c r="E314" s="70">
        <v>1422.09</v>
      </c>
      <c r="F314" s="69">
        <v>1.1999999999999999E-7</v>
      </c>
      <c r="G314" s="69">
        <f t="shared" si="42"/>
        <v>1.7065079999999998E-4</v>
      </c>
      <c r="H314" s="69">
        <f t="shared" si="43"/>
        <v>1.8623999999999997E-5</v>
      </c>
      <c r="I314" s="72">
        <v>-19948.7</v>
      </c>
      <c r="J314" s="72"/>
      <c r="K314" s="69">
        <f t="shared" si="49"/>
        <v>14027.733828379358</v>
      </c>
      <c r="L314" s="69">
        <f t="shared" si="44"/>
        <v>1663180168.8380041</v>
      </c>
      <c r="M314" s="71"/>
      <c r="N314" s="453"/>
      <c r="O314" s="454"/>
      <c r="P314" s="348" t="str">
        <f t="shared" si="45"/>
        <v/>
      </c>
      <c r="Q314" s="612" t="str">
        <f t="shared" si="46"/>
        <v/>
      </c>
      <c r="R314" s="348" t="str">
        <f t="shared" si="47"/>
        <v/>
      </c>
      <c r="S314" s="613" t="str">
        <f t="shared" si="48"/>
        <v/>
      </c>
      <c r="T314" s="613">
        <f t="shared" si="50"/>
        <v>1663180168.8380041</v>
      </c>
      <c r="U314" s="614" t="str">
        <f t="shared" si="51"/>
        <v/>
      </c>
    </row>
    <row r="315" spans="2:21" ht="15" customHeight="1">
      <c r="B315" s="690">
        <v>1304</v>
      </c>
      <c r="C315" s="71" t="s">
        <v>267</v>
      </c>
      <c r="D315" s="19" t="s">
        <v>266</v>
      </c>
      <c r="E315" s="73">
        <v>301.49</v>
      </c>
      <c r="F315" s="69">
        <v>1.7199999999999999E-8</v>
      </c>
      <c r="G315" s="69">
        <f t="shared" si="42"/>
        <v>5.1856279999999999E-6</v>
      </c>
      <c r="H315" s="69">
        <f t="shared" si="43"/>
        <v>2.6694399999999996E-6</v>
      </c>
      <c r="I315" s="72">
        <v>-368.9</v>
      </c>
      <c r="J315" s="72"/>
      <c r="K315" s="69">
        <f t="shared" si="49"/>
        <v>1223.5895054562341</v>
      </c>
      <c r="L315" s="69">
        <f t="shared" si="44"/>
        <v>145073311.56769043</v>
      </c>
      <c r="M315" s="71"/>
      <c r="N315" s="453"/>
      <c r="O315" s="454"/>
      <c r="P315" s="348" t="str">
        <f t="shared" si="45"/>
        <v/>
      </c>
      <c r="Q315" s="612" t="str">
        <f t="shared" si="46"/>
        <v/>
      </c>
      <c r="R315" s="348" t="str">
        <f t="shared" si="47"/>
        <v/>
      </c>
      <c r="S315" s="613" t="str">
        <f t="shared" si="48"/>
        <v/>
      </c>
      <c r="T315" s="613">
        <f t="shared" si="50"/>
        <v>145073311.56769043</v>
      </c>
      <c r="U315" s="614" t="str">
        <f t="shared" si="51"/>
        <v/>
      </c>
    </row>
    <row r="316" spans="2:21" ht="15" customHeight="1">
      <c r="B316" s="690">
        <v>1305</v>
      </c>
      <c r="C316" s="71" t="s">
        <v>522</v>
      </c>
      <c r="D316" s="19" t="s">
        <v>523</v>
      </c>
      <c r="E316" s="70">
        <v>501.61</v>
      </c>
      <c r="F316" s="69">
        <v>2.5900000000000001E-12</v>
      </c>
      <c r="G316" s="69">
        <f t="shared" si="42"/>
        <v>1.2991699000000001E-9</v>
      </c>
      <c r="H316" s="69">
        <f t="shared" si="43"/>
        <v>4.0196799999999999E-10</v>
      </c>
      <c r="I316" s="72">
        <v>-4428.2</v>
      </c>
      <c r="J316" s="72"/>
      <c r="K316" s="69">
        <f t="shared" si="49"/>
        <v>8827.9739239648334</v>
      </c>
      <c r="L316" s="69">
        <f t="shared" si="44"/>
        <v>1046677342.2556179</v>
      </c>
      <c r="M316" s="71"/>
      <c r="N316" s="453"/>
      <c r="O316" s="454"/>
      <c r="P316" s="348" t="str">
        <f t="shared" si="45"/>
        <v/>
      </c>
      <c r="Q316" s="612" t="str">
        <f t="shared" si="46"/>
        <v/>
      </c>
      <c r="R316" s="348" t="str">
        <f t="shared" si="47"/>
        <v/>
      </c>
      <c r="S316" s="613" t="str">
        <f t="shared" si="48"/>
        <v/>
      </c>
      <c r="T316" s="613">
        <f t="shared" si="50"/>
        <v>1046677342.2556179</v>
      </c>
      <c r="U316" s="614" t="str">
        <f t="shared" si="51"/>
        <v/>
      </c>
    </row>
    <row r="317" spans="2:21" ht="15" customHeight="1">
      <c r="B317" s="690">
        <v>1306</v>
      </c>
      <c r="C317" s="71" t="s">
        <v>520</v>
      </c>
      <c r="D317" s="19" t="s">
        <v>521</v>
      </c>
      <c r="E317" s="70">
        <v>183.87729999999999</v>
      </c>
      <c r="F317" s="69">
        <v>1.6799999999999999E-12</v>
      </c>
      <c r="G317" s="69">
        <f t="shared" si="42"/>
        <v>3.0891386399999998E-10</v>
      </c>
      <c r="H317" s="69">
        <f t="shared" si="43"/>
        <v>2.6073599999999999E-10</v>
      </c>
      <c r="I317" s="72">
        <v>-1871.1</v>
      </c>
      <c r="J317" s="72"/>
      <c r="K317" s="69">
        <f t="shared" si="49"/>
        <v>10175.807454209955</v>
      </c>
      <c r="L317" s="69">
        <f t="shared" si="44"/>
        <v>1206481486.3764212</v>
      </c>
      <c r="M317" s="71"/>
      <c r="N317" s="453"/>
      <c r="O317" s="454"/>
      <c r="P317" s="348" t="str">
        <f t="shared" si="45"/>
        <v/>
      </c>
      <c r="Q317" s="612" t="str">
        <f t="shared" si="46"/>
        <v/>
      </c>
      <c r="R317" s="348" t="str">
        <f t="shared" si="47"/>
        <v/>
      </c>
      <c r="S317" s="613" t="str">
        <f t="shared" si="48"/>
        <v/>
      </c>
      <c r="T317" s="613">
        <f t="shared" si="50"/>
        <v>1206481486.3764212</v>
      </c>
      <c r="U317" s="614" t="str">
        <f t="shared" si="51"/>
        <v/>
      </c>
    </row>
    <row r="318" spans="2:21" ht="15" customHeight="1">
      <c r="B318" s="690">
        <v>1307</v>
      </c>
      <c r="C318" s="71" t="s">
        <v>518</v>
      </c>
      <c r="D318" s="19" t="s">
        <v>519</v>
      </c>
      <c r="E318" s="70">
        <v>197.34</v>
      </c>
      <c r="F318" s="69">
        <v>3.0400000000000002E-7</v>
      </c>
      <c r="G318" s="69">
        <f t="shared" si="42"/>
        <v>5.9991360000000007E-5</v>
      </c>
      <c r="H318" s="69">
        <f t="shared" si="43"/>
        <v>4.7180800000000001E-5</v>
      </c>
      <c r="I318" s="72">
        <v>-1137.5999999999999</v>
      </c>
      <c r="J318" s="72"/>
      <c r="K318" s="69">
        <f t="shared" si="49"/>
        <v>5764.6701124961992</v>
      </c>
      <c r="L318" s="69">
        <f t="shared" si="44"/>
        <v>683480676.80041683</v>
      </c>
      <c r="M318" s="71"/>
      <c r="N318" s="453"/>
      <c r="O318" s="454"/>
      <c r="P318" s="348" t="str">
        <f t="shared" si="45"/>
        <v/>
      </c>
      <c r="Q318" s="612" t="str">
        <f t="shared" si="46"/>
        <v/>
      </c>
      <c r="R318" s="348" t="str">
        <f t="shared" si="47"/>
        <v/>
      </c>
      <c r="S318" s="613" t="str">
        <f t="shared" si="48"/>
        <v/>
      </c>
      <c r="T318" s="613">
        <f t="shared" si="50"/>
        <v>683480676.80041683</v>
      </c>
      <c r="U318" s="614" t="str">
        <f t="shared" si="51"/>
        <v/>
      </c>
    </row>
    <row r="319" spans="2:21" ht="15" customHeight="1">
      <c r="B319" s="690">
        <v>1308</v>
      </c>
      <c r="C319" s="71" t="s">
        <v>517</v>
      </c>
      <c r="D319" s="19" t="s">
        <v>1066</v>
      </c>
      <c r="E319" s="73">
        <v>395.27</v>
      </c>
      <c r="F319" s="69">
        <v>1.2699999999999999E-15</v>
      </c>
      <c r="G319" s="69">
        <f t="shared" si="42"/>
        <v>5.0199289999999992E-13</v>
      </c>
      <c r="H319" s="69">
        <f t="shared" si="43"/>
        <v>1.9710399999999997E-13</v>
      </c>
      <c r="I319" s="72">
        <v>-4170</v>
      </c>
      <c r="J319" s="72"/>
      <c r="K319" s="69">
        <f t="shared" si="49"/>
        <v>10549.750803248413</v>
      </c>
      <c r="L319" s="69">
        <f t="shared" si="44"/>
        <v>1250817597.2549584</v>
      </c>
      <c r="M319" s="71"/>
      <c r="N319" s="453"/>
      <c r="O319" s="454"/>
      <c r="P319" s="348" t="str">
        <f t="shared" si="45"/>
        <v/>
      </c>
      <c r="Q319" s="612" t="str">
        <f t="shared" si="46"/>
        <v/>
      </c>
      <c r="R319" s="348" t="str">
        <f t="shared" si="47"/>
        <v/>
      </c>
      <c r="S319" s="613" t="str">
        <f t="shared" si="48"/>
        <v/>
      </c>
      <c r="T319" s="613">
        <f t="shared" si="50"/>
        <v>1250817597.2549584</v>
      </c>
      <c r="U319" s="614" t="str">
        <f t="shared" si="51"/>
        <v/>
      </c>
    </row>
    <row r="320" spans="2:21">
      <c r="B320" s="690">
        <v>1309</v>
      </c>
      <c r="C320" s="71" t="s">
        <v>516</v>
      </c>
      <c r="D320" s="19" t="s">
        <v>1067</v>
      </c>
      <c r="E320" s="70">
        <v>303.24</v>
      </c>
      <c r="F320" s="69">
        <v>1.0600000000000001E-9</v>
      </c>
      <c r="G320" s="69">
        <f t="shared" si="42"/>
        <v>3.2143440000000001E-7</v>
      </c>
      <c r="H320" s="69">
        <f t="shared" si="43"/>
        <v>1.6451199999999998E-7</v>
      </c>
      <c r="I320" s="72">
        <v>-1146.4000000000001</v>
      </c>
      <c r="J320" s="72"/>
      <c r="K320" s="69">
        <f t="shared" si="49"/>
        <v>3780.5038913072153</v>
      </c>
      <c r="L320" s="69">
        <f t="shared" si="44"/>
        <v>448230567.8994686</v>
      </c>
      <c r="M320" s="71"/>
      <c r="N320" s="453"/>
      <c r="O320" s="454"/>
      <c r="P320" s="348">
        <v>1E-4</v>
      </c>
      <c r="Q320" s="612" t="str">
        <f t="shared" si="46"/>
        <v/>
      </c>
      <c r="R320" s="348" t="str">
        <f t="shared" si="47"/>
        <v/>
      </c>
      <c r="S320" s="613" t="str">
        <f t="shared" si="48"/>
        <v/>
      </c>
      <c r="T320" s="613">
        <f t="shared" si="50"/>
        <v>448230567.8994686</v>
      </c>
      <c r="U320" s="614" t="str">
        <f t="shared" si="51"/>
        <v/>
      </c>
    </row>
    <row r="321" spans="2:21">
      <c r="B321" s="690">
        <v>1310</v>
      </c>
      <c r="C321" s="71" t="s">
        <v>515</v>
      </c>
      <c r="D321" s="19" t="s">
        <v>211</v>
      </c>
      <c r="E321" s="70">
        <v>116.16</v>
      </c>
      <c r="F321" s="69">
        <v>4.0800000000000001E-8</v>
      </c>
      <c r="G321" s="69">
        <f t="shared" si="42"/>
        <v>4.7393280000000004E-6</v>
      </c>
      <c r="H321" s="69">
        <f t="shared" si="43"/>
        <v>6.3321599999999999E-6</v>
      </c>
      <c r="I321" s="72">
        <v>-1550.9</v>
      </c>
      <c r="J321" s="72"/>
      <c r="K321" s="69">
        <f t="shared" si="49"/>
        <v>13351.411845730028</v>
      </c>
      <c r="L321" s="69">
        <f t="shared" si="44"/>
        <v>1582992925.2637141</v>
      </c>
      <c r="M321" s="71"/>
      <c r="N321" s="453"/>
      <c r="O321" s="454"/>
      <c r="P321" s="348" t="str">
        <f t="shared" si="45"/>
        <v/>
      </c>
      <c r="Q321" s="612" t="str">
        <f t="shared" si="46"/>
        <v/>
      </c>
      <c r="R321" s="348" t="str">
        <f t="shared" si="47"/>
        <v/>
      </c>
      <c r="S321" s="613" t="str">
        <f t="shared" si="48"/>
        <v/>
      </c>
      <c r="T321" s="613">
        <f t="shared" si="50"/>
        <v>1582992925.2637141</v>
      </c>
      <c r="U321" s="614" t="str">
        <f t="shared" si="51"/>
        <v/>
      </c>
    </row>
    <row r="322" spans="2:21">
      <c r="B322" s="690">
        <v>1311</v>
      </c>
      <c r="C322" s="71" t="s">
        <v>261</v>
      </c>
      <c r="D322" s="19" t="s">
        <v>260</v>
      </c>
      <c r="E322" s="70">
        <v>367.14</v>
      </c>
      <c r="F322" s="69">
        <v>1.66E-12</v>
      </c>
      <c r="G322" s="69">
        <f t="shared" si="42"/>
        <v>6.0945239999999994E-10</v>
      </c>
      <c r="H322" s="69">
        <f t="shared" si="43"/>
        <v>2.5763199999999998E-10</v>
      </c>
      <c r="I322" s="72">
        <v>-952.8</v>
      </c>
      <c r="J322" s="72"/>
      <c r="K322" s="69">
        <f t="shared" si="49"/>
        <v>2595.1952933485863</v>
      </c>
      <c r="L322" s="69">
        <f t="shared" si="44"/>
        <v>307695982.75573784</v>
      </c>
      <c r="M322" s="71"/>
      <c r="N322" s="453"/>
      <c r="O322" s="454"/>
      <c r="P322" s="348" t="str">
        <f t="shared" si="45"/>
        <v/>
      </c>
      <c r="Q322" s="612" t="str">
        <f t="shared" si="46"/>
        <v/>
      </c>
      <c r="R322" s="348" t="str">
        <f t="shared" si="47"/>
        <v/>
      </c>
      <c r="S322" s="613" t="str">
        <f t="shared" si="48"/>
        <v/>
      </c>
      <c r="T322" s="613">
        <f t="shared" si="50"/>
        <v>307695982.75573784</v>
      </c>
      <c r="U322" s="614" t="str">
        <f t="shared" si="51"/>
        <v/>
      </c>
    </row>
    <row r="323" spans="2:21">
      <c r="B323" s="690">
        <v>1312</v>
      </c>
      <c r="C323" s="71" t="s">
        <v>513</v>
      </c>
      <c r="D323" s="19" t="s">
        <v>514</v>
      </c>
      <c r="E323" s="70">
        <v>183.88</v>
      </c>
      <c r="F323" s="69">
        <v>1.38E-9</v>
      </c>
      <c r="G323" s="69">
        <f t="shared" si="42"/>
        <v>2.5375439999999998E-7</v>
      </c>
      <c r="H323" s="69">
        <f t="shared" si="43"/>
        <v>2.1417599999999997E-7</v>
      </c>
      <c r="I323" s="72">
        <v>-1790.3</v>
      </c>
      <c r="J323" s="72"/>
      <c r="K323" s="69">
        <f t="shared" si="49"/>
        <v>9736.241026756581</v>
      </c>
      <c r="L323" s="69">
        <f t="shared" si="44"/>
        <v>1154364859.8441739</v>
      </c>
      <c r="M323" s="71"/>
      <c r="N323" s="453"/>
      <c r="O323" s="454"/>
      <c r="P323" s="348" t="str">
        <f t="shared" si="45"/>
        <v/>
      </c>
      <c r="Q323" s="612" t="str">
        <f t="shared" si="46"/>
        <v/>
      </c>
      <c r="R323" s="348" t="str">
        <f t="shared" si="47"/>
        <v/>
      </c>
      <c r="S323" s="613" t="str">
        <f t="shared" si="48"/>
        <v/>
      </c>
      <c r="T323" s="613">
        <f t="shared" si="50"/>
        <v>1154364859.8441739</v>
      </c>
      <c r="U323" s="614" t="str">
        <f t="shared" si="51"/>
        <v/>
      </c>
    </row>
    <row r="324" spans="2:21">
      <c r="B324" s="690">
        <v>1313</v>
      </c>
      <c r="C324" s="71" t="s">
        <v>512</v>
      </c>
      <c r="D324" s="19" t="s">
        <v>1068</v>
      </c>
      <c r="E324" s="70">
        <v>417.54</v>
      </c>
      <c r="F324" s="69">
        <v>4.6399999999999997E-9</v>
      </c>
      <c r="G324" s="69">
        <f t="shared" si="42"/>
        <v>1.9373856000000001E-6</v>
      </c>
      <c r="H324" s="69">
        <f t="shared" si="43"/>
        <v>7.2012799999999992E-7</v>
      </c>
      <c r="I324" s="71" t="s">
        <v>1007</v>
      </c>
      <c r="J324" s="71"/>
      <c r="K324" s="69" t="e">
        <f t="shared" si="49"/>
        <v>#VALUE!</v>
      </c>
      <c r="L324" s="69">
        <f t="shared" si="44"/>
        <v>0</v>
      </c>
      <c r="M324" s="71"/>
      <c r="N324" s="453"/>
      <c r="O324" s="454"/>
      <c r="P324" s="348" t="str">
        <f t="shared" si="45"/>
        <v/>
      </c>
      <c r="Q324" s="612" t="str">
        <f t="shared" si="46"/>
        <v/>
      </c>
      <c r="R324" s="348" t="str">
        <f t="shared" si="47"/>
        <v/>
      </c>
      <c r="S324" s="613" t="str">
        <f t="shared" si="48"/>
        <v/>
      </c>
      <c r="T324" s="613">
        <f t="shared" si="50"/>
        <v>0</v>
      </c>
      <c r="U324" s="614" t="str">
        <f t="shared" si="51"/>
        <v/>
      </c>
    </row>
    <row r="325" spans="2:21">
      <c r="B325" s="690">
        <v>1314</v>
      </c>
      <c r="C325" s="71" t="s">
        <v>253</v>
      </c>
      <c r="D325" s="19" t="s">
        <v>147</v>
      </c>
      <c r="E325" s="70">
        <v>65.409000000000006</v>
      </c>
      <c r="F325" s="69">
        <v>1.55E-9</v>
      </c>
      <c r="G325" s="69">
        <f t="shared" si="42"/>
        <v>1.0138395000000001E-7</v>
      </c>
      <c r="H325" s="69">
        <f t="shared" si="43"/>
        <v>2.4055999999999998E-7</v>
      </c>
      <c r="I325" s="72">
        <f>-160.95848/E325</f>
        <v>-2.4608001956917245</v>
      </c>
      <c r="J325" s="72"/>
      <c r="K325" s="69">
        <f t="shared" si="49"/>
        <v>37.621737003955488</v>
      </c>
      <c r="L325" s="69">
        <f t="shared" si="44"/>
        <v>4460572.7245572256</v>
      </c>
      <c r="M325" s="71"/>
      <c r="N325" s="453"/>
      <c r="O325" s="454">
        <v>0.05</v>
      </c>
      <c r="P325" s="348">
        <f t="shared" si="45"/>
        <v>0.11863810790563989</v>
      </c>
      <c r="Q325" s="612">
        <f t="shared" si="46"/>
        <v>496.78017671403467</v>
      </c>
      <c r="R325" s="348">
        <f t="shared" si="47"/>
        <v>437172857661.6723</v>
      </c>
      <c r="S325" s="613">
        <f t="shared" si="48"/>
        <v>27444604256.582153</v>
      </c>
      <c r="T325" s="613">
        <f t="shared" si="50"/>
        <v>27444604256.582153</v>
      </c>
      <c r="U325" s="614" t="str">
        <f t="shared" si="51"/>
        <v/>
      </c>
    </row>
    <row r="326" spans="2:21">
      <c r="B326" s="690">
        <v>1315</v>
      </c>
      <c r="C326" s="71" t="s">
        <v>510</v>
      </c>
      <c r="D326" s="19" t="s">
        <v>511</v>
      </c>
      <c r="E326" s="70">
        <v>190.31</v>
      </c>
      <c r="F326" s="69">
        <v>2.1100000000000001E-6</v>
      </c>
      <c r="G326" s="69">
        <f t="shared" si="42"/>
        <v>4.0155410000000002E-4</v>
      </c>
      <c r="H326" s="69">
        <f t="shared" si="43"/>
        <v>3.2747199999999998E-4</v>
      </c>
      <c r="I326" s="72">
        <v>-1919.5</v>
      </c>
      <c r="J326" s="72">
        <f>AVERAGE(22.43,30.81)</f>
        <v>26.619999999999997</v>
      </c>
      <c r="K326" s="69">
        <f t="shared" si="49"/>
        <v>10086.175187851401</v>
      </c>
      <c r="L326" s="69">
        <f t="shared" si="44"/>
        <v>1195854352.3204584</v>
      </c>
      <c r="M326" s="71" t="s">
        <v>303</v>
      </c>
      <c r="N326" s="453">
        <f>91.224/'Singular Minerals'!E326</f>
        <v>0.47934422783878938</v>
      </c>
      <c r="O326" s="454">
        <f>0.0039/N326</f>
        <v>8.1361154959221239E-3</v>
      </c>
      <c r="P326" s="348">
        <f t="shared" si="45"/>
        <v>6.6350960273612192E-3</v>
      </c>
      <c r="Q326" s="612">
        <f t="shared" si="46"/>
        <v>39.189150013284362</v>
      </c>
      <c r="R326" s="348">
        <f t="shared" si="47"/>
        <v>136593374333872.7</v>
      </c>
      <c r="S326" s="613">
        <f t="shared" si="48"/>
        <v>2165003282.4992061</v>
      </c>
      <c r="T326" s="613">
        <f t="shared" si="50"/>
        <v>2165003282.4992061</v>
      </c>
      <c r="U326" s="614">
        <f>IF(ISNUMBER(N326),T326/N326,"")</f>
        <v>4516594039.8625784</v>
      </c>
    </row>
    <row r="327" spans="2:21" ht="15" thickBot="1">
      <c r="B327" s="691">
        <v>1316</v>
      </c>
      <c r="C327" s="475" t="s">
        <v>508</v>
      </c>
      <c r="D327" s="152" t="s">
        <v>509</v>
      </c>
      <c r="E327" s="155">
        <v>454.36</v>
      </c>
      <c r="F327" s="153">
        <v>5.68E-7</v>
      </c>
      <c r="G327" s="153">
        <f t="shared" si="42"/>
        <v>2.5807648000000002E-4</v>
      </c>
      <c r="H327" s="153">
        <f t="shared" si="43"/>
        <v>8.8153599999999996E-5</v>
      </c>
      <c r="I327" s="154">
        <v>-5416.5</v>
      </c>
      <c r="J327" s="154"/>
      <c r="K327" s="153">
        <f t="shared" si="49"/>
        <v>11921.163834844616</v>
      </c>
      <c r="L327" s="153">
        <f t="shared" si="44"/>
        <v>1413417414.5413637</v>
      </c>
      <c r="M327" s="475"/>
      <c r="N327" s="476"/>
      <c r="O327" s="477"/>
      <c r="P327" s="479" t="str">
        <f t="shared" si="45"/>
        <v/>
      </c>
      <c r="Q327" s="615" t="str">
        <f t="shared" si="46"/>
        <v/>
      </c>
      <c r="R327" s="479" t="str">
        <f t="shared" si="47"/>
        <v/>
      </c>
      <c r="S327" s="616" t="str">
        <f t="shared" si="48"/>
        <v/>
      </c>
      <c r="T327" s="616">
        <f t="shared" si="50"/>
        <v>1413417414.5413637</v>
      </c>
      <c r="U327" s="617" t="str">
        <f t="shared" si="51"/>
        <v/>
      </c>
    </row>
    <row r="329" spans="2:21">
      <c r="C329"/>
      <c r="D329" s="121"/>
      <c r="E329" s="121"/>
      <c r="F329"/>
      <c r="G329" s="18"/>
      <c r="H329" s="1"/>
      <c r="N329" s="1"/>
      <c r="O329"/>
      <c r="P329" s="16"/>
      <c r="Q329" s="3"/>
      <c r="R329" s="3"/>
    </row>
    <row r="330" spans="2:21">
      <c r="D330" s="121"/>
      <c r="E330" s="121"/>
      <c r="F330"/>
      <c r="G330" s="18"/>
    </row>
    <row r="331" spans="2:21">
      <c r="D331" s="121"/>
      <c r="E331" s="121"/>
      <c r="F331"/>
      <c r="G331" s="18"/>
    </row>
  </sheetData>
  <mergeCells count="4">
    <mergeCell ref="O10:S10"/>
    <mergeCell ref="C8:G8"/>
    <mergeCell ref="C7:H7"/>
    <mergeCell ref="F10:L10"/>
  </mergeCells>
  <phoneticPr fontId="45" type="noConversion"/>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4">
    <tabColor theme="2" tint="-0.249977111117893"/>
  </sheetPr>
  <dimension ref="B1:X193"/>
  <sheetViews>
    <sheetView topLeftCell="A168" zoomScale="60" zoomScaleNormal="60" zoomScalePageLayoutView="70" workbookViewId="0">
      <selection activeCell="D6" sqref="D6"/>
    </sheetView>
  </sheetViews>
  <sheetFormatPr defaultColWidth="21.81640625" defaultRowHeight="18.5"/>
  <cols>
    <col min="1" max="1" width="9.1796875" style="17" customWidth="1"/>
    <col min="2" max="2" width="8.81640625" style="17" customWidth="1"/>
    <col min="3" max="3" width="51.81640625" style="17" customWidth="1"/>
    <col min="4" max="4" width="32.1796875" style="17" customWidth="1"/>
    <col min="5" max="5" width="14.6328125" style="17" customWidth="1"/>
    <col min="6" max="6" width="15.81640625" style="17" customWidth="1"/>
    <col min="7" max="7" width="17.453125" style="17" customWidth="1"/>
    <col min="8" max="8" width="13.1796875" style="17" customWidth="1"/>
    <col min="9" max="9" width="13.36328125" style="17" customWidth="1"/>
    <col min="10" max="10" width="17.1796875" style="17" customWidth="1"/>
    <col min="11" max="11" width="16.36328125" customWidth="1"/>
    <col min="12" max="12" width="16.36328125" style="324" customWidth="1"/>
    <col min="13" max="13" width="14.1796875" style="17" customWidth="1"/>
    <col min="14" max="19" width="15.453125" style="17" customWidth="1"/>
    <col min="20" max="20" width="15.36328125" customWidth="1"/>
    <col min="21" max="21" width="20.453125" style="17" bestFit="1" customWidth="1"/>
    <col min="22" max="22" width="20.6328125" style="17" bestFit="1" customWidth="1"/>
    <col min="23" max="249" width="9.1796875" style="17" customWidth="1"/>
    <col min="250" max="250" width="78.36328125" style="17" customWidth="1"/>
    <col min="251" max="251" width="29.6328125" style="17" bestFit="1" customWidth="1"/>
    <col min="252" max="253" width="16.81640625" style="17" bestFit="1" customWidth="1"/>
    <col min="254" max="254" width="19.1796875" style="17" bestFit="1" customWidth="1"/>
    <col min="255" max="255" width="18.1796875" style="17" bestFit="1" customWidth="1"/>
    <col min="256" max="256" width="21.81640625" style="17" bestFit="1"/>
    <col min="257" max="16384" width="21.81640625" style="17"/>
  </cols>
  <sheetData>
    <row r="1" spans="2:13">
      <c r="B1" s="256" t="s">
        <v>1769</v>
      </c>
    </row>
    <row r="2" spans="2:13">
      <c r="B2" s="293" t="s">
        <v>1729</v>
      </c>
      <c r="C2" s="293" t="s">
        <v>1919</v>
      </c>
      <c r="F2"/>
      <c r="I2" s="121" t="s">
        <v>1724</v>
      </c>
      <c r="J2" s="813">
        <v>155.19999999999999</v>
      </c>
      <c r="K2" s="18" t="s">
        <v>993</v>
      </c>
      <c r="L2" s="18" t="s">
        <v>1731</v>
      </c>
      <c r="M2" s="18"/>
    </row>
    <row r="3" spans="2:13">
      <c r="B3" s="540">
        <v>2001</v>
      </c>
      <c r="C3" s="541" t="s">
        <v>1768</v>
      </c>
      <c r="F3"/>
      <c r="I3" s="121" t="s">
        <v>1708</v>
      </c>
      <c r="J3" s="3">
        <f>'Singular Minerals'!S6</f>
        <v>55244966.57277108</v>
      </c>
      <c r="K3" t="s">
        <v>1</v>
      </c>
      <c r="M3" s="18"/>
    </row>
    <row r="4" spans="2:13">
      <c r="B4" s="542">
        <v>2002</v>
      </c>
      <c r="C4" s="543" t="s">
        <v>1739</v>
      </c>
      <c r="F4" s="16"/>
      <c r="H4" s="121"/>
      <c r="M4" s="18"/>
    </row>
    <row r="5" spans="2:13">
      <c r="B5" s="542">
        <v>2003</v>
      </c>
      <c r="C5" s="543" t="s">
        <v>1740</v>
      </c>
      <c r="F5" s="121"/>
      <c r="H5" s="121"/>
      <c r="M5" s="1"/>
    </row>
    <row r="6" spans="2:13">
      <c r="B6" s="542">
        <v>2004</v>
      </c>
      <c r="C6" s="543" t="s">
        <v>1741</v>
      </c>
      <c r="F6" s="480"/>
      <c r="H6" s="121"/>
      <c r="M6" s="1"/>
    </row>
    <row r="7" spans="2:13">
      <c r="B7" s="542">
        <v>2005</v>
      </c>
      <c r="C7" s="543" t="s">
        <v>1742</v>
      </c>
      <c r="F7" s="480"/>
      <c r="H7" s="121"/>
      <c r="M7" s="1"/>
    </row>
    <row r="8" spans="2:13">
      <c r="B8" s="542">
        <v>2006</v>
      </c>
      <c r="C8" s="543" t="s">
        <v>1477</v>
      </c>
      <c r="F8" s="480"/>
      <c r="H8" s="121"/>
      <c r="M8" s="1"/>
    </row>
    <row r="9" spans="2:13">
      <c r="B9" s="542">
        <v>2007</v>
      </c>
      <c r="C9" s="543" t="s">
        <v>1478</v>
      </c>
      <c r="E9" s="765"/>
    </row>
    <row r="10" spans="2:13">
      <c r="B10" s="542">
        <v>2008</v>
      </c>
      <c r="C10" s="543" t="s">
        <v>1479</v>
      </c>
    </row>
    <row r="11" spans="2:13">
      <c r="B11" s="542">
        <v>2009</v>
      </c>
      <c r="C11" s="543" t="s">
        <v>1480</v>
      </c>
    </row>
    <row r="12" spans="2:13">
      <c r="B12" s="542">
        <v>2010</v>
      </c>
      <c r="C12" s="543" t="s">
        <v>1481</v>
      </c>
    </row>
    <row r="13" spans="2:13">
      <c r="B13" s="542">
        <v>2011</v>
      </c>
      <c r="C13" s="543" t="s">
        <v>1482</v>
      </c>
    </row>
    <row r="14" spans="2:13">
      <c r="B14" s="544">
        <v>2012</v>
      </c>
      <c r="C14" s="545" t="s">
        <v>1483</v>
      </c>
    </row>
    <row r="15" spans="2:13">
      <c r="B15" s="17">
        <f>MAX(B18:B309)</f>
        <v>2016</v>
      </c>
    </row>
    <row r="17" spans="2:23">
      <c r="B17" s="219"/>
      <c r="C17" s="219"/>
      <c r="D17" s="219"/>
      <c r="E17" s="219"/>
      <c r="F17" s="219"/>
      <c r="G17" s="219"/>
      <c r="H17" s="219"/>
      <c r="I17" s="219"/>
      <c r="J17" s="219"/>
      <c r="M17" s="219"/>
      <c r="N17" s="219"/>
      <c r="O17" s="219"/>
      <c r="P17" s="219"/>
      <c r="Q17" s="219"/>
      <c r="R17" s="219"/>
      <c r="S17" s="219"/>
      <c r="U17" s="219"/>
      <c r="V17" s="219"/>
      <c r="W17" s="219"/>
    </row>
    <row r="18" spans="2:23">
      <c r="B18" s="256" t="s">
        <v>1738</v>
      </c>
      <c r="D18" s="219"/>
      <c r="E18" s="481">
        <v>4</v>
      </c>
      <c r="F18" s="481">
        <v>3</v>
      </c>
      <c r="G18" s="481"/>
      <c r="H18" s="481"/>
      <c r="I18" s="481"/>
      <c r="J18" s="481">
        <v>10</v>
      </c>
      <c r="M18" s="481"/>
      <c r="N18" s="481"/>
      <c r="O18" s="481"/>
      <c r="P18" s="481"/>
      <c r="Q18" s="481"/>
      <c r="R18" s="481"/>
      <c r="S18" s="481"/>
      <c r="U18" s="219"/>
      <c r="V18" s="219"/>
      <c r="W18" s="219"/>
    </row>
    <row r="19" spans="2:23" ht="30">
      <c r="B19" s="574"/>
      <c r="C19" s="349" t="s">
        <v>294</v>
      </c>
      <c r="D19" s="349" t="s">
        <v>282</v>
      </c>
      <c r="E19" s="575" t="s">
        <v>1711</v>
      </c>
      <c r="F19" s="219"/>
      <c r="G19" s="219"/>
      <c r="H19" s="219"/>
      <c r="I19" s="219"/>
      <c r="J19" s="219"/>
      <c r="M19" s="219"/>
      <c r="N19" s="219"/>
      <c r="O19" s="219"/>
      <c r="P19" s="219"/>
      <c r="Q19" s="219"/>
      <c r="R19" s="219"/>
      <c r="S19" s="219"/>
      <c r="U19" s="219"/>
      <c r="V19" s="219"/>
      <c r="W19" s="219"/>
    </row>
    <row r="20" spans="2:23">
      <c r="B20" s="221"/>
      <c r="C20" s="573" t="s">
        <v>293</v>
      </c>
      <c r="D20" s="222" t="s">
        <v>279</v>
      </c>
      <c r="E20" s="223">
        <f>'EmCF Library'!AA24</f>
        <v>0.11</v>
      </c>
      <c r="F20" s="219"/>
      <c r="G20" s="219"/>
      <c r="H20" s="219"/>
      <c r="I20" s="219"/>
      <c r="J20" s="219"/>
      <c r="M20" s="219"/>
      <c r="N20" s="219"/>
      <c r="O20" s="219"/>
      <c r="P20" s="219"/>
      <c r="Q20" s="219"/>
      <c r="R20" s="219"/>
      <c r="S20" s="219"/>
      <c r="U20" s="219"/>
      <c r="V20" s="219"/>
      <c r="W20" s="219"/>
    </row>
    <row r="21" spans="2:23">
      <c r="B21" s="219"/>
      <c r="C21" s="224"/>
      <c r="D21" s="219"/>
      <c r="E21" s="225"/>
      <c r="F21" s="219"/>
      <c r="G21" s="225"/>
      <c r="H21" s="219"/>
      <c r="I21" s="226"/>
      <c r="J21" s="219"/>
      <c r="K21" s="17"/>
      <c r="L21" s="499"/>
      <c r="M21" s="219"/>
      <c r="N21" s="219"/>
      <c r="O21" s="219"/>
      <c r="P21" s="219"/>
      <c r="Q21" s="219"/>
      <c r="R21" s="219"/>
      <c r="S21" s="219"/>
      <c r="U21" s="227"/>
      <c r="V21" s="219"/>
      <c r="W21" s="219"/>
    </row>
    <row r="22" spans="2:23" s="351" customFormat="1" ht="47.5">
      <c r="B22" s="574" t="s">
        <v>1729</v>
      </c>
      <c r="C22" s="349" t="s">
        <v>200</v>
      </c>
      <c r="D22" s="349" t="s">
        <v>1709</v>
      </c>
      <c r="E22" s="495" t="s">
        <v>1734</v>
      </c>
      <c r="F22" s="496" t="s">
        <v>1735</v>
      </c>
      <c r="G22" s="349" t="s">
        <v>1751</v>
      </c>
      <c r="H22" s="349" t="s">
        <v>1752</v>
      </c>
      <c r="I22" s="349" t="s">
        <v>1758</v>
      </c>
      <c r="J22" s="497" t="s">
        <v>1736</v>
      </c>
      <c r="K22" s="496" t="s">
        <v>233</v>
      </c>
      <c r="L22" s="500" t="str">
        <f>CONCATENATE("Moles of ",K23," in Mineral")</f>
        <v>Moles of Al in Mineral</v>
      </c>
      <c r="M22" s="349" t="str">
        <f>CONCATENATE("% ",K23," in Mineral")</f>
        <v>% Al in Mineral</v>
      </c>
      <c r="N22" s="496" t="s">
        <v>1746</v>
      </c>
      <c r="O22" s="349" t="s">
        <v>1750</v>
      </c>
      <c r="P22" s="349" t="s">
        <v>1749</v>
      </c>
      <c r="Q22" s="498" t="s">
        <v>1748</v>
      </c>
      <c r="R22" s="349" t="s">
        <v>1758</v>
      </c>
      <c r="S22" s="349" t="s">
        <v>1753</v>
      </c>
      <c r="T22" s="498" t="s">
        <v>1759</v>
      </c>
      <c r="U22" s="589" t="s">
        <v>1771</v>
      </c>
      <c r="V22" s="227"/>
      <c r="W22" s="227"/>
    </row>
    <row r="23" spans="2:23">
      <c r="B23" s="585"/>
      <c r="C23" s="228" t="s">
        <v>292</v>
      </c>
      <c r="D23" s="228" t="s">
        <v>1367</v>
      </c>
      <c r="E23" s="229">
        <f>VLOOKUP($C23,'Singular Minerals'!$C$12:$T$327,'Multiple Minerals'!E$18,FALSE)</f>
        <v>1.77E-5</v>
      </c>
      <c r="F23" s="231">
        <f>VLOOKUP($C23,'Singular Minerals'!$C$12:$T$327,'Multiple Minerals'!F$18,FALSE)</f>
        <v>78.003557999999998</v>
      </c>
      <c r="G23" s="230">
        <f>E23*F23</f>
        <v>1.3806629766E-3</v>
      </c>
      <c r="H23" s="229">
        <f>E23*ave_crustal_molar_mass</f>
        <v>2.7470399999999996E-3</v>
      </c>
      <c r="I23" s="232">
        <f>E23/$E$26</f>
        <v>0.31134564643799473</v>
      </c>
      <c r="J23" s="229">
        <f>VLOOKUP($C23,'Singular Minerals'!$C$12:$T$327,'Multiple Minerals'!J$18,FALSE)</f>
        <v>1756790841.335912</v>
      </c>
      <c r="K23" s="586" t="s">
        <v>86</v>
      </c>
      <c r="L23" s="587">
        <v>1</v>
      </c>
      <c r="M23" s="232">
        <f>L23*VLOOKUP(K23,'Crust Element Composition'!$B$5:$E$81,4,FALSE)/F23</f>
        <v>0.34590088826460968</v>
      </c>
      <c r="N23" s="240">
        <f>$E$20/M23</f>
        <v>0.31801016919000052</v>
      </c>
      <c r="O23" s="484">
        <f>(N23/F23)*$J$2</f>
        <v>0.6327298334043695</v>
      </c>
      <c r="P23" s="485">
        <f>standard_temperature*gas_constant*LN(O23/H23)/F23</f>
        <v>172.85858906876734</v>
      </c>
      <c r="Q23" s="230">
        <f>P23*$J$3</f>
        <v>9549566974.9204235</v>
      </c>
      <c r="R23" s="230"/>
      <c r="S23" s="230">
        <f>MAX(J23,Q23)</f>
        <v>9549566974.9204235</v>
      </c>
      <c r="T23" s="609"/>
      <c r="U23" s="620"/>
      <c r="V23" s="219"/>
      <c r="W23" s="219"/>
    </row>
    <row r="24" spans="2:23">
      <c r="B24" s="585"/>
      <c r="C24" s="228" t="s">
        <v>291</v>
      </c>
      <c r="D24" s="228" t="s">
        <v>289</v>
      </c>
      <c r="E24" s="229">
        <f>VLOOKUP($C24,'Singular Minerals'!$C$12:$T$327,'Multiple Minerals'!E$18,FALSE)</f>
        <v>2.9499999999999999E-5</v>
      </c>
      <c r="F24" s="231">
        <f>VLOOKUP($C24,'Singular Minerals'!$C$12:$T$327,'Multiple Minerals'!F$18,FALSE)</f>
        <v>59.988</v>
      </c>
      <c r="G24" s="230">
        <f>E24*F24</f>
        <v>1.7696459999999999E-3</v>
      </c>
      <c r="H24" s="229">
        <f>E24*ave_crustal_molar_mass</f>
        <v>4.5783999999999998E-3</v>
      </c>
      <c r="I24" s="232">
        <f>E24/$E$26</f>
        <v>0.51890941072999119</v>
      </c>
      <c r="J24" s="229">
        <f>VLOOKUP($C24,'Singular Minerals'!$C$12:$T$327,'Multiple Minerals'!J$18,FALSE)</f>
        <v>1813597061.2252316</v>
      </c>
      <c r="K24" s="586" t="s">
        <v>86</v>
      </c>
      <c r="L24" s="587">
        <v>1</v>
      </c>
      <c r="M24" s="232">
        <f>L24*VLOOKUP(K24,'Crust Element Composition'!$B$5:$E$81,4,FALSE)/F24</f>
        <v>0.44978162299126495</v>
      </c>
      <c r="N24" s="240">
        <f>$E$20/M24</f>
        <v>0.24456312658673535</v>
      </c>
      <c r="O24" s="484">
        <f>(N24/F24)*$J$2</f>
        <v>0.6327298334043695</v>
      </c>
      <c r="P24" s="485">
        <f>standard_temperature*gas_constant*LN(O24/H24)/F24</f>
        <v>203.66307703646075</v>
      </c>
      <c r="Q24" s="230">
        <f>P24*$J$3</f>
        <v>11251359882.986975</v>
      </c>
      <c r="R24" s="230"/>
      <c r="S24" s="230">
        <f>MAX(J24,Q24)</f>
        <v>11251359882.986975</v>
      </c>
      <c r="T24" s="609"/>
      <c r="U24" s="620"/>
      <c r="V24" s="219"/>
      <c r="W24" s="219"/>
    </row>
    <row r="25" spans="2:23">
      <c r="B25" s="585"/>
      <c r="C25" s="228" t="s">
        <v>290</v>
      </c>
      <c r="D25" s="228" t="s">
        <v>289</v>
      </c>
      <c r="E25" s="229">
        <f>VLOOKUP($C25,'Singular Minerals'!$C$12:$T$327,'Multiple Minerals'!E$18,FALSE)</f>
        <v>9.6500000000000008E-6</v>
      </c>
      <c r="F25" s="231">
        <f>VLOOKUP($C25,'Singular Minerals'!$C$12:$T$327,'Multiple Minerals'!F$18,FALSE)</f>
        <v>59.988</v>
      </c>
      <c r="G25" s="230">
        <f>E25*F25</f>
        <v>5.7888420000000006E-4</v>
      </c>
      <c r="H25" s="229">
        <f>E25*ave_crustal_molar_mass</f>
        <v>1.4976799999999999E-3</v>
      </c>
      <c r="I25" s="232">
        <f>E25/$E$26</f>
        <v>0.16974494283201408</v>
      </c>
      <c r="J25" s="229">
        <f>VLOOKUP($C25,'Singular Minerals'!$C$12:$T$327,'Multiple Minerals'!J$18,FALSE)</f>
        <v>1806679461.275048</v>
      </c>
      <c r="K25" s="586" t="s">
        <v>86</v>
      </c>
      <c r="L25" s="587">
        <v>1</v>
      </c>
      <c r="M25" s="232">
        <f>L25*VLOOKUP(K25,'Crust Element Composition'!$B$5:$E$81,4,FALSE)/F25</f>
        <v>0.44978162299126495</v>
      </c>
      <c r="N25" s="240">
        <f>$E$20/M25</f>
        <v>0.24456312658673535</v>
      </c>
      <c r="O25" s="484">
        <f>(N25/F25)*$J$2</f>
        <v>0.6327298334043695</v>
      </c>
      <c r="P25" s="485">
        <f>standard_temperature*gas_constant*LN(O25/H25)/F25</f>
        <v>249.8375227117217</v>
      </c>
      <c r="Q25" s="230">
        <f>P25*$J$3</f>
        <v>13802265590.833</v>
      </c>
      <c r="R25" s="230"/>
      <c r="S25" s="230">
        <f>MAX(J25,Q25)</f>
        <v>13802265590.833</v>
      </c>
      <c r="T25" s="609"/>
      <c r="U25" s="620"/>
      <c r="V25" s="219"/>
      <c r="W25" s="219"/>
    </row>
    <row r="26" spans="2:23" s="351" customFormat="1" ht="18" customHeight="1">
      <c r="B26" s="252">
        <v>2001</v>
      </c>
      <c r="C26" s="247"/>
      <c r="D26" s="247"/>
      <c r="E26" s="352">
        <f>SUM(E23:E25)</f>
        <v>5.6849999999999999E-5</v>
      </c>
      <c r="F26" s="492"/>
      <c r="G26" s="352"/>
      <c r="H26" s="352"/>
      <c r="I26" s="494">
        <f>SUM(I23:I25)</f>
        <v>1</v>
      </c>
      <c r="J26" s="352">
        <f>SUMPRODUCT(J23:J25,I23:I25)</f>
        <v>1794736464.3640137</v>
      </c>
      <c r="K26" s="482"/>
      <c r="L26" s="501"/>
      <c r="M26" s="493">
        <f>SUMPRODUCT(I23:I25,M23:M25)</f>
        <v>0.41743880848534065</v>
      </c>
      <c r="N26" s="493"/>
      <c r="O26" s="352"/>
      <c r="P26" s="492"/>
      <c r="Q26" s="492"/>
      <c r="R26" s="492"/>
      <c r="S26" s="352">
        <f>SUMPRODUCT(S23:S25,I23:I25)</f>
        <v>11154517413.469582</v>
      </c>
      <c r="T26" s="504">
        <f>MAX(J26,S26)</f>
        <v>11154517413.469582</v>
      </c>
      <c r="U26" s="588">
        <f>T26/M26</f>
        <v>26721323429.278854</v>
      </c>
      <c r="V26" s="227"/>
      <c r="W26" s="227"/>
    </row>
    <row r="27" spans="2:23" s="351" customFormat="1" ht="24" customHeight="1">
      <c r="B27" s="220"/>
      <c r="C27" s="235" t="s">
        <v>1308</v>
      </c>
      <c r="D27" s="227"/>
      <c r="E27" s="253"/>
      <c r="F27" s="227"/>
      <c r="G27" s="227"/>
      <c r="H27" s="227"/>
      <c r="I27" s="219"/>
      <c r="J27" s="227"/>
      <c r="K27" s="253"/>
      <c r="L27" s="502"/>
      <c r="M27" s="227"/>
      <c r="N27" s="253"/>
      <c r="O27" s="253"/>
      <c r="P27" s="253"/>
      <c r="Q27" s="253"/>
      <c r="R27" s="253"/>
      <c r="S27" s="253"/>
      <c r="U27" s="227"/>
      <c r="V27" s="227"/>
      <c r="W27" s="227"/>
    </row>
    <row r="28" spans="2:23" s="351" customFormat="1">
      <c r="B28" s="220"/>
      <c r="C28" s="456" t="s">
        <v>1710</v>
      </c>
      <c r="D28" s="227"/>
      <c r="E28" s="253"/>
      <c r="F28" s="227"/>
      <c r="G28" s="227"/>
      <c r="H28" s="227"/>
      <c r="I28" s="219"/>
      <c r="J28" s="227"/>
      <c r="K28" s="253"/>
      <c r="L28" s="502"/>
      <c r="M28" s="227"/>
      <c r="N28" s="253"/>
      <c r="O28" s="253"/>
      <c r="P28" s="253"/>
      <c r="Q28" s="253"/>
      <c r="R28" s="253"/>
      <c r="S28" s="253"/>
      <c r="U28" s="227"/>
      <c r="V28" s="227"/>
      <c r="W28" s="227"/>
    </row>
    <row r="29" spans="2:23">
      <c r="B29" s="219"/>
      <c r="C29" s="219"/>
      <c r="D29" s="219"/>
      <c r="E29" s="237"/>
      <c r="F29" s="219"/>
      <c r="G29" s="237"/>
      <c r="H29" s="219"/>
      <c r="I29" s="220"/>
      <c r="J29" s="219"/>
      <c r="K29" s="219"/>
      <c r="L29" s="503"/>
      <c r="M29" s="238"/>
      <c r="N29" s="219"/>
      <c r="O29" s="219"/>
      <c r="P29" s="219"/>
      <c r="Q29" s="219"/>
      <c r="R29" s="219"/>
      <c r="S29" s="219"/>
      <c r="U29" s="236"/>
      <c r="V29" s="239"/>
      <c r="W29" s="219"/>
    </row>
    <row r="30" spans="2:23">
      <c r="B30" s="256" t="s">
        <v>1739</v>
      </c>
      <c r="D30" s="219"/>
      <c r="E30" s="237"/>
      <c r="F30" s="219"/>
      <c r="G30" s="237"/>
      <c r="H30" s="219"/>
      <c r="I30" s="220"/>
      <c r="J30" s="219" t="s">
        <v>1309</v>
      </c>
      <c r="M30" s="238"/>
      <c r="N30" s="219"/>
      <c r="O30" s="219"/>
      <c r="P30" s="219"/>
      <c r="Q30" s="219"/>
      <c r="R30" s="219"/>
      <c r="S30" s="219"/>
      <c r="U30" s="220"/>
      <c r="V30" s="236"/>
      <c r="W30" s="219"/>
    </row>
    <row r="31" spans="2:23">
      <c r="B31" s="574"/>
      <c r="C31" s="349" t="s">
        <v>244</v>
      </c>
      <c r="D31" s="349" t="s">
        <v>282</v>
      </c>
      <c r="E31" s="575" t="s">
        <v>287</v>
      </c>
      <c r="F31" s="219"/>
      <c r="G31" s="219"/>
      <c r="H31" s="219"/>
      <c r="I31" s="219"/>
      <c r="J31" s="219"/>
      <c r="M31" s="219"/>
      <c r="N31" s="219"/>
      <c r="O31" s="219"/>
      <c r="P31" s="219"/>
      <c r="Q31" s="219"/>
      <c r="R31" s="219"/>
      <c r="S31" s="219"/>
      <c r="U31" s="219"/>
      <c r="V31" s="219"/>
      <c r="W31" s="219"/>
    </row>
    <row r="32" spans="2:23">
      <c r="B32" s="576"/>
      <c r="C32" s="577" t="s">
        <v>286</v>
      </c>
      <c r="D32" s="577" t="s">
        <v>279</v>
      </c>
      <c r="E32" s="578">
        <f>'EmCF Library'!AA60</f>
        <v>0.25</v>
      </c>
      <c r="F32" s="219"/>
      <c r="G32" s="219"/>
      <c r="H32" s="219"/>
      <c r="I32" s="227"/>
      <c r="J32" s="219"/>
      <c r="M32" s="227"/>
      <c r="N32" s="227"/>
      <c r="O32" s="227"/>
      <c r="P32" s="227"/>
      <c r="Q32" s="227"/>
      <c r="R32" s="227"/>
      <c r="S32" s="227"/>
      <c r="U32" s="227"/>
      <c r="V32" s="219"/>
      <c r="W32" s="219"/>
    </row>
    <row r="33" spans="2:23" s="351" customFormat="1">
      <c r="B33" s="220"/>
      <c r="C33" s="224"/>
      <c r="D33" s="219"/>
      <c r="E33" s="225"/>
      <c r="F33" s="219"/>
      <c r="G33" s="225"/>
      <c r="H33" s="219"/>
      <c r="I33" s="219"/>
      <c r="J33" s="219"/>
      <c r="K33" s="219"/>
      <c r="L33" s="503"/>
      <c r="M33" s="219"/>
      <c r="N33" s="219"/>
      <c r="O33" s="219"/>
      <c r="P33" s="219"/>
      <c r="Q33" s="219"/>
      <c r="R33" s="219"/>
      <c r="S33" s="219"/>
      <c r="U33" s="219"/>
      <c r="V33" s="219"/>
      <c r="W33" s="227"/>
    </row>
    <row r="34" spans="2:23" ht="47.5">
      <c r="B34" s="574" t="s">
        <v>1729</v>
      </c>
      <c r="C34" s="349" t="s">
        <v>200</v>
      </c>
      <c r="D34" s="349" t="s">
        <v>1709</v>
      </c>
      <c r="E34" s="495" t="s">
        <v>1734</v>
      </c>
      <c r="F34" s="496" t="s">
        <v>1735</v>
      </c>
      <c r="G34" s="349" t="s">
        <v>1751</v>
      </c>
      <c r="H34" s="349" t="s">
        <v>1752</v>
      </c>
      <c r="I34" s="349" t="s">
        <v>1758</v>
      </c>
      <c r="J34" s="497" t="s">
        <v>1736</v>
      </c>
      <c r="K34" s="496" t="s">
        <v>233</v>
      </c>
      <c r="L34" s="500" t="str">
        <f>CONCATENATE("Moles of ",K35," in Mineral")</f>
        <v>Moles of Fe in Mineral</v>
      </c>
      <c r="M34" s="349" t="str">
        <f>CONCATENATE("% ",K35," in Mineral")</f>
        <v>% Fe in Mineral</v>
      </c>
      <c r="N34" s="496" t="s">
        <v>1746</v>
      </c>
      <c r="O34" s="349" t="s">
        <v>1750</v>
      </c>
      <c r="P34" s="349" t="s">
        <v>1749</v>
      </c>
      <c r="Q34" s="498" t="s">
        <v>1748</v>
      </c>
      <c r="R34" s="349" t="s">
        <v>1758</v>
      </c>
      <c r="S34" s="349" t="s">
        <v>1753</v>
      </c>
      <c r="T34" s="498" t="s">
        <v>1759</v>
      </c>
      <c r="U34" s="589" t="s">
        <v>1771</v>
      </c>
      <c r="V34" s="219"/>
      <c r="W34" s="219"/>
    </row>
    <row r="35" spans="2:23">
      <c r="B35" s="594"/>
      <c r="C35" s="595" t="s">
        <v>221</v>
      </c>
      <c r="D35" s="595" t="s">
        <v>1368</v>
      </c>
      <c r="E35" s="597">
        <f>VLOOKUP($C35,'Singular Minerals'!$C$12:$T$327,'Multiple Minerals'!E$18,FALSE)</f>
        <v>6.0499999999999997E-6</v>
      </c>
      <c r="F35" s="598">
        <f>VLOOKUP($C35,'Singular Minerals'!$C$12:$T$327,'Multiple Minerals'!F$18,FALSE)</f>
        <v>159.69999999999999</v>
      </c>
      <c r="G35" s="599">
        <f>E35*F35</f>
        <v>9.6618499999999983E-4</v>
      </c>
      <c r="H35" s="597">
        <f>E35*ave_crustal_molar_mass</f>
        <v>9.3895999999999986E-4</v>
      </c>
      <c r="I35" s="600">
        <f>E35/$E$38</f>
        <v>0.14258779165684657</v>
      </c>
      <c r="J35" s="597">
        <f>VLOOKUP($C35,'Singular Minerals'!$C$12:$T$327,'Multiple Minerals'!J$18,FALSE)</f>
        <v>551020574.41519272</v>
      </c>
      <c r="K35" s="601" t="s">
        <v>106</v>
      </c>
      <c r="L35" s="602">
        <v>2</v>
      </c>
      <c r="M35" s="603">
        <f>L35*VLOOKUP(K35,'Crust Element Composition'!$B$5:$E$81,4,FALSE)/F35</f>
        <v>0.69937382592360675</v>
      </c>
      <c r="N35" s="600">
        <f>$E$32/M35</f>
        <v>0.35746261975109678</v>
      </c>
      <c r="O35" s="604">
        <f>(N35/F35)*$J$2</f>
        <v>0.34739009759154804</v>
      </c>
      <c r="P35" s="605">
        <f>standard_temperature*gas_constant*LN(O35/H35)/F35</f>
        <v>91.786631717511952</v>
      </c>
      <c r="Q35" s="599">
        <f>P35*$J$3</f>
        <v>5070749401.0611973</v>
      </c>
      <c r="R35" s="599"/>
      <c r="S35" s="599">
        <f>MAX(J35,Q35)</f>
        <v>5070749401.0611973</v>
      </c>
      <c r="T35" s="618"/>
      <c r="U35" s="619"/>
      <c r="V35" s="219"/>
      <c r="W35" s="219"/>
    </row>
    <row r="36" spans="2:23">
      <c r="B36" s="585"/>
      <c r="C36" s="228" t="s">
        <v>206</v>
      </c>
      <c r="D36" s="228" t="s">
        <v>1369</v>
      </c>
      <c r="E36" s="229">
        <f>VLOOKUP($C36,'Singular Minerals'!$C$12:$T$327,'Multiple Minerals'!E$18,FALSE)</f>
        <v>3.43E-5</v>
      </c>
      <c r="F36" s="231">
        <f>VLOOKUP($C36,'Singular Minerals'!$C$12:$T$327,'Multiple Minerals'!F$18,FALSE)</f>
        <v>231.55</v>
      </c>
      <c r="G36" s="230">
        <f>E36*F36</f>
        <v>7.942165000000001E-3</v>
      </c>
      <c r="H36" s="229">
        <f>E36*ave_crustal_molar_mass</f>
        <v>5.3233600000000001E-3</v>
      </c>
      <c r="I36" s="240">
        <f>E36/$E$38</f>
        <v>0.80839028988922934</v>
      </c>
      <c r="J36" s="229">
        <f>VLOOKUP($C36,'Singular Minerals'!$C$12:$T$327,'Multiple Minerals'!J$18,FALSE)</f>
        <v>520185157.52353114</v>
      </c>
      <c r="K36" s="586" t="s">
        <v>106</v>
      </c>
      <c r="L36" s="587">
        <v>3</v>
      </c>
      <c r="M36" s="232">
        <f>L36*VLOOKUP(K36,'Crust Element Composition'!$B$5:$E$81,4,FALSE)/F36</f>
        <v>0.72353703303822059</v>
      </c>
      <c r="N36" s="240">
        <f>$E$32/M36</f>
        <v>0.34552481571015015</v>
      </c>
      <c r="O36" s="484">
        <f>(N36/F36)*$J$2</f>
        <v>0.23159339839436532</v>
      </c>
      <c r="P36" s="485">
        <f>standard_temperature*gas_constant*LN(O36/H36)/F36</f>
        <v>40.389909011356444</v>
      </c>
      <c r="Q36" s="230">
        <f>P36*$J$3</f>
        <v>2231339173.2096519</v>
      </c>
      <c r="R36" s="230"/>
      <c r="S36" s="230">
        <f>MAX(J36,Q36)</f>
        <v>2231339173.2096519</v>
      </c>
      <c r="T36" s="609"/>
      <c r="U36" s="620"/>
      <c r="V36" s="219"/>
      <c r="W36" s="219"/>
    </row>
    <row r="37" spans="2:23">
      <c r="B37" s="585"/>
      <c r="C37" s="228" t="s">
        <v>285</v>
      </c>
      <c r="D37" s="228" t="s">
        <v>1370</v>
      </c>
      <c r="E37" s="229">
        <f>VLOOKUP($C37,'Singular Minerals'!$C$12:$T$327,'Multiple Minerals'!E$18,FALSE)</f>
        <v>2.08E-6</v>
      </c>
      <c r="F37" s="231">
        <f>VLOOKUP($C37,'Singular Minerals'!$C$12:$T$327,'Multiple Minerals'!F$18,FALSE)</f>
        <v>115.85429999999999</v>
      </c>
      <c r="G37" s="230">
        <f>E37*F37</f>
        <v>2.40976944E-4</v>
      </c>
      <c r="H37" s="229">
        <f>E37*ave_crustal_molar_mass</f>
        <v>3.2281599999999997E-4</v>
      </c>
      <c r="I37" s="240">
        <f>E37/$E$38</f>
        <v>4.9021918453924111E-2</v>
      </c>
      <c r="J37" s="229">
        <f>VLOOKUP($C37,'Singular Minerals'!$C$12:$T$327,'Multiple Minerals'!J$18,FALSE)</f>
        <v>686794585.41132379</v>
      </c>
      <c r="K37" s="586" t="s">
        <v>106</v>
      </c>
      <c r="L37" s="587">
        <v>1</v>
      </c>
      <c r="M37" s="232">
        <f>L37*VLOOKUP(K37,'Crust Element Composition'!$B$5:$E$81,4,FALSE)/F37</f>
        <v>0.48202785740365273</v>
      </c>
      <c r="N37" s="240">
        <f>$E$32/M37</f>
        <v>0.51864222401289284</v>
      </c>
      <c r="O37" s="484">
        <f>(N37/F37)*$J$2</f>
        <v>0.69478019518309608</v>
      </c>
      <c r="P37" s="485">
        <f>standard_temperature*gas_constant*LN(O37/H37)/F37</f>
        <v>164.19867763440158</v>
      </c>
      <c r="Q37" s="230">
        <f>P37*$J$3</f>
        <v>9071150457.2057285</v>
      </c>
      <c r="R37" s="230"/>
      <c r="S37" s="230">
        <f>MAX(J37,Q37)</f>
        <v>9071150457.2057285</v>
      </c>
      <c r="T37" s="609"/>
      <c r="U37" s="620"/>
      <c r="V37" s="219"/>
      <c r="W37" s="219"/>
    </row>
    <row r="38" spans="2:23">
      <c r="B38" s="252">
        <v>2002</v>
      </c>
      <c r="C38" s="247"/>
      <c r="D38" s="247"/>
      <c r="E38" s="352">
        <f>SUM(E35:E37)</f>
        <v>4.2429999999999999E-5</v>
      </c>
      <c r="F38" s="492"/>
      <c r="G38" s="352"/>
      <c r="H38" s="352"/>
      <c r="I38" s="494">
        <f>SUM(I35:I37)</f>
        <v>1</v>
      </c>
      <c r="J38" s="352">
        <f>SUMPRODUCT(J35:J37,I35:I37)</f>
        <v>532749425.31050175</v>
      </c>
      <c r="K38" s="482"/>
      <c r="L38" s="501"/>
      <c r="M38" s="493">
        <f>SUMPRODUCT(I35:I37,M35:M37)</f>
        <v>0.70825241158256858</v>
      </c>
      <c r="N38" s="493"/>
      <c r="O38" s="352"/>
      <c r="P38" s="492"/>
      <c r="Q38" s="492"/>
      <c r="R38" s="492"/>
      <c r="S38" s="352">
        <f>SUMPRODUCT(S35:S37,I35:I37)</f>
        <v>2971505078.211153</v>
      </c>
      <c r="T38" s="504">
        <f>MAX(J38,S38)</f>
        <v>2971505078.211153</v>
      </c>
      <c r="U38" s="588">
        <f>T38/M38</f>
        <v>4195545302.2340083</v>
      </c>
      <c r="V38" s="219"/>
      <c r="W38" s="219"/>
    </row>
    <row r="39" spans="2:23" ht="24" customHeight="1">
      <c r="B39" s="219"/>
      <c r="C39" s="235" t="s">
        <v>1310</v>
      </c>
      <c r="D39" s="227"/>
      <c r="E39" s="253"/>
      <c r="F39" s="227"/>
      <c r="G39" s="227"/>
      <c r="H39" s="227"/>
      <c r="I39" s="219"/>
      <c r="J39" s="227"/>
      <c r="K39" s="253"/>
      <c r="L39" s="502"/>
      <c r="M39" s="227"/>
      <c r="N39" s="253"/>
      <c r="O39" s="253"/>
      <c r="P39" s="253"/>
      <c r="Q39" s="253"/>
      <c r="R39" s="253"/>
      <c r="S39" s="253"/>
      <c r="U39" s="219"/>
      <c r="V39" s="219"/>
      <c r="W39" s="219"/>
    </row>
    <row r="40" spans="2:23" s="351" customFormat="1">
      <c r="B40" s="220"/>
      <c r="C40" s="227"/>
      <c r="D40" s="227"/>
      <c r="E40" s="253"/>
      <c r="F40" s="227"/>
      <c r="G40" s="227"/>
      <c r="H40" s="227"/>
      <c r="I40" s="253"/>
      <c r="J40" s="227"/>
      <c r="K40" s="253"/>
      <c r="L40" s="502"/>
      <c r="M40" s="227"/>
      <c r="N40" s="253"/>
      <c r="O40" s="253"/>
      <c r="P40" s="253"/>
      <c r="Q40" s="253"/>
      <c r="R40" s="253"/>
      <c r="S40" s="253"/>
      <c r="U40" s="253"/>
      <c r="V40" s="253"/>
      <c r="W40" s="227"/>
    </row>
    <row r="41" spans="2:23" s="351" customFormat="1">
      <c r="B41" s="256" t="s">
        <v>1740</v>
      </c>
      <c r="D41" s="219"/>
      <c r="E41" s="219"/>
      <c r="F41" s="219"/>
      <c r="G41" s="219"/>
      <c r="H41" s="219"/>
      <c r="I41" s="219"/>
      <c r="J41" s="219"/>
      <c r="K41" s="219"/>
      <c r="L41" s="503"/>
      <c r="M41" s="219"/>
      <c r="N41" s="219"/>
      <c r="O41" s="219"/>
      <c r="P41" s="219"/>
      <c r="Q41" s="219"/>
      <c r="R41" s="219"/>
      <c r="S41" s="219"/>
      <c r="U41" s="219"/>
      <c r="V41" s="219"/>
      <c r="W41" s="227"/>
    </row>
    <row r="42" spans="2:23">
      <c r="B42" s="574"/>
      <c r="C42" s="349" t="s">
        <v>244</v>
      </c>
      <c r="D42" s="349" t="s">
        <v>282</v>
      </c>
      <c r="E42" s="575" t="s">
        <v>281</v>
      </c>
      <c r="F42" s="219"/>
      <c r="G42" s="219"/>
      <c r="H42" s="219"/>
      <c r="I42" s="237"/>
      <c r="J42" s="219"/>
      <c r="K42" s="219"/>
      <c r="L42" s="503"/>
      <c r="M42" s="242"/>
      <c r="N42" s="219"/>
      <c r="O42" s="219"/>
      <c r="P42" s="219"/>
      <c r="Q42" s="219"/>
      <c r="R42" s="219"/>
      <c r="S42" s="219"/>
      <c r="U42" s="219"/>
      <c r="V42" s="219"/>
      <c r="W42" s="219"/>
    </row>
    <row r="43" spans="2:23">
      <c r="B43" s="590"/>
      <c r="C43" s="591" t="s">
        <v>280</v>
      </c>
      <c r="D43" s="591" t="s">
        <v>279</v>
      </c>
      <c r="E43" s="592">
        <v>1.04E-2</v>
      </c>
      <c r="F43" s="219"/>
      <c r="G43" s="219"/>
      <c r="H43" s="219"/>
      <c r="I43" s="219"/>
      <c r="J43" s="219"/>
      <c r="K43" s="219"/>
      <c r="L43" s="503"/>
      <c r="M43" s="219"/>
      <c r="N43" s="219"/>
      <c r="O43" s="219"/>
      <c r="P43" s="219"/>
      <c r="Q43" s="219"/>
      <c r="R43" s="219"/>
      <c r="S43" s="219"/>
      <c r="U43" s="219"/>
      <c r="V43" s="219"/>
      <c r="W43" s="219"/>
    </row>
    <row r="44" spans="2:23">
      <c r="B44" s="585"/>
      <c r="C44" s="243" t="s">
        <v>278</v>
      </c>
      <c r="D44" s="228"/>
      <c r="E44" s="244"/>
      <c r="F44" s="219"/>
      <c r="G44" s="219"/>
      <c r="H44" s="219"/>
      <c r="I44" s="219"/>
      <c r="J44" s="219"/>
      <c r="K44" s="219"/>
      <c r="L44" s="503"/>
      <c r="M44" s="219"/>
      <c r="N44" s="219"/>
      <c r="O44" s="219"/>
      <c r="P44" s="219"/>
      <c r="Q44" s="219"/>
      <c r="R44" s="219"/>
      <c r="S44" s="219"/>
      <c r="U44" s="219"/>
      <c r="V44" s="219"/>
      <c r="W44" s="219"/>
    </row>
    <row r="45" spans="2:23">
      <c r="B45" s="611"/>
      <c r="C45" s="234" t="s">
        <v>277</v>
      </c>
      <c r="D45" s="245"/>
      <c r="E45" s="246"/>
      <c r="F45" s="219"/>
      <c r="G45" s="219"/>
      <c r="H45" s="219"/>
      <c r="I45" s="219"/>
      <c r="J45" s="219"/>
      <c r="K45" s="219"/>
      <c r="L45" s="503"/>
      <c r="M45" s="219"/>
      <c r="N45" s="219"/>
      <c r="O45" s="219"/>
      <c r="P45" s="219"/>
      <c r="Q45" s="219"/>
      <c r="R45" s="219"/>
      <c r="S45" s="219"/>
      <c r="U45" s="219"/>
      <c r="V45" s="219"/>
      <c r="W45" s="219"/>
    </row>
    <row r="46" spans="2:23">
      <c r="B46" s="219"/>
      <c r="C46" s="219"/>
      <c r="D46" s="219"/>
      <c r="E46" s="219"/>
      <c r="F46" s="219"/>
      <c r="G46" s="219"/>
      <c r="H46" s="219"/>
      <c r="I46" s="219"/>
      <c r="J46" s="219"/>
      <c r="K46" s="219"/>
      <c r="L46" s="503"/>
      <c r="M46" s="219"/>
      <c r="N46" s="219"/>
      <c r="O46" s="219"/>
      <c r="P46" s="219"/>
      <c r="Q46" s="219"/>
      <c r="R46" s="219"/>
      <c r="S46" s="219"/>
      <c r="U46" s="219"/>
      <c r="V46" s="219"/>
      <c r="W46" s="219"/>
    </row>
    <row r="47" spans="2:23" ht="47.5">
      <c r="B47" s="574" t="s">
        <v>1729</v>
      </c>
      <c r="C47" s="349" t="s">
        <v>200</v>
      </c>
      <c r="D47" s="349" t="s">
        <v>1709</v>
      </c>
      <c r="E47" s="495" t="s">
        <v>1734</v>
      </c>
      <c r="F47" s="496" t="s">
        <v>1735</v>
      </c>
      <c r="G47" s="349" t="s">
        <v>1751</v>
      </c>
      <c r="H47" s="349" t="s">
        <v>1752</v>
      </c>
      <c r="I47" s="349" t="s">
        <v>1758</v>
      </c>
      <c r="J47" s="497" t="s">
        <v>1736</v>
      </c>
      <c r="K47" s="496" t="s">
        <v>233</v>
      </c>
      <c r="L47" s="500" t="str">
        <f>CONCATENATE("Moles of ",K48," in Mineral")</f>
        <v>Moles of Ni in Mineral</v>
      </c>
      <c r="M47" s="349" t="str">
        <f>CONCATENATE("% ",K48," in Mineral")</f>
        <v>% Ni in Mineral</v>
      </c>
      <c r="N47" s="496" t="s">
        <v>1746</v>
      </c>
      <c r="O47" s="349" t="s">
        <v>1750</v>
      </c>
      <c r="P47" s="349" t="s">
        <v>1749</v>
      </c>
      <c r="Q47" s="498" t="s">
        <v>1748</v>
      </c>
      <c r="R47" s="349" t="s">
        <v>1758</v>
      </c>
      <c r="S47" s="349" t="s">
        <v>1753</v>
      </c>
      <c r="T47" s="498" t="s">
        <v>1759</v>
      </c>
      <c r="U47" s="589" t="s">
        <v>1771</v>
      </c>
      <c r="V47" s="219"/>
      <c r="W47" s="219"/>
    </row>
    <row r="48" spans="2:23">
      <c r="B48" s="594">
        <v>2014</v>
      </c>
      <c r="C48" s="595" t="s">
        <v>276</v>
      </c>
      <c r="D48" s="596" t="s">
        <v>1757</v>
      </c>
      <c r="E48" s="597">
        <f>VLOOKUP($C48,'Singular Minerals'!$C$12:$T$327,'Multiple Minerals'!E$18,FALSE)</f>
        <v>1.18E-8</v>
      </c>
      <c r="F48" s="598">
        <f>VLOOKUP($C48,'Singular Minerals'!$C$12:$T$327,'Multiple Minerals'!F$18,FALSE)</f>
        <v>345.89</v>
      </c>
      <c r="G48" s="599">
        <f>E48*F48</f>
        <v>4.0815019999999994E-6</v>
      </c>
      <c r="H48" s="597">
        <f>E48*ave_crustal_molar_mass</f>
        <v>1.8313599999999999E-6</v>
      </c>
      <c r="I48" s="600">
        <f>E48/$E$50</f>
        <v>0.13689095127610207</v>
      </c>
      <c r="J48" s="597">
        <f>VLOOKUP($C48,'Singular Minerals'!$C$12:$T$327,'Multiple Minerals'!J$18,FALSE)</f>
        <v>1119892155.5945442</v>
      </c>
      <c r="K48" s="601" t="s">
        <v>120</v>
      </c>
      <c r="L48" s="602">
        <v>2</v>
      </c>
      <c r="M48" s="603">
        <f>L48*VLOOKUP(K48,'Crust Element Composition'!$B$5:$E$81,4,FALSE)/F48</f>
        <v>0.33937610222903236</v>
      </c>
      <c r="N48" s="600">
        <f>$E43/M48</f>
        <v>3.0644467691426973E-2</v>
      </c>
      <c r="O48" s="604">
        <f>(N48/F48)*$J$2</f>
        <v>1.3750097966721981E-2</v>
      </c>
      <c r="P48" s="605">
        <f>standard_temperature*gas_constant*LN(O48/H48)/F48</f>
        <v>63.95195878600839</v>
      </c>
      <c r="Q48" s="599">
        <f>P48*$J$3</f>
        <v>3533023825.3962674</v>
      </c>
      <c r="R48" s="599"/>
      <c r="S48" s="599">
        <f>MAX(J48,Q48)</f>
        <v>3533023825.3962674</v>
      </c>
      <c r="T48" s="599">
        <f>MAX(J48,S48)</f>
        <v>3533023825.3962674</v>
      </c>
      <c r="U48" s="626">
        <f>T48/M48</f>
        <v>10410349468.307467</v>
      </c>
      <c r="V48" s="219"/>
      <c r="W48" s="219"/>
    </row>
    <row r="49" spans="2:23">
      <c r="B49" s="585">
        <v>2015</v>
      </c>
      <c r="C49" s="228" t="s">
        <v>274</v>
      </c>
      <c r="D49" s="241" t="s">
        <v>1371</v>
      </c>
      <c r="E49" s="229">
        <f>VLOOKUP($C49,'Singular Minerals'!$C$12:$T$327,'Multiple Minerals'!E$18,FALSE)</f>
        <v>7.4400000000000004E-8</v>
      </c>
      <c r="F49" s="231">
        <f>VLOOKUP($C49,'Singular Minerals'!$C$12:$T$327,'Multiple Minerals'!F$18,FALSE)</f>
        <v>771.94</v>
      </c>
      <c r="G49" s="230">
        <f>E49*F49</f>
        <v>5.7432336000000008E-5</v>
      </c>
      <c r="H49" s="229">
        <f>E49*ave_crustal_molar_mass</f>
        <v>1.154688E-5</v>
      </c>
      <c r="I49" s="232">
        <f>E49/$E$50</f>
        <v>0.86310904872389793</v>
      </c>
      <c r="J49" s="229">
        <f>VLOOKUP($C49,'Singular Minerals'!$C$12:$T$327,'Multiple Minerals'!J$18,FALSE)</f>
        <v>117682092.88244104</v>
      </c>
      <c r="K49" s="586" t="s">
        <v>120</v>
      </c>
      <c r="L49" s="587">
        <v>4.5</v>
      </c>
      <c r="M49" s="232">
        <f>L49*VLOOKUP(K49,'Crust Element Composition'!$B$5:$E$81,4,FALSE)/F49</f>
        <v>0.34215133300515582</v>
      </c>
      <c r="N49" s="240">
        <f>$E$43/M49</f>
        <v>3.0395906713720982E-2</v>
      </c>
      <c r="O49" s="484">
        <f>(N49/F49)*$J$2</f>
        <v>6.1111546518764354E-3</v>
      </c>
      <c r="P49" s="485">
        <f>standard_temperature*gas_constant*LN(O49/H49)/F49</f>
        <v>20.138617348293987</v>
      </c>
      <c r="Q49" s="230">
        <f>P49*$J$3</f>
        <v>1112557242.2283292</v>
      </c>
      <c r="R49" s="230"/>
      <c r="S49" s="230">
        <f>MAX(J49,Q49)</f>
        <v>1112557242.2283292</v>
      </c>
      <c r="T49" s="230">
        <f>MAX(J49,S49)</f>
        <v>1112557242.2283292</v>
      </c>
      <c r="U49" s="627">
        <f>T49/M49</f>
        <v>3251652514.2737474</v>
      </c>
      <c r="V49" s="219"/>
      <c r="W49" s="219"/>
    </row>
    <row r="50" spans="2:23">
      <c r="B50" s="252">
        <v>2003</v>
      </c>
      <c r="C50" s="247"/>
      <c r="D50" s="247"/>
      <c r="E50" s="352">
        <f>SUM(E48:E49)</f>
        <v>8.6200000000000004E-8</v>
      </c>
      <c r="F50" s="492"/>
      <c r="G50" s="352"/>
      <c r="H50" s="352"/>
      <c r="I50" s="494">
        <f>SUM(I47:I49)</f>
        <v>1</v>
      </c>
      <c r="J50" s="352">
        <f>SUMPRODUCT(J48:J49,I48:I49)</f>
        <v>254875581.74558276</v>
      </c>
      <c r="K50" s="482"/>
      <c r="L50" s="501"/>
      <c r="M50" s="493">
        <f>SUMPRODUCT(I48:I49,M48:M49)</f>
        <v>0.34177142902420155</v>
      </c>
      <c r="N50" s="493"/>
      <c r="O50" s="352"/>
      <c r="P50" s="492"/>
      <c r="Q50" s="492"/>
      <c r="R50" s="492"/>
      <c r="S50" s="352">
        <f>SUMPRODUCT(S48:S49,I48:I49)</f>
        <v>1443897215.3302047</v>
      </c>
      <c r="T50" s="504">
        <f>MAX(J50,S50)</f>
        <v>1443897215.3302047</v>
      </c>
      <c r="U50" s="588">
        <f>T50/M50</f>
        <v>4224745232.3697877</v>
      </c>
      <c r="V50" s="219"/>
      <c r="W50" s="219"/>
    </row>
    <row r="51" spans="2:23" ht="24" customHeight="1">
      <c r="B51" s="219"/>
      <c r="C51" s="219" t="s">
        <v>283</v>
      </c>
      <c r="D51" s="219"/>
      <c r="E51" s="219"/>
      <c r="F51" s="219"/>
      <c r="G51" s="219"/>
      <c r="H51" s="219"/>
      <c r="I51" s="219"/>
      <c r="J51" s="219"/>
      <c r="K51" s="219"/>
      <c r="L51" s="503"/>
      <c r="M51" s="219"/>
      <c r="N51" s="219"/>
      <c r="O51" s="219"/>
      <c r="P51" s="219"/>
      <c r="Q51" s="219"/>
      <c r="R51" s="219"/>
      <c r="S51" s="219"/>
      <c r="U51" s="219"/>
      <c r="V51" s="219"/>
      <c r="W51" s="219"/>
    </row>
    <row r="52" spans="2:23" ht="24" customHeight="1">
      <c r="B52" s="219"/>
      <c r="C52" s="219"/>
      <c r="D52" s="219"/>
      <c r="E52" s="219"/>
      <c r="F52" s="219"/>
      <c r="G52" s="219"/>
      <c r="H52" s="219"/>
      <c r="I52" s="219"/>
      <c r="J52" s="219"/>
      <c r="K52" s="219"/>
      <c r="L52" s="503"/>
      <c r="M52" s="219"/>
      <c r="N52" s="219"/>
      <c r="O52" s="219"/>
      <c r="P52" s="219"/>
      <c r="Q52" s="219"/>
      <c r="R52" s="219"/>
      <c r="S52" s="219"/>
      <c r="U52" s="219"/>
      <c r="V52" s="219"/>
      <c r="W52" s="219"/>
    </row>
    <row r="53" spans="2:23">
      <c r="B53" s="256" t="s">
        <v>1779</v>
      </c>
      <c r="D53" s="219"/>
      <c r="E53" s="219"/>
      <c r="F53" s="219"/>
      <c r="G53" s="219"/>
      <c r="H53" s="219"/>
      <c r="I53" s="219"/>
      <c r="J53" s="219"/>
      <c r="K53" s="219"/>
      <c r="L53" s="503"/>
      <c r="M53" s="219"/>
      <c r="N53" s="219"/>
      <c r="O53" s="219"/>
      <c r="P53" s="219"/>
      <c r="Q53" s="219"/>
      <c r="R53" s="219"/>
      <c r="S53" s="219"/>
      <c r="U53" s="219"/>
      <c r="V53" s="219"/>
      <c r="W53" s="219"/>
    </row>
    <row r="54" spans="2:23">
      <c r="B54" s="574"/>
      <c r="C54" s="349" t="s">
        <v>244</v>
      </c>
      <c r="D54" s="349" t="s">
        <v>282</v>
      </c>
      <c r="E54" s="575" t="s">
        <v>1071</v>
      </c>
      <c r="F54" s="227"/>
      <c r="G54" s="219"/>
      <c r="H54" s="219"/>
      <c r="I54" s="219"/>
      <c r="J54" s="219"/>
      <c r="K54" s="219"/>
      <c r="L54" s="219"/>
      <c r="M54" s="503"/>
      <c r="N54" s="219"/>
      <c r="O54" s="219"/>
      <c r="P54" s="219"/>
      <c r="Q54" s="219"/>
      <c r="R54" s="219"/>
      <c r="S54" s="219"/>
      <c r="U54" s="219"/>
      <c r="V54" s="219"/>
      <c r="W54" s="219"/>
    </row>
    <row r="55" spans="2:23">
      <c r="B55" s="590"/>
      <c r="C55" s="591" t="s">
        <v>991</v>
      </c>
      <c r="D55" s="591" t="s">
        <v>279</v>
      </c>
      <c r="E55" s="592">
        <f>0.00004</f>
        <v>4.0000000000000003E-5</v>
      </c>
      <c r="F55" s="219"/>
      <c r="G55" s="219"/>
      <c r="H55" s="219"/>
      <c r="I55" s="219"/>
      <c r="J55" s="219"/>
      <c r="K55" s="219"/>
      <c r="L55" s="219"/>
      <c r="M55" s="503"/>
      <c r="N55" s="219"/>
      <c r="O55" s="219"/>
      <c r="P55" s="219"/>
      <c r="Q55" s="219"/>
      <c r="R55" s="219"/>
      <c r="S55" s="219"/>
      <c r="U55" s="219"/>
      <c r="V55" s="219"/>
      <c r="W55" s="219"/>
    </row>
    <row r="56" spans="2:23">
      <c r="B56" s="219"/>
      <c r="C56" s="219"/>
      <c r="D56" s="219"/>
      <c r="E56" s="219"/>
      <c r="F56" s="219"/>
      <c r="G56" s="219"/>
      <c r="H56" s="219"/>
      <c r="I56" s="219"/>
      <c r="J56" s="219"/>
      <c r="K56" s="219"/>
      <c r="L56" s="503"/>
      <c r="M56" s="219"/>
      <c r="N56" s="219"/>
      <c r="O56" s="219"/>
      <c r="P56" s="219"/>
      <c r="Q56" s="219"/>
      <c r="R56" s="219"/>
      <c r="S56" s="219"/>
      <c r="U56" s="219"/>
      <c r="V56" s="219"/>
      <c r="W56" s="219"/>
    </row>
    <row r="57" spans="2:23" ht="47.5">
      <c r="B57" s="574" t="s">
        <v>1729</v>
      </c>
      <c r="C57" s="349" t="s">
        <v>200</v>
      </c>
      <c r="D57" s="349" t="s">
        <v>1709</v>
      </c>
      <c r="E57" s="495" t="s">
        <v>1734</v>
      </c>
      <c r="F57" s="496" t="s">
        <v>1735</v>
      </c>
      <c r="G57" s="349" t="s">
        <v>1751</v>
      </c>
      <c r="H57" s="349" t="s">
        <v>1752</v>
      </c>
      <c r="I57" s="349" t="s">
        <v>1758</v>
      </c>
      <c r="J57" s="497" t="s">
        <v>1736</v>
      </c>
      <c r="K57" s="496" t="s">
        <v>233</v>
      </c>
      <c r="L57" s="500" t="str">
        <f>CONCATENATE("Moles of ",K58," in Mineral")</f>
        <v>Moles of Ag in Mineral</v>
      </c>
      <c r="M57" s="349" t="str">
        <f>CONCATENATE("% ",K58," in Mineral")</f>
        <v>% Ag in Mineral</v>
      </c>
      <c r="N57" s="496" t="s">
        <v>1746</v>
      </c>
      <c r="O57" s="349" t="s">
        <v>1750</v>
      </c>
      <c r="P57" s="349" t="s">
        <v>1749</v>
      </c>
      <c r="Q57" s="498" t="s">
        <v>1748</v>
      </c>
      <c r="R57" s="349" t="s">
        <v>1758</v>
      </c>
      <c r="S57" s="349" t="s">
        <v>1753</v>
      </c>
      <c r="T57" s="498" t="s">
        <v>1759</v>
      </c>
      <c r="U57" s="589" t="s">
        <v>1771</v>
      </c>
      <c r="V57" s="219"/>
      <c r="W57" s="219"/>
    </row>
    <row r="58" spans="2:23">
      <c r="B58" s="594"/>
      <c r="C58" s="595" t="s">
        <v>618</v>
      </c>
      <c r="D58" s="596" t="str">
        <f>VLOOKUP(C58,Mineral_table,2,FALSE)</f>
        <v>Ag3SbS3</v>
      </c>
      <c r="E58" s="597">
        <f>VLOOKUP($C58,'Singular Minerals'!$C$12:$T$327,'Multiple Minerals'!E$18,FALSE)</f>
        <v>2.3800000000000001E-11</v>
      </c>
      <c r="F58" s="598">
        <f>VLOOKUP($C58,'Singular Minerals'!$C$12:$T$327,'Multiple Minerals'!F$18,FALSE)</f>
        <v>541.54999999999995</v>
      </c>
      <c r="G58" s="599">
        <f>E58*F58</f>
        <v>1.288889E-8</v>
      </c>
      <c r="H58" s="597">
        <f>E58*ave_crustal_molar_mass</f>
        <v>3.6937599999999999E-9</v>
      </c>
      <c r="I58" s="232">
        <f>E58/$E$63</f>
        <v>0.21765173892765366</v>
      </c>
      <c r="J58" s="597">
        <f>VLOOKUP($C58,'Singular Minerals'!$C$12:$T$327,'Multiple Minerals'!J$18,FALSE)</f>
        <v>31132415.464821868</v>
      </c>
      <c r="K58" s="601" t="s">
        <v>333</v>
      </c>
      <c r="L58" s="602">
        <v>3</v>
      </c>
      <c r="M58" s="603">
        <f>L58*VLOOKUP(K58,'Crust Element Composition'!$B$5:$E$81,4,FALSE)/F58</f>
        <v>0.59755258055581206</v>
      </c>
      <c r="N58" s="606">
        <f>$E$55/M58</f>
        <v>6.6939715937288909E-5</v>
      </c>
      <c r="O58" s="604">
        <f>(N58/F58)*$J$2</f>
        <v>1.9183905296772669E-5</v>
      </c>
      <c r="P58" s="605">
        <f>standard_temperature*gas_constant*LN(O58/H58)/F58</f>
        <v>39.15935485736756</v>
      </c>
      <c r="Q58" s="599">
        <f>P58*$J$3</f>
        <v>2163357250.1065516</v>
      </c>
      <c r="R58" s="599"/>
      <c r="S58" s="599">
        <f>MAX(J58,Q58)</f>
        <v>2163357250.1065516</v>
      </c>
      <c r="T58" s="618"/>
      <c r="U58" s="619"/>
      <c r="V58" s="219"/>
      <c r="W58" s="219"/>
    </row>
    <row r="59" spans="2:23">
      <c r="B59" s="585"/>
      <c r="C59" s="228" t="s">
        <v>597</v>
      </c>
      <c r="D59" s="241" t="str">
        <f>VLOOKUP(C59,Mineral_table,2,FALSE)</f>
        <v>Ag4MnSb2S6</v>
      </c>
      <c r="E59" s="229">
        <f>VLOOKUP($C59,'Singular Minerals'!$C$12:$T$327,'Multiple Minerals'!E$18,FALSE)</f>
        <v>5.2899999999999997E-13</v>
      </c>
      <c r="F59" s="231">
        <f>VLOOKUP($C59,'Singular Minerals'!$C$12:$T$327,'Multiple Minerals'!F$18,FALSE)</f>
        <v>922.32410000000004</v>
      </c>
      <c r="G59" s="229">
        <f>E59*F59</f>
        <v>4.8790944889999997E-10</v>
      </c>
      <c r="H59" s="229">
        <f>E59*ave_crustal_molar_mass</f>
        <v>8.210079999999999E-11</v>
      </c>
      <c r="I59" s="232">
        <f>E59/$E$63</f>
        <v>4.8377214240642339E-3</v>
      </c>
      <c r="J59" s="229">
        <f>VLOOKUP($C59,'Singular Minerals'!$C$12:$T$327,'Multiple Minerals'!J$18,FALSE)</f>
        <v>59582395.919698358</v>
      </c>
      <c r="K59" s="586" t="s">
        <v>333</v>
      </c>
      <c r="L59" s="587">
        <v>4</v>
      </c>
      <c r="M59" s="232">
        <f>L59*VLOOKUP(K59,'Crust Element Composition'!$B$5:$E$81,4,FALSE)/F59</f>
        <v>0.46781039333136798</v>
      </c>
      <c r="N59" s="251">
        <f>$E$55/M59</f>
        <v>8.5504727065066451E-5</v>
      </c>
      <c r="O59" s="484">
        <f>(N59/F59)*$J$2</f>
        <v>1.43879289725795E-5</v>
      </c>
      <c r="P59" s="485">
        <f>standard_temperature*gas_constant*LN(O59/H59)/F59</f>
        <v>32.449703730349761</v>
      </c>
      <c r="Q59" s="230">
        <f>P59*$J$3</f>
        <v>1792682797.8794975</v>
      </c>
      <c r="R59" s="230"/>
      <c r="S59" s="230">
        <f>MAX(J59,Q59)</f>
        <v>1792682797.8794975</v>
      </c>
      <c r="T59" s="609"/>
      <c r="U59" s="620"/>
      <c r="V59" s="219"/>
      <c r="W59" s="219"/>
    </row>
    <row r="60" spans="2:23">
      <c r="B60" s="585"/>
      <c r="C60" s="228" t="s">
        <v>572</v>
      </c>
      <c r="D60" s="241" t="str">
        <f>VLOOKUP(C60,Mineral_table,2,FALSE)</f>
        <v>Ag5SbS4</v>
      </c>
      <c r="E60" s="229">
        <f>VLOOKUP($C60,'Singular Minerals'!$C$12:$T$327,'Multiple Minerals'!E$18,FALSE)</f>
        <v>7.7200000000000002E-12</v>
      </c>
      <c r="F60" s="231">
        <f>VLOOKUP($C60,'Singular Minerals'!$C$12:$T$327,'Multiple Minerals'!F$18,FALSE)</f>
        <v>789.36320000000001</v>
      </c>
      <c r="G60" s="229">
        <f>E60*F60</f>
        <v>6.0938839039999998E-9</v>
      </c>
      <c r="H60" s="229">
        <f>E60*ave_crustal_molar_mass</f>
        <v>1.198144E-9</v>
      </c>
      <c r="I60" s="232">
        <f>E60/$E$63</f>
        <v>7.0599639685776733E-2</v>
      </c>
      <c r="J60" s="229">
        <f>VLOOKUP($C60,'Singular Minerals'!$C$12:$T$327,'Multiple Minerals'!J$18,FALSE)</f>
        <v>27712217.313630894</v>
      </c>
      <c r="K60" s="586" t="s">
        <v>333</v>
      </c>
      <c r="L60" s="587">
        <v>5</v>
      </c>
      <c r="M60" s="232">
        <f>L60*VLOOKUP(K60,'Crust Element Composition'!$B$5:$E$81,4,FALSE)/F60</f>
        <v>0.68326088675023111</v>
      </c>
      <c r="N60" s="251">
        <f>$E$55/M60</f>
        <v>5.85427920369488E-5</v>
      </c>
      <c r="O60" s="484">
        <f>(N60/F60)*$J$2</f>
        <v>1.15103431780636E-5</v>
      </c>
      <c r="P60" s="485">
        <f>standard_temperature*gas_constant*LN(O60/H60)/F60</f>
        <v>28.797054874101249</v>
      </c>
      <c r="Q60" s="230">
        <f>P60*$J$3</f>
        <v>1590892333.9139781</v>
      </c>
      <c r="R60" s="230"/>
      <c r="S60" s="230">
        <f>MAX(J60,Q60)</f>
        <v>1590892333.9139781</v>
      </c>
      <c r="T60" s="609"/>
      <c r="U60" s="620"/>
      <c r="V60" s="219"/>
      <c r="W60" s="219"/>
    </row>
    <row r="61" spans="2:23">
      <c r="B61" s="585"/>
      <c r="C61" s="228" t="s">
        <v>883</v>
      </c>
      <c r="D61" s="241" t="str">
        <f>VLOOKUP(C61,Mineral_table,2,FALSE)</f>
        <v>Ag2S</v>
      </c>
      <c r="E61" s="229">
        <f>VLOOKUP($C61,'Singular Minerals'!$C$12:$T$327,'Multiple Minerals'!E$18,FALSE)</f>
        <v>2.74E-11</v>
      </c>
      <c r="F61" s="231">
        <f>VLOOKUP($C61,'Singular Minerals'!$C$12:$T$327,'Multiple Minerals'!F$18,FALSE)</f>
        <v>247.80189999999999</v>
      </c>
      <c r="G61" s="229">
        <f>E61*F61</f>
        <v>6.7897720599999999E-9</v>
      </c>
      <c r="H61" s="229">
        <f>E61*ave_crustal_molar_mass</f>
        <v>4.2524799999999998E-9</v>
      </c>
      <c r="I61" s="232">
        <f>E61/$E$63</f>
        <v>0.25057385069822313</v>
      </c>
      <c r="J61" s="229">
        <f>VLOOKUP($C61,'Singular Minerals'!$C$12:$T$327,'Multiple Minerals'!J$18,FALSE)</f>
        <v>19282005.191828765</v>
      </c>
      <c r="K61" s="586" t="s">
        <v>333</v>
      </c>
      <c r="L61" s="587">
        <v>2</v>
      </c>
      <c r="M61" s="232">
        <f>L61*VLOOKUP(K61,'Crust Element Composition'!$B$5:$E$81,4,FALSE)/F61</f>
        <v>0.87060026577681615</v>
      </c>
      <c r="N61" s="251">
        <f>$E$55/M61</f>
        <v>4.5945311036987732E-5</v>
      </c>
      <c r="O61" s="484">
        <f>(N61/F61)*$J$2</f>
        <v>2.8775857945158999E-5</v>
      </c>
      <c r="P61" s="485">
        <f>standard_temperature*gas_constant*LN(O61/H61)/F61</f>
        <v>88.22637430453365</v>
      </c>
      <c r="Q61" s="230">
        <f>P61*$J$3</f>
        <v>4874063099.2907505</v>
      </c>
      <c r="R61" s="230"/>
      <c r="S61" s="230">
        <f>MAX(J61,Q61)</f>
        <v>4874063099.2907505</v>
      </c>
      <c r="T61" s="609"/>
      <c r="U61" s="620"/>
      <c r="V61" s="219"/>
      <c r="W61" s="219"/>
    </row>
    <row r="62" spans="2:23">
      <c r="B62" s="585"/>
      <c r="C62" s="228" t="s">
        <v>854</v>
      </c>
      <c r="D62" s="241" t="str">
        <f>VLOOKUP(C62,Mineral_table,2,FALSE)</f>
        <v>Ag2S</v>
      </c>
      <c r="E62" s="229">
        <f>VLOOKUP($C62,'Singular Minerals'!$C$12:$T$327,'Multiple Minerals'!E$18,FALSE)</f>
        <v>4.9899999999999997E-11</v>
      </c>
      <c r="F62" s="231">
        <f>VLOOKUP($C62,'Singular Minerals'!$C$12:$T$327,'Multiple Minerals'!F$18,FALSE)</f>
        <v>247.80189999999999</v>
      </c>
      <c r="G62" s="229">
        <f>E62*F62</f>
        <v>1.2365314809999999E-8</v>
      </c>
      <c r="H62" s="229">
        <f>E62*ave_crustal_molar_mass</f>
        <v>7.7444799999999989E-9</v>
      </c>
      <c r="I62" s="232">
        <f>E62/$E$63</f>
        <v>0.4563370492642822</v>
      </c>
      <c r="J62" s="229">
        <f>VLOOKUP($C62,'Singular Minerals'!$C$12:$T$327,'Multiple Minerals'!J$18,FALSE)</f>
        <v>18851389.691266831</v>
      </c>
      <c r="K62" s="586" t="s">
        <v>333</v>
      </c>
      <c r="L62" s="587">
        <v>2</v>
      </c>
      <c r="M62" s="232">
        <f>L62*VLOOKUP(K62,'Crust Element Composition'!$B$5:$E$81,4,FALSE)/F62</f>
        <v>0.87060026577681615</v>
      </c>
      <c r="N62" s="251">
        <f>$E$55/M62</f>
        <v>4.5945311036987732E-5</v>
      </c>
      <c r="O62" s="484">
        <f>(N62/F62)*$J$2</f>
        <v>2.8775857945158999E-5</v>
      </c>
      <c r="P62" s="485">
        <f>standard_temperature*gas_constant*LN(O62/H62)/F62</f>
        <v>82.22965882307966</v>
      </c>
      <c r="Q62" s="230">
        <f>P62*$J$3</f>
        <v>4542774752.971406</v>
      </c>
      <c r="R62" s="230"/>
      <c r="S62" s="230">
        <f>MAX(J62,Q62)</f>
        <v>4542774752.971406</v>
      </c>
      <c r="T62" s="609"/>
      <c r="U62" s="620"/>
      <c r="V62" s="219"/>
      <c r="W62" s="219"/>
    </row>
    <row r="63" spans="2:23">
      <c r="B63" s="252">
        <v>2004</v>
      </c>
      <c r="C63" s="247"/>
      <c r="D63" s="247"/>
      <c r="E63" s="352">
        <f>SUM(E58:E62)</f>
        <v>1.0934900000000001E-10</v>
      </c>
      <c r="F63" s="492"/>
      <c r="G63" s="352"/>
      <c r="H63" s="352"/>
      <c r="I63" s="494">
        <f>SUM(I58:I62)</f>
        <v>1</v>
      </c>
      <c r="J63" s="352">
        <f>SUMPRODUCT(J58:J62,$I$58:$I$62)</f>
        <v>22454893.789754219</v>
      </c>
      <c r="K63" s="482"/>
      <c r="L63" s="501"/>
      <c r="M63" s="493">
        <f>SUMPRODUCT(M58:M62,I58:I62)</f>
        <v>0.79599628442473458</v>
      </c>
      <c r="N63" s="493"/>
      <c r="O63" s="352"/>
      <c r="P63" s="492"/>
      <c r="Q63" s="492"/>
      <c r="R63" s="492"/>
      <c r="S63" s="352">
        <f>SUMPRODUCT(S58:S62,I58:I62)</f>
        <v>3886196578.5171313</v>
      </c>
      <c r="T63" s="504">
        <f>MAX(J63,S63)</f>
        <v>3886196578.5171313</v>
      </c>
      <c r="U63" s="588">
        <f>T63/M63</f>
        <v>4882179294.7509546</v>
      </c>
      <c r="V63" s="219"/>
      <c r="W63" s="219"/>
    </row>
    <row r="64" spans="2:23">
      <c r="B64" s="219"/>
      <c r="C64" s="219"/>
      <c r="D64" s="219"/>
      <c r="E64" s="219"/>
      <c r="F64" s="219"/>
      <c r="G64" s="219"/>
      <c r="H64" s="219"/>
      <c r="I64" s="219"/>
      <c r="J64" s="219"/>
      <c r="K64" s="219"/>
      <c r="L64" s="503"/>
      <c r="M64" s="219"/>
      <c r="N64" s="219"/>
      <c r="O64" s="219"/>
      <c r="P64" s="219"/>
      <c r="Q64" s="219"/>
      <c r="R64" s="219"/>
      <c r="S64" s="219"/>
      <c r="U64" s="219"/>
      <c r="V64" s="219"/>
      <c r="W64" s="219"/>
    </row>
    <row r="65" spans="2:24">
      <c r="B65" s="256" t="s">
        <v>1780</v>
      </c>
      <c r="D65" s="219"/>
      <c r="E65" s="219"/>
      <c r="F65" s="219"/>
      <c r="G65" s="219"/>
      <c r="H65" s="219"/>
      <c r="I65" s="219"/>
      <c r="J65" s="219"/>
      <c r="K65" s="219"/>
      <c r="L65" s="503"/>
      <c r="M65" s="219"/>
      <c r="N65" s="219"/>
      <c r="O65" s="219"/>
      <c r="P65" s="219"/>
      <c r="Q65" s="219"/>
      <c r="R65" s="219"/>
      <c r="S65" s="219"/>
      <c r="U65" s="219"/>
      <c r="V65" s="219"/>
      <c r="W65" s="219"/>
    </row>
    <row r="66" spans="2:24">
      <c r="B66" s="574"/>
      <c r="C66" s="349" t="s">
        <v>244</v>
      </c>
      <c r="D66" s="349" t="s">
        <v>282</v>
      </c>
      <c r="E66" s="575" t="s">
        <v>1071</v>
      </c>
      <c r="F66" s="227"/>
      <c r="G66" s="219"/>
      <c r="H66" s="219"/>
      <c r="I66" s="219"/>
      <c r="J66" s="219"/>
      <c r="K66" s="219"/>
      <c r="L66" s="219"/>
      <c r="M66" s="503"/>
      <c r="N66" s="219"/>
      <c r="O66" s="219"/>
      <c r="P66" s="219"/>
      <c r="Q66" s="219"/>
      <c r="R66" s="219"/>
      <c r="S66" s="219"/>
      <c r="U66" s="219"/>
      <c r="V66" s="219"/>
      <c r="W66" s="219"/>
      <c r="X66" s="219"/>
    </row>
    <row r="67" spans="2:24">
      <c r="B67" s="593"/>
      <c r="C67" s="249" t="s">
        <v>990</v>
      </c>
      <c r="D67" s="249"/>
      <c r="E67" s="250">
        <f>0.0000012</f>
        <v>1.1999999999999999E-6</v>
      </c>
      <c r="F67" s="225"/>
      <c r="G67" s="219"/>
      <c r="H67" s="219"/>
      <c r="I67" s="219"/>
      <c r="J67" s="219"/>
      <c r="K67" s="219"/>
      <c r="L67" s="219"/>
      <c r="M67" s="503"/>
      <c r="N67" s="219"/>
      <c r="O67" s="219"/>
      <c r="P67" s="219"/>
      <c r="Q67" s="219"/>
      <c r="R67" s="219"/>
      <c r="S67" s="219"/>
      <c r="U67" s="219"/>
      <c r="V67" s="219"/>
      <c r="W67" s="219"/>
      <c r="X67" s="219"/>
    </row>
    <row r="68" spans="2:24">
      <c r="B68" s="219"/>
      <c r="C68" s="219"/>
      <c r="D68" s="219"/>
      <c r="E68" s="219"/>
      <c r="F68" s="219"/>
      <c r="G68" s="219"/>
      <c r="H68" s="219"/>
      <c r="I68" s="219"/>
      <c r="J68" s="219"/>
      <c r="K68" s="219"/>
      <c r="L68" s="503"/>
      <c r="M68" s="219"/>
      <c r="N68" s="219"/>
      <c r="O68" s="219"/>
      <c r="P68" s="219"/>
      <c r="Q68" s="219"/>
      <c r="R68" s="219"/>
      <c r="S68" s="219"/>
      <c r="U68" s="219"/>
      <c r="V68" s="219"/>
      <c r="W68" s="219"/>
    </row>
    <row r="69" spans="2:24" ht="47.5">
      <c r="B69" s="574" t="s">
        <v>1729</v>
      </c>
      <c r="C69" s="349" t="s">
        <v>200</v>
      </c>
      <c r="D69" s="349" t="s">
        <v>1709</v>
      </c>
      <c r="E69" s="495" t="s">
        <v>1734</v>
      </c>
      <c r="F69" s="496" t="s">
        <v>1735</v>
      </c>
      <c r="G69" s="349" t="s">
        <v>1751</v>
      </c>
      <c r="H69" s="349" t="s">
        <v>1752</v>
      </c>
      <c r="I69" s="349" t="s">
        <v>1758</v>
      </c>
      <c r="J69" s="497" t="s">
        <v>1736</v>
      </c>
      <c r="K69" s="496" t="s">
        <v>233</v>
      </c>
      <c r="L69" s="500" t="str">
        <f>CONCATENATE("Moles of ",K70," in Mineral")</f>
        <v>Moles of Ag in Mineral</v>
      </c>
      <c r="M69" s="349" t="str">
        <f>CONCATENATE("% ",K70," in Mineral")</f>
        <v>% Ag in Mineral</v>
      </c>
      <c r="N69" s="496" t="s">
        <v>1746</v>
      </c>
      <c r="O69" s="349" t="s">
        <v>1750</v>
      </c>
      <c r="P69" s="349" t="s">
        <v>1749</v>
      </c>
      <c r="Q69" s="498" t="s">
        <v>1748</v>
      </c>
      <c r="R69" s="349" t="s">
        <v>1758</v>
      </c>
      <c r="S69" s="349" t="s">
        <v>1753</v>
      </c>
      <c r="T69" s="498" t="s">
        <v>1759</v>
      </c>
      <c r="U69" s="589" t="s">
        <v>1771</v>
      </c>
      <c r="V69" s="219"/>
      <c r="W69" s="219"/>
    </row>
    <row r="70" spans="2:24">
      <c r="B70" s="594"/>
      <c r="C70" s="595" t="s">
        <v>618</v>
      </c>
      <c r="D70" s="596" t="str">
        <f>VLOOKUP(C70,Mineral_table,2,FALSE)</f>
        <v>Ag3SbS3</v>
      </c>
      <c r="E70" s="597">
        <f>VLOOKUP($C70,'Singular Minerals'!$C$12:$T$327,'Multiple Minerals'!E$18,FALSE)</f>
        <v>2.3800000000000001E-11</v>
      </c>
      <c r="F70" s="598">
        <f>VLOOKUP($C70,'Singular Minerals'!$C$12:$T$327,'Multiple Minerals'!F$18,FALSE)</f>
        <v>541.54999999999995</v>
      </c>
      <c r="G70" s="599">
        <f>E70*F70</f>
        <v>1.288889E-8</v>
      </c>
      <c r="H70" s="597">
        <f>E70*ave_crustal_molar_mass</f>
        <v>3.6937599999999999E-9</v>
      </c>
      <c r="I70" s="603">
        <f>E70/$E$75</f>
        <v>0.21765173892765366</v>
      </c>
      <c r="J70" s="597">
        <f>VLOOKUP($C70,'Singular Minerals'!$C$12:$T$327,'Multiple Minerals'!J$18,FALSE)</f>
        <v>31132415.464821868</v>
      </c>
      <c r="K70" s="601" t="s">
        <v>333</v>
      </c>
      <c r="L70" s="602">
        <v>3</v>
      </c>
      <c r="M70" s="603">
        <f>L70*VLOOKUP(K70,'Crust Element Composition'!$B$5:$E$81,4,FALSE)/F70</f>
        <v>0.59755258055581206</v>
      </c>
      <c r="N70" s="606">
        <f>$E$67/M70</f>
        <v>2.0081914781186667E-6</v>
      </c>
      <c r="O70" s="604">
        <f>(N70/F70)*$J$2</f>
        <v>5.7551715890317992E-7</v>
      </c>
      <c r="P70" s="605">
        <f>standard_temperature*gas_constant*LN(O70/H70)/F70</f>
        <v>23.108902099297921</v>
      </c>
      <c r="Q70" s="599">
        <f>P70*$J$3</f>
        <v>1276650524.0091531</v>
      </c>
      <c r="R70" s="599"/>
      <c r="S70" s="599">
        <f>MAX(J70,Q70)</f>
        <v>1276650524.0091531</v>
      </c>
      <c r="T70" s="618"/>
      <c r="U70" s="619"/>
      <c r="V70" s="219"/>
      <c r="W70" s="219"/>
    </row>
    <row r="71" spans="2:24">
      <c r="B71" s="585"/>
      <c r="C71" s="228" t="s">
        <v>597</v>
      </c>
      <c r="D71" s="241" t="str">
        <f>VLOOKUP(C71,Mineral_table,2,FALSE)</f>
        <v>Ag4MnSb2S6</v>
      </c>
      <c r="E71" s="229">
        <f>VLOOKUP($C71,'Singular Minerals'!$C$12:$T$327,'Multiple Minerals'!E$18,FALSE)</f>
        <v>5.2899999999999997E-13</v>
      </c>
      <c r="F71" s="231">
        <f>VLOOKUP($C71,'Singular Minerals'!$C$12:$T$327,'Multiple Minerals'!F$18,FALSE)</f>
        <v>922.32410000000004</v>
      </c>
      <c r="G71" s="229">
        <f>E71*F71</f>
        <v>4.8790944889999997E-10</v>
      </c>
      <c r="H71" s="229">
        <f>E71*ave_crustal_molar_mass</f>
        <v>8.210079999999999E-11</v>
      </c>
      <c r="I71" s="232">
        <f>E71/$E$75</f>
        <v>4.8377214240642339E-3</v>
      </c>
      <c r="J71" s="229">
        <f>VLOOKUP($C71,'Singular Minerals'!$C$12:$T$327,'Multiple Minerals'!J$18,FALSE)</f>
        <v>59582395.919698358</v>
      </c>
      <c r="K71" s="586" t="s">
        <v>333</v>
      </c>
      <c r="L71" s="587">
        <v>4</v>
      </c>
      <c r="M71" s="232">
        <f>L71*VLOOKUP(K71,'Crust Element Composition'!$B$5:$E$81,4,FALSE)/F71</f>
        <v>0.46781039333136798</v>
      </c>
      <c r="N71" s="251">
        <f>$E$67/M71</f>
        <v>2.5651418119519934E-6</v>
      </c>
      <c r="O71" s="484">
        <f>(N71/F71)*$J$2</f>
        <v>4.3163786917738497E-7</v>
      </c>
      <c r="P71" s="485">
        <f>standard_temperature*gas_constant*LN(O71/H71)/F71</f>
        <v>23.025551535765874</v>
      </c>
      <c r="Q71" s="230">
        <f>P71*$J$3</f>
        <v>1272045824.9130034</v>
      </c>
      <c r="R71" s="230"/>
      <c r="S71" s="230">
        <f>MAX(J71,Q71)</f>
        <v>1272045824.9130034</v>
      </c>
      <c r="T71" s="609"/>
      <c r="U71" s="620"/>
      <c r="V71" s="219"/>
      <c r="W71" s="219"/>
    </row>
    <row r="72" spans="2:24">
      <c r="B72" s="585"/>
      <c r="C72" s="228" t="s">
        <v>572</v>
      </c>
      <c r="D72" s="241" t="str">
        <f>VLOOKUP(C72,Mineral_table,2,FALSE)</f>
        <v>Ag5SbS4</v>
      </c>
      <c r="E72" s="229">
        <f>VLOOKUP($C72,'Singular Minerals'!$C$12:$T$327,'Multiple Minerals'!E$18,FALSE)</f>
        <v>7.7200000000000002E-12</v>
      </c>
      <c r="F72" s="231">
        <f>VLOOKUP($C72,'Singular Minerals'!$C$12:$T$327,'Multiple Minerals'!F$18,FALSE)</f>
        <v>789.36320000000001</v>
      </c>
      <c r="G72" s="229">
        <f>E72*F72</f>
        <v>6.0938839039999998E-9</v>
      </c>
      <c r="H72" s="229">
        <f>E72*ave_crustal_molar_mass</f>
        <v>1.198144E-9</v>
      </c>
      <c r="I72" s="232">
        <f>E72/$E$75</f>
        <v>7.0599639685776733E-2</v>
      </c>
      <c r="J72" s="229">
        <f>VLOOKUP($C72,'Singular Minerals'!$C$12:$T$327,'Multiple Minerals'!J$18,FALSE)</f>
        <v>27712217.313630894</v>
      </c>
      <c r="K72" s="586" t="s">
        <v>333</v>
      </c>
      <c r="L72" s="587">
        <v>5</v>
      </c>
      <c r="M72" s="232">
        <f>L72*VLOOKUP(K72,'Crust Element Composition'!$B$5:$E$81,4,FALSE)/F72</f>
        <v>0.68326088675023111</v>
      </c>
      <c r="N72" s="251">
        <f>$E$67/M72</f>
        <v>1.7562837611084637E-6</v>
      </c>
      <c r="O72" s="484">
        <f>(N72/F72)*$J$2</f>
        <v>3.4531029534190794E-7</v>
      </c>
      <c r="P72" s="485">
        <f>standard_temperature*gas_constant*LN(O72/H72)/F72</f>
        <v>17.785491767114998</v>
      </c>
      <c r="Q72" s="230">
        <f>P72*$J$3</f>
        <v>982558898.15456331</v>
      </c>
      <c r="R72" s="230"/>
      <c r="S72" s="230">
        <f>MAX(J72,Q72)</f>
        <v>982558898.15456331</v>
      </c>
      <c r="T72" s="609"/>
      <c r="U72" s="620"/>
      <c r="V72" s="219"/>
      <c r="W72" s="219"/>
    </row>
    <row r="73" spans="2:24">
      <c r="B73" s="585"/>
      <c r="C73" s="228" t="s">
        <v>883</v>
      </c>
      <c r="D73" s="241" t="str">
        <f>VLOOKUP(C73,Mineral_table,2,FALSE)</f>
        <v>Ag2S</v>
      </c>
      <c r="E73" s="229">
        <f>VLOOKUP($C73,'Singular Minerals'!$C$12:$T$327,'Multiple Minerals'!E$18,FALSE)</f>
        <v>2.74E-11</v>
      </c>
      <c r="F73" s="231">
        <f>VLOOKUP($C73,'Singular Minerals'!$C$12:$T$327,'Multiple Minerals'!F$18,FALSE)</f>
        <v>247.80189999999999</v>
      </c>
      <c r="G73" s="229">
        <f>E73*F73</f>
        <v>6.7897720599999999E-9</v>
      </c>
      <c r="H73" s="229">
        <f>E73*ave_crustal_molar_mass</f>
        <v>4.2524799999999998E-9</v>
      </c>
      <c r="I73" s="232">
        <f>E73/$E$75</f>
        <v>0.25057385069822313</v>
      </c>
      <c r="J73" s="229">
        <f>VLOOKUP($C73,'Singular Minerals'!$C$12:$T$327,'Multiple Minerals'!J$18,FALSE)</f>
        <v>19282005.191828765</v>
      </c>
      <c r="K73" s="586" t="s">
        <v>333</v>
      </c>
      <c r="L73" s="587">
        <v>2</v>
      </c>
      <c r="M73" s="232">
        <f>L73*VLOOKUP(K73,'Crust Element Composition'!$B$5:$E$81,4,FALSE)/F73</f>
        <v>0.87060026577681615</v>
      </c>
      <c r="N73" s="251">
        <f>$E$67/M73</f>
        <v>1.3783593311096317E-6</v>
      </c>
      <c r="O73" s="484">
        <f>(N73/F73)*$J$2</f>
        <v>8.6327573835476973E-7</v>
      </c>
      <c r="P73" s="485">
        <f>standard_temperature*gas_constant*LN(O73/H73)/F73</f>
        <v>53.149473396459065</v>
      </c>
      <c r="Q73" s="230">
        <f>P73*$J$3</f>
        <v>2936240881.1477671</v>
      </c>
      <c r="R73" s="230"/>
      <c r="S73" s="230">
        <f>MAX(J73,Q73)</f>
        <v>2936240881.1477671</v>
      </c>
      <c r="T73" s="609"/>
      <c r="U73" s="620"/>
      <c r="V73" s="219"/>
      <c r="W73" s="219"/>
    </row>
    <row r="74" spans="2:24">
      <c r="B74" s="585"/>
      <c r="C74" s="228" t="s">
        <v>854</v>
      </c>
      <c r="D74" s="241" t="str">
        <f>VLOOKUP(C74,Mineral_table,2,FALSE)</f>
        <v>Ag2S</v>
      </c>
      <c r="E74" s="229">
        <f>VLOOKUP($C74,'Singular Minerals'!$C$12:$T$327,'Multiple Minerals'!E$18,FALSE)</f>
        <v>4.9899999999999997E-11</v>
      </c>
      <c r="F74" s="231">
        <f>VLOOKUP($C74,'Singular Minerals'!$C$12:$T$327,'Multiple Minerals'!F$18,FALSE)</f>
        <v>247.80189999999999</v>
      </c>
      <c r="G74" s="229">
        <f>E74*F74</f>
        <v>1.2365314809999999E-8</v>
      </c>
      <c r="H74" s="229">
        <f>E74*ave_crustal_molar_mass</f>
        <v>7.7444799999999989E-9</v>
      </c>
      <c r="I74" s="232">
        <f>E74/$E$75</f>
        <v>0.4563370492642822</v>
      </c>
      <c r="J74" s="229">
        <f>VLOOKUP($C74,'Singular Minerals'!$C$12:$T$327,'Multiple Minerals'!J$18,FALSE)</f>
        <v>18851389.691266831</v>
      </c>
      <c r="K74" s="586" t="s">
        <v>333</v>
      </c>
      <c r="L74" s="587">
        <v>2</v>
      </c>
      <c r="M74" s="232">
        <f>L74*VLOOKUP(K74,'Crust Element Composition'!$B$5:$E$81,4,FALSE)/F74</f>
        <v>0.87060026577681615</v>
      </c>
      <c r="N74" s="251">
        <f>$E$67/M74</f>
        <v>1.3783593311096317E-6</v>
      </c>
      <c r="O74" s="484">
        <f>(N74/F74)*$J$2</f>
        <v>8.6327573835476973E-7</v>
      </c>
      <c r="P74" s="485">
        <f>standard_temperature*gas_constant*LN(O74/H74)/F74</f>
        <v>47.152757915005083</v>
      </c>
      <c r="Q74" s="230">
        <f>P74*$J$3</f>
        <v>2604952534.8284225</v>
      </c>
      <c r="R74" s="230"/>
      <c r="S74" s="230">
        <f>MAX(J74,Q74)</f>
        <v>2604952534.8284225</v>
      </c>
      <c r="T74" s="609"/>
      <c r="U74" s="620"/>
      <c r="V74" s="219"/>
      <c r="W74" s="219"/>
    </row>
    <row r="75" spans="2:24">
      <c r="B75" s="252">
        <v>2005</v>
      </c>
      <c r="C75" s="247"/>
      <c r="D75" s="247"/>
      <c r="E75" s="352">
        <f>SUM(E70:E74)</f>
        <v>1.0934900000000001E-10</v>
      </c>
      <c r="F75" s="492"/>
      <c r="G75" s="352"/>
      <c r="H75" s="352"/>
      <c r="I75" s="494">
        <f>SUM(I70:I74)</f>
        <v>1</v>
      </c>
      <c r="J75" s="352">
        <f>SUMPRODUCT(J70:J74,$I$70:$I$74)</f>
        <v>22454893.789754219</v>
      </c>
      <c r="K75" s="482"/>
      <c r="L75" s="501"/>
      <c r="M75" s="493">
        <f>SUMPRODUCT(M70:M74,I70:I74)</f>
        <v>0.79599628442473458</v>
      </c>
      <c r="N75" s="493"/>
      <c r="O75" s="352"/>
      <c r="P75" s="492"/>
      <c r="Q75" s="492"/>
      <c r="R75" s="492"/>
      <c r="S75" s="352">
        <f>SUMPRODUCT(S70:S74,I70:I74)</f>
        <v>2277868851.456686</v>
      </c>
      <c r="T75" s="504">
        <f>MAX(J75,S75)</f>
        <v>2277868851.456686</v>
      </c>
      <c r="U75" s="588">
        <f>T75/M75</f>
        <v>2861657643.4183969</v>
      </c>
      <c r="V75" s="219"/>
      <c r="W75" s="219"/>
    </row>
    <row r="76" spans="2:24">
      <c r="B76" s="219"/>
      <c r="C76" s="219"/>
      <c r="D76" s="219"/>
      <c r="E76" s="219"/>
      <c r="F76" s="219"/>
      <c r="G76" s="219"/>
      <c r="H76" s="219"/>
      <c r="I76" s="219"/>
      <c r="J76" s="219"/>
      <c r="K76" s="219"/>
      <c r="L76" s="503"/>
      <c r="M76" s="219"/>
      <c r="N76" s="219"/>
      <c r="O76" s="219"/>
      <c r="P76" s="219"/>
      <c r="Q76" s="219"/>
      <c r="R76" s="219"/>
      <c r="S76" s="219"/>
      <c r="U76" s="219"/>
      <c r="V76" s="219"/>
      <c r="W76" s="219"/>
    </row>
    <row r="77" spans="2:24">
      <c r="B77" s="256" t="s">
        <v>1742</v>
      </c>
      <c r="D77" s="219"/>
      <c r="E77" s="219"/>
      <c r="F77" s="219"/>
      <c r="G77" s="219"/>
      <c r="H77" s="219"/>
      <c r="I77" s="219"/>
      <c r="J77" s="219"/>
      <c r="K77" s="219"/>
      <c r="L77" s="503"/>
      <c r="M77" s="219"/>
      <c r="N77" s="219"/>
      <c r="O77" s="219"/>
      <c r="P77" s="219"/>
      <c r="Q77" s="219"/>
      <c r="R77" s="219"/>
      <c r="S77" s="219"/>
      <c r="U77" s="219"/>
      <c r="V77" s="219"/>
      <c r="W77" s="219"/>
    </row>
    <row r="78" spans="2:24">
      <c r="B78" s="574"/>
      <c r="C78" s="349" t="s">
        <v>244</v>
      </c>
      <c r="D78" s="349" t="s">
        <v>282</v>
      </c>
      <c r="E78" s="575" t="s">
        <v>1744</v>
      </c>
      <c r="F78" s="219"/>
      <c r="G78" s="219"/>
      <c r="H78" s="219"/>
      <c r="I78" s="219"/>
      <c r="J78" s="219"/>
      <c r="K78" s="219"/>
      <c r="L78" s="503"/>
      <c r="M78" s="219"/>
      <c r="N78" s="219"/>
      <c r="O78" s="219"/>
      <c r="P78" s="219"/>
      <c r="Q78" s="219"/>
      <c r="R78" s="219"/>
      <c r="S78" s="219"/>
      <c r="U78" s="219"/>
      <c r="V78" s="219"/>
      <c r="W78" s="219"/>
    </row>
    <row r="79" spans="2:24">
      <c r="B79" s="576"/>
      <c r="C79" s="577" t="s">
        <v>1743</v>
      </c>
      <c r="D79" s="577" t="s">
        <v>279</v>
      </c>
      <c r="E79" s="578">
        <f>'EmCF Library'!Z102</f>
        <v>0.1</v>
      </c>
      <c r="F79" s="219"/>
      <c r="G79" s="219"/>
      <c r="H79" s="219"/>
      <c r="I79" s="219"/>
      <c r="J79" s="219"/>
      <c r="K79" s="219"/>
      <c r="L79" s="503"/>
      <c r="M79" s="219"/>
      <c r="N79" s="219"/>
      <c r="O79" s="219"/>
      <c r="P79" s="219"/>
      <c r="Q79" s="219"/>
      <c r="R79" s="219"/>
      <c r="S79" s="219"/>
      <c r="U79" s="219"/>
      <c r="V79" s="219"/>
      <c r="W79" s="219"/>
    </row>
    <row r="80" spans="2:24">
      <c r="B80" s="219"/>
      <c r="C80" s="219"/>
      <c r="D80" s="219"/>
      <c r="E80" s="219"/>
      <c r="F80" s="219"/>
      <c r="G80" s="219"/>
      <c r="H80" s="219"/>
      <c r="I80" s="219"/>
      <c r="J80" s="219"/>
      <c r="K80" s="219"/>
      <c r="L80" s="503"/>
      <c r="M80" s="219"/>
      <c r="N80" s="219"/>
      <c r="O80" s="219"/>
      <c r="P80" s="219"/>
      <c r="Q80" s="219"/>
      <c r="R80" s="219"/>
      <c r="S80" s="219"/>
      <c r="U80" s="219"/>
      <c r="V80" s="219"/>
      <c r="W80" s="219"/>
    </row>
    <row r="81" spans="2:24" ht="47.5">
      <c r="B81" s="574" t="s">
        <v>1729</v>
      </c>
      <c r="C81" s="349" t="s">
        <v>200</v>
      </c>
      <c r="D81" s="349" t="s">
        <v>1709</v>
      </c>
      <c r="E81" s="495" t="s">
        <v>1734</v>
      </c>
      <c r="F81" s="496" t="s">
        <v>1735</v>
      </c>
      <c r="G81" s="349" t="s">
        <v>1751</v>
      </c>
      <c r="H81" s="349" t="s">
        <v>1752</v>
      </c>
      <c r="I81" s="349" t="s">
        <v>1758</v>
      </c>
      <c r="J81" s="497" t="s">
        <v>1736</v>
      </c>
      <c r="K81" s="496" t="s">
        <v>233</v>
      </c>
      <c r="L81" s="500" t="str">
        <f>CONCATENATE("Moles of ",K82," in Mineral")</f>
        <v>Moles of U in Mineral</v>
      </c>
      <c r="M81" s="349" t="str">
        <f>CONCATENATE("% ",K82," in Mineral")</f>
        <v>% U in Mineral</v>
      </c>
      <c r="N81" s="496" t="s">
        <v>1746</v>
      </c>
      <c r="O81" s="349" t="s">
        <v>1750</v>
      </c>
      <c r="P81" s="349" t="s">
        <v>1749</v>
      </c>
      <c r="Q81" s="498" t="s">
        <v>1748</v>
      </c>
      <c r="R81" s="349" t="s">
        <v>1758</v>
      </c>
      <c r="S81" s="349" t="s">
        <v>1753</v>
      </c>
      <c r="T81" s="498" t="s">
        <v>1759</v>
      </c>
      <c r="U81" s="589" t="s">
        <v>1771</v>
      </c>
      <c r="V81" s="219"/>
      <c r="W81" s="219"/>
    </row>
    <row r="82" spans="2:24">
      <c r="B82" s="594"/>
      <c r="C82" s="595" t="s">
        <v>252</v>
      </c>
      <c r="D82" s="596" t="s">
        <v>170</v>
      </c>
      <c r="E82" s="597">
        <f>VLOOKUP($C82,'Singular Minerals'!$C$12:$T$327,'Multiple Minerals'!E$18,FALSE)</f>
        <v>5.5999999999999997E-9</v>
      </c>
      <c r="F82" s="598">
        <f>VLOOKUP($C82,'Singular Minerals'!$C$12:$T$327,'Multiple Minerals'!F$18,FALSE)</f>
        <v>270.02999999999997</v>
      </c>
      <c r="G82" s="597">
        <f>E82*F82</f>
        <v>1.5121679999999999E-6</v>
      </c>
      <c r="H82" s="597">
        <f>E82*ave_crustal_molar_mass</f>
        <v>8.6911999999999988E-7</v>
      </c>
      <c r="I82" s="603">
        <f>E82/E84</f>
        <v>0.66666666666666674</v>
      </c>
      <c r="J82" s="597">
        <f>VLOOKUP($C82,'Singular Minerals'!$C$12:$T$327,'Multiple Minerals'!J$18,FALSE)</f>
        <v>453346038.64171749</v>
      </c>
      <c r="K82" s="601" t="s">
        <v>146</v>
      </c>
      <c r="L82" s="602">
        <v>1</v>
      </c>
      <c r="M82" s="603">
        <f>L82*VLOOKUP(K82,'Crust Element Composition'!$B$5:$E$81,4,FALSE)/F82</f>
        <v>0.88149057512128293</v>
      </c>
      <c r="N82" s="606">
        <f>$E$79/M82</f>
        <v>0.11344420782518425</v>
      </c>
      <c r="O82" s="604">
        <f>(N82/F82)*$J$2</f>
        <v>6.52021666276658E-2</v>
      </c>
      <c r="P82" s="605">
        <f>standard_temperature*gas_constant*LN(O82/H82)/F82</f>
        <v>103.04795196212751</v>
      </c>
      <c r="Q82" s="599">
        <f>P82*$J$3</f>
        <v>5692880661.5402546</v>
      </c>
      <c r="R82" s="599"/>
      <c r="S82" s="599">
        <f>MAX(J82,Q82)</f>
        <v>5692880661.5402546</v>
      </c>
      <c r="T82" s="618"/>
      <c r="U82" s="619"/>
      <c r="V82" s="219"/>
      <c r="W82" s="219"/>
    </row>
    <row r="83" spans="2:24">
      <c r="B83" s="585"/>
      <c r="C83" s="228" t="s">
        <v>809</v>
      </c>
      <c r="D83" s="241" t="s">
        <v>251</v>
      </c>
      <c r="E83" s="229">
        <f>VLOOKUP($C83,'Singular Minerals'!$C$12:$T$327,'Multiple Minerals'!E$18,FALSE)</f>
        <v>2.7999999999999998E-9</v>
      </c>
      <c r="F83" s="231">
        <f>VLOOKUP($C83,'Singular Minerals'!$C$12:$T$327,'Multiple Minerals'!F$18,FALSE)</f>
        <v>902.18</v>
      </c>
      <c r="G83" s="229">
        <f>E83*F83</f>
        <v>2.5261039999999995E-6</v>
      </c>
      <c r="H83" s="229">
        <f>E83*ave_crustal_molar_mass</f>
        <v>4.3455999999999994E-7</v>
      </c>
      <c r="I83" s="232">
        <f>E83/E84</f>
        <v>0.33333333333333337</v>
      </c>
      <c r="J83" s="229">
        <f>VLOOKUP($C83,'Singular Minerals'!$C$12:$T$327,'Multiple Minerals'!J$18,FALSE)</f>
        <v>602622418.21844459</v>
      </c>
      <c r="K83" s="586" t="s">
        <v>146</v>
      </c>
      <c r="L83" s="587">
        <v>2</v>
      </c>
      <c r="M83" s="232">
        <f>L83*VLOOKUP(K83,'Crust Element Composition'!$B$5:$E$81,4,FALSE)/F83</f>
        <v>0.5276749650845729</v>
      </c>
      <c r="N83" s="251">
        <f>$E$79/M83</f>
        <v>0.1895106014437743</v>
      </c>
      <c r="O83" s="484">
        <f>(N83/F83)*$J$2</f>
        <v>3.2601083313832907E-2</v>
      </c>
      <c r="P83" s="485">
        <f>standard_temperature*gas_constant*LN(O83/H83)/F83</f>
        <v>30.843111649929391</v>
      </c>
      <c r="Q83" s="230">
        <f>P83*$J$3</f>
        <v>1703926672.1005955</v>
      </c>
      <c r="R83" s="230"/>
      <c r="S83" s="230">
        <f>MAX(J83,Q83)</f>
        <v>1703926672.1005955</v>
      </c>
      <c r="T83" s="609"/>
      <c r="U83" s="620"/>
      <c r="V83" s="219"/>
      <c r="W83" s="219"/>
    </row>
    <row r="84" spans="2:24">
      <c r="B84" s="252">
        <v>2016</v>
      </c>
      <c r="C84" s="247"/>
      <c r="D84" s="247"/>
      <c r="E84" s="352">
        <f>SUM(E82:E83)</f>
        <v>8.3999999999999991E-9</v>
      </c>
      <c r="F84" s="492"/>
      <c r="G84" s="352"/>
      <c r="H84" s="352"/>
      <c r="I84" s="494"/>
      <c r="J84" s="352">
        <f>SUMPRODUCT(J82:J83,I82:I83)</f>
        <v>503104831.83395994</v>
      </c>
      <c r="K84" s="482"/>
      <c r="L84" s="501"/>
      <c r="M84" s="493">
        <f>SUMPRODUCT(I82:I83,M82:M83)</f>
        <v>0.76355203844237973</v>
      </c>
      <c r="N84" s="493"/>
      <c r="O84" s="352"/>
      <c r="P84" s="492"/>
      <c r="Q84" s="492"/>
      <c r="R84" s="492"/>
      <c r="S84" s="352">
        <f>SUMPRODUCT(S82:S83,I82:I83)</f>
        <v>4363229331.7270355</v>
      </c>
      <c r="T84" s="504">
        <f>MAX(J84,S84)</f>
        <v>4363229331.7270355</v>
      </c>
      <c r="U84" s="588">
        <f>T84/M84</f>
        <v>5714383711.983633</v>
      </c>
      <c r="V84" s="219"/>
      <c r="W84" s="219"/>
    </row>
    <row r="85" spans="2:24">
      <c r="B85" s="219"/>
      <c r="C85" s="219"/>
      <c r="D85" s="219"/>
      <c r="E85" s="219"/>
      <c r="F85" s="219"/>
      <c r="G85" s="219"/>
      <c r="H85" s="219"/>
      <c r="I85" s="219"/>
      <c r="J85" s="219"/>
      <c r="K85" s="219"/>
      <c r="L85" s="503"/>
      <c r="M85" s="219"/>
      <c r="N85" s="219"/>
      <c r="O85" s="219"/>
      <c r="P85" s="219"/>
      <c r="Q85" s="219"/>
      <c r="R85" s="219"/>
      <c r="S85" s="219"/>
      <c r="U85" s="219"/>
      <c r="V85" s="219"/>
      <c r="W85" s="219"/>
    </row>
    <row r="86" spans="2:24">
      <c r="B86" s="256" t="s">
        <v>1477</v>
      </c>
      <c r="D86" s="219"/>
      <c r="E86" s="219"/>
      <c r="F86" s="219"/>
      <c r="G86" s="219"/>
      <c r="H86" s="219"/>
      <c r="I86" s="219"/>
      <c r="J86" s="219"/>
      <c r="K86" s="219"/>
      <c r="L86" s="503"/>
      <c r="M86" s="219"/>
      <c r="N86" s="219"/>
      <c r="O86" s="219"/>
      <c r="P86" s="219"/>
      <c r="Q86" s="219"/>
      <c r="R86" s="219"/>
      <c r="S86" s="219"/>
      <c r="U86" s="219"/>
      <c r="V86" s="219"/>
      <c r="W86" s="219"/>
    </row>
    <row r="87" spans="2:24" ht="30">
      <c r="B87" s="574"/>
      <c r="C87" s="349" t="s">
        <v>244</v>
      </c>
      <c r="D87" s="349"/>
      <c r="E87" s="575" t="s">
        <v>243</v>
      </c>
      <c r="F87" s="219"/>
      <c r="G87" s="219"/>
      <c r="H87" s="219"/>
      <c r="I87" s="219"/>
      <c r="J87" s="219"/>
      <c r="K87" s="219"/>
      <c r="L87" s="219"/>
      <c r="M87" s="503"/>
      <c r="N87" s="219"/>
      <c r="O87" s="219"/>
      <c r="P87" s="219"/>
      <c r="Q87" s="219"/>
      <c r="R87" s="219"/>
      <c r="S87" s="219"/>
      <c r="U87" s="219"/>
      <c r="V87" s="219"/>
      <c r="W87" s="219"/>
      <c r="X87" s="219"/>
    </row>
    <row r="88" spans="2:24">
      <c r="B88" s="576"/>
      <c r="C88" s="577" t="s">
        <v>242</v>
      </c>
      <c r="D88" s="577"/>
      <c r="E88" s="578">
        <f>'EmCF Library'!Z126</f>
        <v>1.1750926829268292E-3</v>
      </c>
      <c r="F88" s="219"/>
      <c r="G88" s="219"/>
      <c r="H88" s="219"/>
      <c r="I88" s="219"/>
      <c r="J88" s="219"/>
      <c r="K88" s="219"/>
      <c r="L88" s="219"/>
      <c r="M88" s="503"/>
      <c r="N88" s="219"/>
      <c r="O88" s="219"/>
      <c r="P88" s="219"/>
      <c r="Q88" s="219"/>
      <c r="R88" s="219"/>
      <c r="S88" s="219"/>
      <c r="U88" s="219"/>
      <c r="V88" s="219"/>
      <c r="W88" s="219"/>
      <c r="X88" s="219"/>
    </row>
    <row r="89" spans="2:24">
      <c r="B89" s="219"/>
      <c r="C89" s="219"/>
      <c r="D89" s="219"/>
      <c r="E89" s="219"/>
      <c r="F89" s="219"/>
      <c r="G89" s="219"/>
      <c r="H89" s="219"/>
      <c r="I89" s="219"/>
      <c r="J89" s="219"/>
      <c r="K89" s="219"/>
      <c r="L89" s="503"/>
      <c r="M89" s="219"/>
      <c r="N89" s="219"/>
      <c r="O89" s="219"/>
      <c r="P89" s="219"/>
      <c r="Q89" s="219"/>
      <c r="R89" s="219"/>
      <c r="S89" s="219"/>
      <c r="U89" s="219"/>
      <c r="V89" s="219"/>
      <c r="W89" s="219"/>
    </row>
    <row r="90" spans="2:24" ht="47.5">
      <c r="B90" s="574" t="s">
        <v>1729</v>
      </c>
      <c r="C90" s="349" t="s">
        <v>200</v>
      </c>
      <c r="D90" s="349" t="s">
        <v>1709</v>
      </c>
      <c r="E90" s="495" t="s">
        <v>1734</v>
      </c>
      <c r="F90" s="496" t="s">
        <v>1735</v>
      </c>
      <c r="G90" s="349" t="s">
        <v>1751</v>
      </c>
      <c r="H90" s="349" t="s">
        <v>1752</v>
      </c>
      <c r="I90" s="349" t="s">
        <v>1758</v>
      </c>
      <c r="J90" s="497" t="s">
        <v>1736</v>
      </c>
      <c r="K90" s="496" t="s">
        <v>233</v>
      </c>
      <c r="L90" s="500" t="str">
        <f>CONCATENATE("Moles of ",K91," in Mineral")</f>
        <v>Moles of Mg in Mineral</v>
      </c>
      <c r="M90" s="349" t="str">
        <f>CONCATENATE("% ",K91," in Mineral")</f>
        <v>% Mg in Mineral</v>
      </c>
      <c r="N90" s="496" t="s">
        <v>1746</v>
      </c>
      <c r="O90" s="349" t="s">
        <v>1750</v>
      </c>
      <c r="P90" s="349" t="s">
        <v>1749</v>
      </c>
      <c r="Q90" s="498" t="s">
        <v>1748</v>
      </c>
      <c r="R90" s="349" t="s">
        <v>1758</v>
      </c>
      <c r="S90" s="349" t="s">
        <v>1753</v>
      </c>
      <c r="T90" s="498" t="s">
        <v>1759</v>
      </c>
      <c r="U90" s="589" t="s">
        <v>1771</v>
      </c>
      <c r="V90" s="227"/>
      <c r="W90" s="219"/>
    </row>
    <row r="91" spans="2:24">
      <c r="B91" s="594"/>
      <c r="C91" s="595" t="s">
        <v>154</v>
      </c>
      <c r="D91" s="596" t="s">
        <v>155</v>
      </c>
      <c r="E91" s="597">
        <f>VLOOKUP($C91,'Singular Minerals'!$C$12:$T$327,'Multiple Minerals'!E$18,FALSE)</f>
        <v>7.6299999999999998E-6</v>
      </c>
      <c r="F91" s="598">
        <f>VLOOKUP($C91,'Singular Minerals'!$C$12:$T$327,'Multiple Minerals'!F$18,FALSE)</f>
        <v>184.4</v>
      </c>
      <c r="G91" s="599">
        <f t="shared" ref="G91:G96" si="0">E91*F91</f>
        <v>1.406972E-3</v>
      </c>
      <c r="H91" s="597">
        <f t="shared" ref="H91:H96" si="1">E91*ave_crustal_molar_mass</f>
        <v>1.1841759999999999E-3</v>
      </c>
      <c r="I91" s="607">
        <f t="shared" ref="I91:I96" si="2">E91/$E$97</f>
        <v>0.73411619818250906</v>
      </c>
      <c r="J91" s="597">
        <f>VLOOKUP($C91,'Singular Minerals'!$C$12:$T$327,'Multiple Minerals'!J$18,FALSE)</f>
        <v>1393895159.499496</v>
      </c>
      <c r="K91" s="601" t="s">
        <v>114</v>
      </c>
      <c r="L91" s="602">
        <v>1</v>
      </c>
      <c r="M91" s="603">
        <f>L91*VLOOKUP(K91,'Crust Element Composition'!$B$5:$E$81,4,FALSE)/F91</f>
        <v>0.1318058568329718</v>
      </c>
      <c r="N91" s="600">
        <f t="shared" ref="N91:N96" si="3">$E$88/M91</f>
        <v>8.9153297976427605E-3</v>
      </c>
      <c r="O91" s="604">
        <f t="shared" ref="O91:O96" si="4">(N91/F91)*$J$2</f>
        <v>7.5035747537644058E-3</v>
      </c>
      <c r="P91" s="605">
        <f t="shared" ref="P91:P96" si="5">standard_temperature*gas_constant*LN(O91/H91)/F91</f>
        <v>24.819544119705807</v>
      </c>
      <c r="Q91" s="599">
        <f t="shared" ref="Q91:Q96" si="6">P91*$J$3</f>
        <v>1371154885.2445643</v>
      </c>
      <c r="R91" s="599"/>
      <c r="S91" s="599">
        <f t="shared" ref="S91:S96" si="7">MAX(J91,Q91)</f>
        <v>1393895159.499496</v>
      </c>
      <c r="T91" s="618"/>
      <c r="U91" s="621"/>
      <c r="V91" s="219"/>
      <c r="W91" s="219"/>
    </row>
    <row r="92" spans="2:24">
      <c r="B92" s="585"/>
      <c r="C92" s="228" t="s">
        <v>113</v>
      </c>
      <c r="D92" s="241" t="s">
        <v>112</v>
      </c>
      <c r="E92" s="229">
        <f>VLOOKUP($C92,'Singular Minerals'!$C$12:$T$327,'Multiple Minerals'!E$18,FALSE)</f>
        <v>3.58E-7</v>
      </c>
      <c r="F92" s="231">
        <f>VLOOKUP($C92,'Singular Minerals'!$C$12:$T$327,'Multiple Minerals'!F$18,FALSE)</f>
        <v>84.31</v>
      </c>
      <c r="G92" s="229">
        <f t="shared" si="0"/>
        <v>3.0182980000000001E-5</v>
      </c>
      <c r="H92" s="229">
        <f t="shared" si="1"/>
        <v>5.5561599999999993E-5</v>
      </c>
      <c r="I92" s="233">
        <f t="shared" si="2"/>
        <v>3.4444770504500427E-2</v>
      </c>
      <c r="J92" s="229">
        <f>VLOOKUP($C92,'Singular Minerals'!$C$12:$T$327,'Multiple Minerals'!J$18,FALSE)</f>
        <v>1448752630.5407381</v>
      </c>
      <c r="K92" s="586" t="s">
        <v>114</v>
      </c>
      <c r="L92" s="587">
        <v>1</v>
      </c>
      <c r="M92" s="232">
        <f>L92*VLOOKUP(K92,'Crust Element Composition'!$B$5:$E$81,4,FALSE)/F92</f>
        <v>0.28828134266397815</v>
      </c>
      <c r="N92" s="240">
        <f t="shared" si="3"/>
        <v>4.0762009503213731E-3</v>
      </c>
      <c r="O92" s="484">
        <f t="shared" si="4"/>
        <v>7.5035747537644058E-3</v>
      </c>
      <c r="P92" s="485">
        <f t="shared" si="5"/>
        <v>144.23200496108268</v>
      </c>
      <c r="Q92" s="230">
        <f t="shared" si="6"/>
        <v>7968092292.7987652</v>
      </c>
      <c r="R92" s="230"/>
      <c r="S92" s="230">
        <f t="shared" si="7"/>
        <v>7968092292.7987652</v>
      </c>
      <c r="T92" s="609"/>
      <c r="U92" s="622"/>
      <c r="V92" s="219"/>
      <c r="W92" s="219"/>
    </row>
    <row r="93" spans="2:24">
      <c r="B93" s="585"/>
      <c r="C93" s="228" t="s">
        <v>240</v>
      </c>
      <c r="D93" s="241" t="s">
        <v>239</v>
      </c>
      <c r="E93" s="229">
        <f>VLOOKUP($C93,'Singular Minerals'!$C$12:$T$327,'Multiple Minerals'!E$18,FALSE)</f>
        <v>1.45E-9</v>
      </c>
      <c r="F93" s="231">
        <f>VLOOKUP($C93,'Singular Minerals'!$C$12:$T$327,'Multiple Minerals'!F$18,FALSE)</f>
        <v>277.85000000000002</v>
      </c>
      <c r="G93" s="229">
        <f t="shared" si="0"/>
        <v>4.0288250000000003E-7</v>
      </c>
      <c r="H93" s="229">
        <f t="shared" si="1"/>
        <v>2.2503999999999998E-7</v>
      </c>
      <c r="I93" s="233">
        <f t="shared" si="2"/>
        <v>1.3951094198750172E-4</v>
      </c>
      <c r="J93" s="229">
        <f>VLOOKUP($C93,'Singular Minerals'!$C$12:$T$327,'Multiple Minerals'!J$18,FALSE)</f>
        <v>0</v>
      </c>
      <c r="K93" s="586" t="s">
        <v>114</v>
      </c>
      <c r="L93" s="587">
        <v>1</v>
      </c>
      <c r="M93" s="232">
        <f>L93*VLOOKUP(K93,'Crust Element Composition'!$B$5:$E$81,4,FALSE)/F93</f>
        <v>8.7475256433327334E-2</v>
      </c>
      <c r="N93" s="240">
        <f t="shared" si="3"/>
        <v>1.3433429415808249E-2</v>
      </c>
      <c r="O93" s="484">
        <f t="shared" si="4"/>
        <v>7.5035747537644058E-3</v>
      </c>
      <c r="P93" s="485">
        <f t="shared" si="5"/>
        <v>92.913222899370908</v>
      </c>
      <c r="Q93" s="230">
        <f t="shared" si="6"/>
        <v>5132987893.244174</v>
      </c>
      <c r="R93" s="230"/>
      <c r="S93" s="230">
        <f t="shared" si="7"/>
        <v>5132987893.244174</v>
      </c>
      <c r="T93" s="609"/>
      <c r="U93" s="622"/>
      <c r="V93" s="219"/>
      <c r="W93" s="219"/>
    </row>
    <row r="94" spans="2:24">
      <c r="B94" s="585"/>
      <c r="C94" s="228" t="s">
        <v>238</v>
      </c>
      <c r="D94" s="241" t="s">
        <v>1372</v>
      </c>
      <c r="E94" s="229">
        <f>VLOOKUP($C94,'Singular Minerals'!$C$12:$T$327,'Multiple Minerals'!E$18,FALSE)</f>
        <v>1.53E-6</v>
      </c>
      <c r="F94" s="231">
        <f>VLOOKUP($C94,'Singular Minerals'!$C$12:$T$327,'Multiple Minerals'!F$18,FALSE)</f>
        <v>153.31</v>
      </c>
      <c r="G94" s="229">
        <f t="shared" si="0"/>
        <v>2.3456430000000001E-4</v>
      </c>
      <c r="H94" s="229">
        <f t="shared" si="1"/>
        <v>2.3745599999999998E-4</v>
      </c>
      <c r="I94" s="233">
        <f t="shared" si="2"/>
        <v>0.14720809740750182</v>
      </c>
      <c r="J94" s="229">
        <f>VLOOKUP($C94,'Singular Minerals'!$C$12:$T$327,'Multiple Minerals'!J$18,FALSE)</f>
        <v>1488716601.6331732</v>
      </c>
      <c r="K94" s="586" t="s">
        <v>114</v>
      </c>
      <c r="L94" s="587">
        <v>1.6</v>
      </c>
      <c r="M94" s="232">
        <f>L94*VLOOKUP(K94,'Crust Element Composition'!$B$5:$E$81,4,FALSE)/F94</f>
        <v>0.25365599112908488</v>
      </c>
      <c r="N94" s="240">
        <f t="shared" si="3"/>
        <v>4.6326234113225721E-3</v>
      </c>
      <c r="O94" s="484">
        <f t="shared" si="4"/>
        <v>4.6897342211027534E-3</v>
      </c>
      <c r="P94" s="485">
        <f t="shared" si="5"/>
        <v>48.233555156836118</v>
      </c>
      <c r="Q94" s="230">
        <f t="shared" si="6"/>
        <v>2664661142.3253217</v>
      </c>
      <c r="R94" s="230"/>
      <c r="S94" s="230">
        <f t="shared" si="7"/>
        <v>2664661142.3253217</v>
      </c>
      <c r="T94" s="609"/>
      <c r="U94" s="622"/>
      <c r="V94" s="219"/>
      <c r="W94" s="219"/>
    </row>
    <row r="95" spans="2:24">
      <c r="B95" s="585"/>
      <c r="C95" s="228" t="s">
        <v>237</v>
      </c>
      <c r="D95" s="241" t="s">
        <v>236</v>
      </c>
      <c r="E95" s="229">
        <f>VLOOKUP($C95,'Singular Minerals'!$C$12:$T$327,'Multiple Minerals'!E$18,FALSE)</f>
        <v>7.6700000000000003E-7</v>
      </c>
      <c r="F95" s="231">
        <f>VLOOKUP($C95,'Singular Minerals'!$C$12:$T$327,'Multiple Minerals'!F$18,FALSE)</f>
        <v>379.27</v>
      </c>
      <c r="G95" s="229">
        <f t="shared" si="0"/>
        <v>2.9090008999999999E-4</v>
      </c>
      <c r="H95" s="229">
        <f t="shared" si="1"/>
        <v>1.190384E-4</v>
      </c>
      <c r="I95" s="233">
        <f t="shared" si="2"/>
        <v>7.3796477589250911E-2</v>
      </c>
      <c r="J95" s="229">
        <f>VLOOKUP($C95,'Singular Minerals'!$C$12:$T$327,'Multiple Minerals'!J$18,FALSE)</f>
        <v>1732798918.4890652</v>
      </c>
      <c r="K95" s="586" t="s">
        <v>114</v>
      </c>
      <c r="L95" s="587">
        <v>3</v>
      </c>
      <c r="M95" s="232">
        <f>L95*VLOOKUP(K95,'Crust Element Composition'!$B$5:$E$81,4,FALSE)/F95</f>
        <v>0.19225090305059719</v>
      </c>
      <c r="N95" s="240">
        <f t="shared" si="3"/>
        <v>6.112286934837256E-3</v>
      </c>
      <c r="O95" s="484">
        <f t="shared" si="4"/>
        <v>2.5011915845881351E-3</v>
      </c>
      <c r="P95" s="485">
        <f t="shared" si="5"/>
        <v>19.90189981745641</v>
      </c>
      <c r="Q95" s="230">
        <f t="shared" si="6"/>
        <v>1099479790.1500182</v>
      </c>
      <c r="R95" s="230"/>
      <c r="S95" s="230">
        <f t="shared" si="7"/>
        <v>1732798918.4890652</v>
      </c>
      <c r="T95" s="609"/>
      <c r="U95" s="622"/>
      <c r="V95" s="219"/>
      <c r="W95" s="219"/>
    </row>
    <row r="96" spans="2:24">
      <c r="B96" s="585"/>
      <c r="C96" s="228" t="s">
        <v>235</v>
      </c>
      <c r="D96" s="241" t="s">
        <v>234</v>
      </c>
      <c r="E96" s="229">
        <f>VLOOKUP($C96,'Singular Minerals'!$C$12:$T$327,'Multiple Minerals'!E$18,FALSE)</f>
        <v>1.0700000000000001E-7</v>
      </c>
      <c r="F96" s="231">
        <f>VLOOKUP($C96,'Singular Minerals'!$C$12:$T$327,'Multiple Minerals'!F$18,FALSE)</f>
        <v>142.27000000000001</v>
      </c>
      <c r="G96" s="229">
        <f t="shared" si="0"/>
        <v>1.5222890000000002E-5</v>
      </c>
      <c r="H96" s="229">
        <f t="shared" si="1"/>
        <v>1.6606400000000001E-5</v>
      </c>
      <c r="I96" s="233">
        <f t="shared" si="2"/>
        <v>1.0294945374250127E-2</v>
      </c>
      <c r="J96" s="229">
        <f>VLOOKUP($C96,'Singular Minerals'!$C$12:$T$327,'Multiple Minerals'!J$18,FALSE)</f>
        <v>1810498773.3097191</v>
      </c>
      <c r="K96" s="586" t="s">
        <v>114</v>
      </c>
      <c r="L96" s="587">
        <v>1</v>
      </c>
      <c r="M96" s="232">
        <f>L96*VLOOKUP(K96,'Crust Element Composition'!$B$5:$E$81,4,FALSE)/F96</f>
        <v>0.17083714064806352</v>
      </c>
      <c r="N96" s="240">
        <f t="shared" si="3"/>
        <v>6.8784380168689574E-3</v>
      </c>
      <c r="O96" s="484">
        <f t="shared" si="4"/>
        <v>7.5035747537644058E-3</v>
      </c>
      <c r="P96" s="485">
        <f t="shared" si="5"/>
        <v>106.51493960247463</v>
      </c>
      <c r="Q96" s="230">
        <f t="shared" si="6"/>
        <v>5884414277.8394413</v>
      </c>
      <c r="R96" s="230"/>
      <c r="S96" s="230">
        <f t="shared" si="7"/>
        <v>5884414277.8394413</v>
      </c>
      <c r="T96" s="609"/>
      <c r="U96" s="622"/>
      <c r="V96" s="219"/>
      <c r="W96" s="219"/>
    </row>
    <row r="97" spans="2:24">
      <c r="B97" s="252">
        <v>2006</v>
      </c>
      <c r="C97" s="247"/>
      <c r="D97" s="247"/>
      <c r="E97" s="352">
        <f>SUM(E91:E96)</f>
        <v>1.0393450000000001E-5</v>
      </c>
      <c r="F97" s="492"/>
      <c r="G97" s="352"/>
      <c r="H97" s="352"/>
      <c r="I97" s="494">
        <f>SUM(I91:I96)</f>
        <v>0.99999999999999989</v>
      </c>
      <c r="J97" s="352">
        <f>SUMPRODUCT(J91:J96,I91:I96)</f>
        <v>1438847548.0652473</v>
      </c>
      <c r="K97" s="482"/>
      <c r="L97" s="501"/>
      <c r="M97" s="493">
        <f>SUMPRODUCT(M91:M96,I91:I96)</f>
        <v>0.15998921730010321</v>
      </c>
      <c r="N97" s="493"/>
      <c r="O97" s="352"/>
      <c r="P97" s="492"/>
      <c r="Q97" s="492"/>
      <c r="R97" s="492"/>
      <c r="S97" s="352">
        <f>SUMPRODUCT(S91:S96,I91:I96)</f>
        <v>1879170110.619283</v>
      </c>
      <c r="T97" s="504">
        <f>MAX(J97,S97)</f>
        <v>1879170110.619283</v>
      </c>
      <c r="U97" s="588">
        <f>T97/M97</f>
        <v>11745604749.690033</v>
      </c>
      <c r="V97" s="219"/>
      <c r="W97" s="219"/>
    </row>
    <row r="98" spans="2:24" ht="51" customHeight="1">
      <c r="B98" s="219"/>
      <c r="C98" s="610" t="s">
        <v>1311</v>
      </c>
      <c r="D98" s="610"/>
      <c r="E98" s="610"/>
      <c r="F98" s="219"/>
      <c r="G98" s="610"/>
      <c r="H98" s="219"/>
      <c r="I98" s="219"/>
      <c r="J98" s="610"/>
      <c r="K98" s="219"/>
      <c r="L98" s="503"/>
      <c r="M98" s="219"/>
      <c r="N98" s="219"/>
      <c r="O98" s="219"/>
      <c r="P98" s="219"/>
      <c r="Q98" s="219"/>
      <c r="R98" s="219"/>
      <c r="S98" s="219"/>
      <c r="U98" s="219"/>
      <c r="V98" s="219"/>
      <c r="W98" s="219"/>
    </row>
    <row r="99" spans="2:24">
      <c r="B99" s="219"/>
      <c r="D99" s="219"/>
      <c r="E99" s="219"/>
      <c r="F99" s="219"/>
      <c r="G99" s="219"/>
      <c r="H99" s="219"/>
      <c r="I99" s="219"/>
      <c r="J99" s="219"/>
      <c r="K99" s="219"/>
      <c r="L99" s="503"/>
      <c r="M99" s="219"/>
      <c r="N99" s="219"/>
      <c r="O99" s="219"/>
      <c r="P99" s="219"/>
      <c r="Q99" s="219"/>
      <c r="R99" s="219"/>
      <c r="S99" s="219"/>
      <c r="U99" s="219"/>
      <c r="V99" s="219"/>
      <c r="W99" s="219"/>
    </row>
    <row r="100" spans="2:24">
      <c r="B100" s="256" t="s">
        <v>1478</v>
      </c>
      <c r="D100" s="219"/>
      <c r="E100" s="219"/>
      <c r="F100" s="219"/>
      <c r="G100" s="219"/>
      <c r="H100" s="219"/>
      <c r="I100" s="219"/>
      <c r="J100" s="219"/>
      <c r="K100" s="219"/>
      <c r="L100" s="503"/>
      <c r="M100" s="219"/>
      <c r="N100" s="219"/>
      <c r="O100" s="219"/>
      <c r="P100" s="219"/>
      <c r="Q100" s="219"/>
      <c r="R100" s="219"/>
      <c r="S100" s="219"/>
      <c r="U100" s="219"/>
      <c r="V100" s="219"/>
      <c r="W100" s="219"/>
    </row>
    <row r="101" spans="2:24" ht="30">
      <c r="B101" s="574"/>
      <c r="C101" s="349" t="s">
        <v>244</v>
      </c>
      <c r="D101" s="349"/>
      <c r="E101" s="575" t="s">
        <v>1191</v>
      </c>
      <c r="F101" s="219"/>
      <c r="G101" s="219"/>
      <c r="H101" s="219"/>
      <c r="I101" s="219"/>
      <c r="J101" s="219"/>
      <c r="K101" s="219"/>
      <c r="L101" s="219"/>
      <c r="M101" s="503"/>
      <c r="N101" s="219"/>
      <c r="O101" s="219"/>
      <c r="P101" s="219"/>
      <c r="Q101" s="219"/>
      <c r="R101" s="219"/>
      <c r="S101" s="219"/>
      <c r="U101" s="219"/>
      <c r="V101" s="219"/>
      <c r="W101" s="219"/>
      <c r="X101" s="219"/>
    </row>
    <row r="102" spans="2:24">
      <c r="B102" s="576"/>
      <c r="C102" s="577" t="s">
        <v>992</v>
      </c>
      <c r="D102" s="577"/>
      <c r="E102" s="578">
        <f>'EmCF Library'!Z67</f>
        <v>0.14199999999999999</v>
      </c>
      <c r="F102" s="219"/>
      <c r="G102" s="219"/>
      <c r="H102" s="219"/>
      <c r="I102" s="219"/>
      <c r="J102" s="219"/>
      <c r="K102" s="219"/>
      <c r="L102" s="219"/>
      <c r="M102" s="503"/>
      <c r="N102" s="219"/>
      <c r="O102" s="219"/>
      <c r="P102" s="219"/>
      <c r="Q102" s="219"/>
      <c r="R102" s="219"/>
      <c r="S102" s="219"/>
      <c r="U102" s="219"/>
      <c r="V102" s="219"/>
      <c r="W102" s="219"/>
      <c r="X102" s="219"/>
    </row>
    <row r="103" spans="2:24">
      <c r="B103" s="219"/>
      <c r="C103" s="219"/>
      <c r="D103" s="219"/>
      <c r="E103" s="219"/>
      <c r="F103" s="219"/>
      <c r="G103" s="219"/>
      <c r="H103" s="219"/>
      <c r="I103" s="219"/>
      <c r="J103" s="219"/>
      <c r="K103" s="219"/>
      <c r="L103" s="503"/>
      <c r="M103" s="219"/>
      <c r="N103" s="219"/>
      <c r="O103" s="219"/>
      <c r="P103" s="219"/>
      <c r="Q103" s="219"/>
      <c r="R103" s="219"/>
      <c r="S103" s="219"/>
      <c r="U103" s="219"/>
      <c r="V103" s="219"/>
      <c r="W103" s="219"/>
    </row>
    <row r="104" spans="2:24" ht="47.5">
      <c r="B104" s="574" t="s">
        <v>1729</v>
      </c>
      <c r="C104" s="349" t="s">
        <v>200</v>
      </c>
      <c r="D104" s="349" t="s">
        <v>1709</v>
      </c>
      <c r="E104" s="495" t="s">
        <v>1734</v>
      </c>
      <c r="F104" s="496" t="s">
        <v>1735</v>
      </c>
      <c r="G104" s="349" t="s">
        <v>1751</v>
      </c>
      <c r="H104" s="349" t="s">
        <v>1752</v>
      </c>
      <c r="I104" s="349" t="s">
        <v>1758</v>
      </c>
      <c r="J104" s="497" t="s">
        <v>1736</v>
      </c>
      <c r="K104" s="496" t="s">
        <v>233</v>
      </c>
      <c r="L104" s="500" t="str">
        <f>CONCATENATE("Moles of ",K105," in Mineral")</f>
        <v>Moles of Mn in Mineral</v>
      </c>
      <c r="M104" s="349" t="str">
        <f>CONCATENATE("% ",K105," in Mineral")</f>
        <v>% Mn in Mineral</v>
      </c>
      <c r="N104" s="496" t="s">
        <v>1746</v>
      </c>
      <c r="O104" s="349" t="s">
        <v>1750</v>
      </c>
      <c r="P104" s="349" t="s">
        <v>1749</v>
      </c>
      <c r="Q104" s="498" t="s">
        <v>1748</v>
      </c>
      <c r="R104" s="349" t="s">
        <v>1758</v>
      </c>
      <c r="S104" s="349" t="s">
        <v>1753</v>
      </c>
      <c r="T104" s="498" t="s">
        <v>1759</v>
      </c>
      <c r="U104" s="589" t="s">
        <v>1771</v>
      </c>
      <c r="V104" s="227"/>
      <c r="W104" s="219"/>
    </row>
    <row r="105" spans="2:24">
      <c r="B105" s="594"/>
      <c r="C105" s="595" t="s">
        <v>615</v>
      </c>
      <c r="D105" s="595" t="str">
        <f>VLOOKUP(C105,Mineral_table,2,FALSE)</f>
        <v>MnO2</v>
      </c>
      <c r="E105" s="597">
        <f>VLOOKUP($C105,'Singular Minerals'!$C$12:$T$327,'Multiple Minerals'!E$18,FALSE)</f>
        <v>5.6400000000000002E-7</v>
      </c>
      <c r="F105" s="598">
        <f>VLOOKUP($C105,'Singular Minerals'!$C$12:$T$327,'Multiple Minerals'!F$18,FALSE)</f>
        <v>86.94</v>
      </c>
      <c r="G105" s="599">
        <f>E105*F105</f>
        <v>4.9034160000000003E-5</v>
      </c>
      <c r="H105" s="597">
        <f>E105*ave_crustal_molar_mass</f>
        <v>8.7532800000000003E-5</v>
      </c>
      <c r="I105" s="607">
        <f>E105/$E$107</f>
        <v>0.37301587301587302</v>
      </c>
      <c r="J105" s="597">
        <f>VLOOKUP($C105,'Singular Minerals'!$C$12:$T$327,'Multiple Minerals'!J$18,FALSE)</f>
        <v>634412675.40687454</v>
      </c>
      <c r="K105" s="601" t="s">
        <v>115</v>
      </c>
      <c r="L105" s="602">
        <v>1</v>
      </c>
      <c r="M105" s="603">
        <f>L105*VLOOKUP(K105,'Crust Element Composition'!$B$5:$E$81,4,FALSE)/F105</f>
        <v>0.63190706234184502</v>
      </c>
      <c r="N105" s="603">
        <f>$E$102/M105</f>
        <v>0.2247165896101059</v>
      </c>
      <c r="O105" s="604">
        <f>(N105/F105)*$J$2</f>
        <v>0.40115038770978184</v>
      </c>
      <c r="P105" s="605">
        <f>standard_temperature*gas_constant*LN(O105/H105)/F105</f>
        <v>240.35701147421804</v>
      </c>
      <c r="Q105" s="599">
        <f>P105*$J$3</f>
        <v>13278515064.42433</v>
      </c>
      <c r="R105" s="599"/>
      <c r="S105" s="599">
        <f>MAX(J105,Q105)</f>
        <v>13278515064.42433</v>
      </c>
      <c r="T105" s="618"/>
      <c r="U105" s="621"/>
      <c r="V105" s="219"/>
      <c r="W105" s="219"/>
    </row>
    <row r="106" spans="2:24">
      <c r="B106" s="585"/>
      <c r="C106" s="228" t="s">
        <v>606</v>
      </c>
      <c r="D106" s="228" t="str">
        <f>VLOOKUP(C106,Mineral_table,2,FALSE)</f>
        <v>MnCO3</v>
      </c>
      <c r="E106" s="229">
        <f>VLOOKUP($C106,'Singular Minerals'!$C$12:$T$327,'Multiple Minerals'!E$18,FALSE)</f>
        <v>9.4799999999999997E-7</v>
      </c>
      <c r="F106" s="231">
        <f>VLOOKUP($C106,'Singular Minerals'!$C$12:$T$327,'Multiple Minerals'!F$18,FALSE)</f>
        <v>114.95</v>
      </c>
      <c r="G106" s="229">
        <f>E106*F106</f>
        <v>1.089726E-4</v>
      </c>
      <c r="H106" s="229">
        <f>E106*ave_crustal_molar_mass</f>
        <v>1.4712959999999998E-4</v>
      </c>
      <c r="I106" s="233">
        <f>E106/$E$107</f>
        <v>0.62698412698412698</v>
      </c>
      <c r="J106" s="229">
        <f>VLOOKUP($C106,'Singular Minerals'!$C$12:$T$327,'Multiple Minerals'!J$18,FALSE)</f>
        <v>842787365.20639038</v>
      </c>
      <c r="K106" s="586" t="s">
        <v>115</v>
      </c>
      <c r="L106" s="587">
        <v>1</v>
      </c>
      <c r="M106" s="232">
        <f>L106*VLOOKUP(K106,'Crust Element Composition'!$B$5:$E$81,4,FALSE)/F106</f>
        <v>0.47792953458025228</v>
      </c>
      <c r="N106" s="232">
        <f>$E$102/M106</f>
        <v>0.29711492955695507</v>
      </c>
      <c r="O106" s="484">
        <f>(N106/F106)*$J$2</f>
        <v>0.40115038770978184</v>
      </c>
      <c r="P106" s="485">
        <f>standard_temperature*gas_constant*LN(O106/H106)/F106</f>
        <v>170.59058022929418</v>
      </c>
      <c r="Q106" s="230">
        <f>P106*$J$3</f>
        <v>9424270902.3969803</v>
      </c>
      <c r="R106" s="230"/>
      <c r="S106" s="230">
        <f>MAX(J106,Q106)</f>
        <v>9424270902.3969803</v>
      </c>
      <c r="T106" s="609"/>
      <c r="U106" s="622"/>
      <c r="V106" s="219"/>
      <c r="W106" s="219"/>
    </row>
    <row r="107" spans="2:24">
      <c r="B107" s="252">
        <v>2007</v>
      </c>
      <c r="C107" s="247"/>
      <c r="D107" s="247"/>
      <c r="E107" s="352">
        <f>SUM(E105:E106)</f>
        <v>1.5120000000000001E-6</v>
      </c>
      <c r="F107" s="492"/>
      <c r="G107" s="352"/>
      <c r="H107" s="352"/>
      <c r="I107" s="494">
        <f>SUM(I105:I106)</f>
        <v>1</v>
      </c>
      <c r="J107" s="352">
        <f>SUMPRODUCT($I$105:$I$106,J105:J106)</f>
        <v>765060298.37641227</v>
      </c>
      <c r="K107" s="482"/>
      <c r="L107" s="501"/>
      <c r="M107" s="493">
        <f>SUMPRODUCT(I105:I106,M105:M106)</f>
        <v>0.53536559652306859</v>
      </c>
      <c r="N107" s="493"/>
      <c r="O107" s="352"/>
      <c r="P107" s="492"/>
      <c r="Q107" s="492"/>
      <c r="R107" s="492"/>
      <c r="S107" s="352">
        <f>SUMPRODUCT(S105:S106,I105:I106)</f>
        <v>10861965153.311943</v>
      </c>
      <c r="T107" s="504">
        <f>MAX(J107,S107)</f>
        <v>10861965153.311943</v>
      </c>
      <c r="U107" s="588">
        <f>T107/M107</f>
        <v>20288874040.197887</v>
      </c>
      <c r="V107" s="219"/>
      <c r="W107" s="219"/>
    </row>
    <row r="108" spans="2:24">
      <c r="B108" s="219"/>
      <c r="C108" s="219" t="s">
        <v>1312</v>
      </c>
      <c r="D108" s="219"/>
      <c r="E108" s="219"/>
      <c r="F108" s="219"/>
      <c r="G108" s="219"/>
      <c r="H108" s="219"/>
      <c r="I108" s="219"/>
      <c r="J108" s="219"/>
      <c r="K108" s="219"/>
      <c r="L108" s="503"/>
      <c r="M108" s="219"/>
      <c r="N108" s="219"/>
      <c r="O108" s="219"/>
      <c r="P108" s="219"/>
      <c r="Q108" s="219"/>
      <c r="R108" s="219"/>
      <c r="S108" s="219"/>
      <c r="U108" s="236"/>
      <c r="V108" s="219"/>
      <c r="W108" s="219"/>
    </row>
    <row r="109" spans="2:24">
      <c r="B109" s="219"/>
      <c r="C109" s="219"/>
      <c r="D109" s="219"/>
      <c r="E109" s="219"/>
      <c r="F109" s="219"/>
      <c r="G109" s="219"/>
      <c r="H109" s="219"/>
      <c r="I109" s="219"/>
      <c r="J109" s="219"/>
      <c r="K109" s="219"/>
      <c r="L109" s="503"/>
      <c r="M109" s="219"/>
      <c r="N109" s="219"/>
      <c r="O109" s="219"/>
      <c r="P109" s="219"/>
      <c r="Q109" s="219"/>
      <c r="R109" s="219"/>
      <c r="S109" s="219"/>
      <c r="U109" s="219"/>
      <c r="V109" s="219"/>
      <c r="W109" s="219"/>
    </row>
    <row r="110" spans="2:24">
      <c r="B110" s="256" t="s">
        <v>1479</v>
      </c>
      <c r="D110" s="219"/>
      <c r="E110" s="219"/>
      <c r="F110" s="219"/>
      <c r="G110" s="219"/>
      <c r="H110" s="219"/>
      <c r="I110" s="219"/>
      <c r="J110" s="219"/>
      <c r="K110" s="219"/>
      <c r="L110" s="503"/>
      <c r="M110" s="219"/>
      <c r="N110" s="219"/>
      <c r="O110" s="219"/>
      <c r="P110" s="219"/>
      <c r="Q110" s="219"/>
      <c r="R110" s="219"/>
      <c r="S110" s="219"/>
      <c r="U110" s="219"/>
      <c r="V110" s="219"/>
      <c r="W110" s="219"/>
    </row>
    <row r="111" spans="2:24">
      <c r="B111" s="574"/>
      <c r="C111" s="349" t="s">
        <v>244</v>
      </c>
      <c r="D111" s="349"/>
      <c r="E111" s="575" t="s">
        <v>358</v>
      </c>
      <c r="F111" s="219"/>
      <c r="G111" s="219"/>
      <c r="H111" s="219"/>
      <c r="I111" s="219"/>
      <c r="J111" s="219"/>
      <c r="K111" s="219"/>
      <c r="L111" s="219"/>
      <c r="M111" s="503"/>
      <c r="N111" s="219"/>
      <c r="O111" s="219"/>
      <c r="P111" s="219"/>
      <c r="Q111" s="219"/>
      <c r="R111" s="219"/>
      <c r="S111" s="219"/>
      <c r="U111" s="219"/>
      <c r="V111" s="219"/>
      <c r="W111" s="219"/>
      <c r="X111" s="219"/>
    </row>
    <row r="112" spans="2:24">
      <c r="B112" s="576"/>
      <c r="C112" s="577" t="s">
        <v>357</v>
      </c>
      <c r="D112" s="577"/>
      <c r="E112" s="578">
        <f>'EmCF Library'!Z100</f>
        <v>4.0000000000000001E-3</v>
      </c>
      <c r="F112" s="219"/>
      <c r="G112" s="219"/>
      <c r="H112" s="219"/>
      <c r="I112" s="219"/>
      <c r="J112" s="219"/>
      <c r="K112" s="219"/>
      <c r="L112" s="219"/>
      <c r="M112" s="503"/>
      <c r="N112" s="219"/>
      <c r="O112" s="219"/>
      <c r="P112" s="219"/>
      <c r="Q112" s="219"/>
      <c r="R112" s="219"/>
      <c r="S112" s="219"/>
      <c r="U112" s="219"/>
      <c r="V112" s="219"/>
      <c r="W112" s="219"/>
      <c r="X112" s="219"/>
    </row>
    <row r="113" spans="2:24">
      <c r="B113" s="219"/>
      <c r="C113" s="219"/>
      <c r="D113" s="219"/>
      <c r="E113" s="219"/>
      <c r="F113" s="219"/>
      <c r="G113" s="219"/>
      <c r="H113" s="219"/>
      <c r="I113" s="219"/>
      <c r="J113" s="219"/>
      <c r="K113" s="219"/>
      <c r="L113" s="503"/>
      <c r="M113" s="219"/>
      <c r="N113" s="219"/>
      <c r="O113" s="219"/>
      <c r="P113" s="219"/>
      <c r="Q113" s="219"/>
      <c r="R113" s="219"/>
      <c r="S113" s="219"/>
      <c r="U113" s="219"/>
      <c r="V113" s="219"/>
      <c r="W113" s="219"/>
    </row>
    <row r="114" spans="2:24" ht="47.5">
      <c r="B114" s="574" t="s">
        <v>1729</v>
      </c>
      <c r="C114" s="349" t="s">
        <v>200</v>
      </c>
      <c r="D114" s="349" t="s">
        <v>1709</v>
      </c>
      <c r="E114" s="495" t="s">
        <v>1734</v>
      </c>
      <c r="F114" s="496" t="s">
        <v>1735</v>
      </c>
      <c r="G114" s="349" t="s">
        <v>1751</v>
      </c>
      <c r="H114" s="349" t="s">
        <v>1752</v>
      </c>
      <c r="I114" s="349" t="s">
        <v>1758</v>
      </c>
      <c r="J114" s="497" t="s">
        <v>1736</v>
      </c>
      <c r="K114" s="496" t="s">
        <v>233</v>
      </c>
      <c r="L114" s="500" t="str">
        <f>CONCATENATE("Moles of ",K115," in Mineral")</f>
        <v>Moles of Ti in Mineral</v>
      </c>
      <c r="M114" s="349" t="str">
        <f>CONCATENATE("% ",K115," in Mineral")</f>
        <v>% Ti in Mineral</v>
      </c>
      <c r="N114" s="496" t="s">
        <v>1746</v>
      </c>
      <c r="O114" s="349" t="s">
        <v>1750</v>
      </c>
      <c r="P114" s="349" t="s">
        <v>1749</v>
      </c>
      <c r="Q114" s="498" t="s">
        <v>1748</v>
      </c>
      <c r="R114" s="349" t="s">
        <v>1758</v>
      </c>
      <c r="S114" s="349" t="s">
        <v>1753</v>
      </c>
      <c r="T114" s="498" t="s">
        <v>1759</v>
      </c>
      <c r="U114" s="589" t="s">
        <v>1771</v>
      </c>
      <c r="V114" s="227"/>
      <c r="W114" s="219"/>
    </row>
    <row r="115" spans="2:24">
      <c r="B115" s="594"/>
      <c r="C115" s="595" t="s">
        <v>215</v>
      </c>
      <c r="D115" s="596" t="s">
        <v>341</v>
      </c>
      <c r="E115" s="597">
        <f>VLOOKUP($C115,'Singular Minerals'!$C$12:$T$327,'Multiple Minerals'!E$18,FALSE)</f>
        <v>3.1000000000000001E-5</v>
      </c>
      <c r="F115" s="598">
        <f>VLOOKUP($C115,'Singular Minerals'!$C$12:$T$327,'Multiple Minerals'!F$18,FALSE)</f>
        <v>151.72999999999999</v>
      </c>
      <c r="G115" s="599">
        <f>E115*F115</f>
        <v>4.7036300000000003E-3</v>
      </c>
      <c r="H115" s="597">
        <f>E115*ave_crustal_molar_mass</f>
        <v>4.8111999999999999E-3</v>
      </c>
      <c r="I115" s="607">
        <f>E115/$E$118</f>
        <v>0.85375929496006608</v>
      </c>
      <c r="J115" s="597">
        <f>VLOOKUP($C115,'Singular Minerals'!$C$12:$T$327,'Multiple Minerals'!J$18,FALSE)</f>
        <v>909173379.38970625</v>
      </c>
      <c r="K115" s="601" t="s">
        <v>144</v>
      </c>
      <c r="L115" s="602">
        <v>1</v>
      </c>
      <c r="M115" s="603">
        <f>L115*VLOOKUP(K115,'Crust Element Composition'!$B$5:$E$81,4,FALSE)/F115</f>
        <v>0.31547485665326569</v>
      </c>
      <c r="N115" s="600">
        <f>$E$112/M115</f>
        <v>1.2679298890676248E-2</v>
      </c>
      <c r="O115" s="604">
        <f>(N115/F115)*$J$2</f>
        <v>1.2969269016232476E-2</v>
      </c>
      <c r="P115" s="605">
        <f>standard_temperature*gas_constant*LN(O115/H115)/F115</f>
        <v>16.20039883090881</v>
      </c>
      <c r="Q115" s="599">
        <f>P115*$J$3</f>
        <v>894990491.87911689</v>
      </c>
      <c r="R115" s="599"/>
      <c r="S115" s="599">
        <f>MAX(J115,Q115)</f>
        <v>909173379.38970625</v>
      </c>
      <c r="T115" s="618"/>
      <c r="U115" s="621"/>
      <c r="V115" s="219"/>
      <c r="W115" s="219"/>
    </row>
    <row r="116" spans="2:24">
      <c r="B116" s="585"/>
      <c r="C116" s="228" t="s">
        <v>346</v>
      </c>
      <c r="D116" s="241" t="s">
        <v>345</v>
      </c>
      <c r="E116" s="229">
        <f>VLOOKUP($C116,'Singular Minerals'!$C$12:$T$327,'Multiple Minerals'!E$18,FALSE)</f>
        <v>1.9E-6</v>
      </c>
      <c r="F116" s="231">
        <f>VLOOKUP($C116,'Singular Minerals'!$C$12:$T$327,'Multiple Minerals'!F$18,FALSE)</f>
        <v>196.03</v>
      </c>
      <c r="G116" s="229">
        <f>E116*F116</f>
        <v>3.7245700000000003E-4</v>
      </c>
      <c r="H116" s="229">
        <f>E116*ave_crustal_molar_mass</f>
        <v>2.9487999999999997E-4</v>
      </c>
      <c r="I116" s="233">
        <f>E116/$E$118</f>
        <v>5.2327182594326629E-2</v>
      </c>
      <c r="J116" s="229">
        <f>VLOOKUP($C116,'Singular Minerals'!$C$12:$T$327,'Multiple Minerals'!J$18,FALSE)</f>
        <v>1484722725.4870956</v>
      </c>
      <c r="K116" s="586" t="s">
        <v>144</v>
      </c>
      <c r="L116" s="587">
        <v>1</v>
      </c>
      <c r="M116" s="232">
        <f>L116*VLOOKUP(K116,'Crust Element Composition'!$B$5:$E$81,4,FALSE)/F116</f>
        <v>0.24418201295720041</v>
      </c>
      <c r="N116" s="240">
        <f>$E$112/M116</f>
        <v>1.6381222971984875E-2</v>
      </c>
      <c r="O116" s="484">
        <f>(N116/F116)*$J$2</f>
        <v>1.2969269016232476E-2</v>
      </c>
      <c r="P116" s="485">
        <f>standard_temperature*gas_constant*LN(O116/H116)/F116</f>
        <v>47.846145558301394</v>
      </c>
      <c r="Q116" s="230">
        <f>P116*$J$3</f>
        <v>2643258712.0043001</v>
      </c>
      <c r="R116" s="230"/>
      <c r="S116" s="230">
        <f>MAX(J116,Q116)</f>
        <v>2643258712.0043001</v>
      </c>
      <c r="T116" s="609"/>
      <c r="U116" s="622"/>
      <c r="V116" s="219"/>
      <c r="W116" s="219"/>
    </row>
    <row r="117" spans="2:24">
      <c r="B117" s="585"/>
      <c r="C117" s="228" t="s">
        <v>223</v>
      </c>
      <c r="D117" s="241" t="s">
        <v>143</v>
      </c>
      <c r="E117" s="229">
        <f>VLOOKUP($C117,'Singular Minerals'!$C$12:$T$327,'Multiple Minerals'!E$18,FALSE)</f>
        <v>3.41E-6</v>
      </c>
      <c r="F117" s="231">
        <f>VLOOKUP($C117,'Singular Minerals'!$C$12:$T$327,'Multiple Minerals'!F$18,FALSE)</f>
        <v>79.866</v>
      </c>
      <c r="G117" s="229">
        <f>E117*F117</f>
        <v>2.7234306000000001E-4</v>
      </c>
      <c r="H117" s="229">
        <f>E117*ave_crustal_molar_mass</f>
        <v>5.2923199999999992E-4</v>
      </c>
      <c r="I117" s="233">
        <f>E117/$E$118</f>
        <v>9.3913522445607259E-2</v>
      </c>
      <c r="J117" s="229">
        <f>VLOOKUP($C117,'Singular Minerals'!$C$12:$T$327,'Multiple Minerals'!J$18,FALSE)</f>
        <v>1321382797.1527596</v>
      </c>
      <c r="K117" s="586" t="s">
        <v>144</v>
      </c>
      <c r="L117" s="587">
        <v>1</v>
      </c>
      <c r="M117" s="232">
        <f>L117*VLOOKUP(K117,'Crust Element Composition'!$B$5:$E$81,4,FALSE)/F117</f>
        <v>0.59934139683970644</v>
      </c>
      <c r="N117" s="240">
        <f>$E$112/M117</f>
        <v>6.6739925209434482E-3</v>
      </c>
      <c r="O117" s="484">
        <f>(N117/F117)*$J$2</f>
        <v>1.2969269016232479E-2</v>
      </c>
      <c r="P117" s="485">
        <f>standard_temperature*gas_constant*LN(O117/H117)/F117</f>
        <v>99.285324523317996</v>
      </c>
      <c r="Q117" s="230">
        <f>P117*$J$3</f>
        <v>5485014434.4574318</v>
      </c>
      <c r="R117" s="230"/>
      <c r="S117" s="230">
        <f>MAX(J117,Q117)</f>
        <v>5485014434.4574318</v>
      </c>
      <c r="T117" s="609"/>
      <c r="U117" s="622"/>
      <c r="V117" s="219"/>
      <c r="W117" s="219"/>
    </row>
    <row r="118" spans="2:24">
      <c r="B118" s="252">
        <v>2008</v>
      </c>
      <c r="C118" s="247"/>
      <c r="D118" s="247"/>
      <c r="E118" s="352">
        <f>SUM(E115:E117)</f>
        <v>3.6310000000000003E-5</v>
      </c>
      <c r="F118" s="492"/>
      <c r="G118" s="352"/>
      <c r="H118" s="352"/>
      <c r="I118" s="494">
        <f>SUM(I115:I117)</f>
        <v>1</v>
      </c>
      <c r="J118" s="352">
        <f>SUMPRODUCT($I$115:$I$117,J115:J117)</f>
        <v>978002293.52237082</v>
      </c>
      <c r="K118" s="482"/>
      <c r="L118" s="501"/>
      <c r="M118" s="493">
        <f>SUMPRODUCT(I115:I117,M115:M117)</f>
        <v>0.33840320969686905</v>
      </c>
      <c r="N118" s="493"/>
      <c r="O118" s="352"/>
      <c r="P118" s="492"/>
      <c r="Q118" s="492"/>
      <c r="R118" s="492"/>
      <c r="S118" s="352">
        <f>SUMPRODUCT(S115:S117,I115:I117)</f>
        <v>1429646530.8562078</v>
      </c>
      <c r="T118" s="504">
        <f>MAX(J118,S118)</f>
        <v>1429646530.8562078</v>
      </c>
      <c r="U118" s="588">
        <f>T118/M118</f>
        <v>4224683720.1598659</v>
      </c>
      <c r="V118" s="219"/>
      <c r="W118" s="219"/>
    </row>
    <row r="119" spans="2:24">
      <c r="B119" s="219"/>
      <c r="C119" s="219" t="s">
        <v>1313</v>
      </c>
      <c r="D119" s="219"/>
      <c r="E119" s="219"/>
      <c r="F119" s="219"/>
      <c r="G119" s="219"/>
      <c r="H119" s="219"/>
      <c r="I119" s="219"/>
      <c r="J119" s="219"/>
      <c r="K119" s="219"/>
      <c r="L119" s="503"/>
      <c r="M119" s="219"/>
      <c r="N119" s="219"/>
      <c r="O119" s="219"/>
      <c r="P119" s="219"/>
      <c r="Q119" s="219"/>
      <c r="R119" s="219"/>
      <c r="S119" s="219"/>
      <c r="U119" s="236"/>
      <c r="V119" s="219"/>
      <c r="W119" s="219"/>
    </row>
    <row r="120" spans="2:24">
      <c r="B120" s="219"/>
      <c r="C120" s="219"/>
      <c r="D120" s="219"/>
      <c r="E120" s="219"/>
      <c r="F120" s="219"/>
      <c r="G120" s="219"/>
      <c r="H120" s="219"/>
      <c r="I120" s="219"/>
      <c r="J120" s="219"/>
      <c r="K120" s="219"/>
      <c r="L120" s="503"/>
      <c r="M120" s="219"/>
      <c r="N120" s="219"/>
      <c r="O120" s="219"/>
      <c r="P120" s="219"/>
      <c r="Q120" s="219"/>
      <c r="R120" s="219"/>
      <c r="S120" s="219"/>
      <c r="U120" s="219"/>
      <c r="V120" s="219"/>
      <c r="W120" s="219"/>
    </row>
    <row r="121" spans="2:24">
      <c r="B121" s="256" t="s">
        <v>1480</v>
      </c>
      <c r="D121" s="219"/>
      <c r="E121" s="219"/>
      <c r="F121" s="219"/>
      <c r="G121" s="219"/>
      <c r="H121" s="219"/>
      <c r="I121" s="219"/>
      <c r="J121" s="219"/>
      <c r="K121" s="219"/>
      <c r="L121" s="503"/>
      <c r="M121" s="219"/>
      <c r="N121" s="219"/>
      <c r="O121" s="219"/>
      <c r="P121" s="219"/>
      <c r="Q121" s="219"/>
      <c r="R121" s="219"/>
      <c r="S121" s="219"/>
      <c r="U121" s="219"/>
      <c r="V121" s="219"/>
      <c r="W121" s="219"/>
    </row>
    <row r="122" spans="2:24">
      <c r="B122" s="574"/>
      <c r="C122" s="349" t="s">
        <v>244</v>
      </c>
      <c r="D122" s="349"/>
      <c r="E122" s="575" t="s">
        <v>428</v>
      </c>
      <c r="F122" s="219"/>
      <c r="G122" s="219"/>
      <c r="H122" s="219"/>
      <c r="I122" s="219"/>
      <c r="J122" s="219"/>
      <c r="K122" s="219"/>
      <c r="L122" s="219"/>
      <c r="M122" s="503"/>
      <c r="N122" s="219"/>
      <c r="O122" s="219"/>
      <c r="P122" s="219"/>
      <c r="Q122" s="219"/>
      <c r="R122" s="219"/>
      <c r="S122" s="219"/>
      <c r="U122" s="219"/>
      <c r="V122" s="219"/>
      <c r="W122" s="219"/>
      <c r="X122" s="219"/>
    </row>
    <row r="123" spans="2:24">
      <c r="B123" s="576"/>
      <c r="C123" s="577" t="s">
        <v>368</v>
      </c>
      <c r="D123" s="577"/>
      <c r="E123" s="578">
        <f>'EmCF Library'!Z31</f>
        <v>0.1</v>
      </c>
      <c r="F123" s="219"/>
      <c r="G123" s="219"/>
      <c r="H123" s="219"/>
      <c r="I123" s="219"/>
      <c r="J123" s="219"/>
      <c r="K123" s="219"/>
      <c r="L123" s="219"/>
      <c r="M123" s="503"/>
      <c r="N123" s="219"/>
      <c r="O123" s="219"/>
      <c r="P123" s="219"/>
      <c r="Q123" s="219"/>
      <c r="R123" s="219"/>
      <c r="S123" s="219"/>
      <c r="U123" s="219"/>
      <c r="V123" s="219"/>
      <c r="W123" s="219"/>
      <c r="X123" s="219"/>
    </row>
    <row r="124" spans="2:24">
      <c r="B124" s="219"/>
      <c r="C124" s="219"/>
      <c r="D124" s="219"/>
      <c r="E124" s="219"/>
      <c r="F124" s="219"/>
      <c r="G124" s="219"/>
      <c r="H124" s="219"/>
      <c r="I124" s="219"/>
      <c r="J124" s="219"/>
      <c r="K124" s="219"/>
      <c r="L124" s="503"/>
      <c r="M124" s="219"/>
      <c r="N124" s="219"/>
      <c r="O124" s="219"/>
      <c r="P124" s="219"/>
      <c r="Q124" s="219"/>
      <c r="R124" s="219"/>
      <c r="S124" s="219"/>
      <c r="U124" s="219"/>
      <c r="V124" s="219"/>
      <c r="W124" s="219"/>
    </row>
    <row r="125" spans="2:24" ht="47.5">
      <c r="B125" s="574" t="s">
        <v>1729</v>
      </c>
      <c r="C125" s="349" t="s">
        <v>200</v>
      </c>
      <c r="D125" s="349" t="s">
        <v>1709</v>
      </c>
      <c r="E125" s="495" t="s">
        <v>1734</v>
      </c>
      <c r="F125" s="496" t="s">
        <v>1735</v>
      </c>
      <c r="G125" s="349" t="s">
        <v>1751</v>
      </c>
      <c r="H125" s="349" t="s">
        <v>1752</v>
      </c>
      <c r="I125" s="349" t="s">
        <v>1758</v>
      </c>
      <c r="J125" s="497" t="s">
        <v>1736</v>
      </c>
      <c r="K125" s="496" t="s">
        <v>233</v>
      </c>
      <c r="L125" s="500" t="str">
        <f>CONCATENATE("Moles of ",K126," in Mineral")</f>
        <v>Moles of Ce in Mineral</v>
      </c>
      <c r="M125" s="349" t="str">
        <f>CONCATENATE("% ",K126," in Mineral")</f>
        <v>% Ce in Mineral</v>
      </c>
      <c r="N125" s="496" t="s">
        <v>1746</v>
      </c>
      <c r="O125" s="349" t="s">
        <v>1750</v>
      </c>
      <c r="P125" s="349" t="s">
        <v>1749</v>
      </c>
      <c r="Q125" s="498" t="s">
        <v>1748</v>
      </c>
      <c r="R125" s="349" t="s">
        <v>1758</v>
      </c>
      <c r="S125" s="349" t="s">
        <v>1753</v>
      </c>
      <c r="T125" s="498" t="s">
        <v>1759</v>
      </c>
      <c r="U125" s="589" t="s">
        <v>1771</v>
      </c>
      <c r="V125" s="227"/>
      <c r="W125" s="219"/>
    </row>
    <row r="126" spans="2:24">
      <c r="B126" s="594"/>
      <c r="C126" s="595" t="s">
        <v>647</v>
      </c>
      <c r="D126" s="608" t="s">
        <v>916</v>
      </c>
      <c r="E126" s="597">
        <f>VLOOKUP($C126,'Singular Minerals'!$C$12:$T$327,'Multiple Minerals'!E$18,FALSE)</f>
        <v>7.8100000000000005E-8</v>
      </c>
      <c r="F126" s="598">
        <f>VLOOKUP($C126,'Singular Minerals'!$C$12:$T$327,'Multiple Minerals'!F$18,FALSE)</f>
        <v>519.04899999999998</v>
      </c>
      <c r="G126" s="599">
        <f>E126*F126</f>
        <v>4.0537726899999999E-5</v>
      </c>
      <c r="H126" s="597">
        <f>E126*ave_crustal_molar_mass</f>
        <v>1.212112E-5</v>
      </c>
      <c r="I126" s="607">
        <f>E126/$E$130</f>
        <v>0.12532032098690155</v>
      </c>
      <c r="J126" s="597">
        <f>VLOOKUP($C126,'Singular Minerals'!$C$12:$T$327,'Multiple Minerals'!J$18,FALSE)</f>
        <v>1383204073.0993924</v>
      </c>
      <c r="K126" s="601" t="s">
        <v>307</v>
      </c>
      <c r="L126" s="602">
        <v>0.4</v>
      </c>
      <c r="M126" s="603">
        <f>L126*VLOOKUP(K126,'Crust Element Composition'!$B$5:$E$81,4,FALSE)/F126</f>
        <v>0.10797901546867446</v>
      </c>
      <c r="N126" s="600">
        <f>$E$123/M126</f>
        <v>0.92610586942247841</v>
      </c>
      <c r="O126" s="604">
        <f>(N126/F126)*$J$2</f>
        <v>0.27691341459933194</v>
      </c>
      <c r="P126" s="605">
        <f>standard_temperature*gas_constant*LN(O126/H126)/F126</f>
        <v>47.931302418694003</v>
      </c>
      <c r="Q126" s="599">
        <f>P126*$J$3</f>
        <v>2647963199.9101319</v>
      </c>
      <c r="R126" s="599"/>
      <c r="S126" s="599">
        <f>MAX(J126,Q126)</f>
        <v>2647963199.9101319</v>
      </c>
      <c r="T126" s="618"/>
      <c r="U126" s="621"/>
      <c r="V126" s="219"/>
      <c r="W126" s="219"/>
    </row>
    <row r="127" spans="2:24">
      <c r="B127" s="585"/>
      <c r="C127" s="228" t="s">
        <v>670</v>
      </c>
      <c r="D127" s="248" t="s">
        <v>915</v>
      </c>
      <c r="E127" s="229">
        <f>VLOOKUP($C127,'Singular Minerals'!$C$12:$T$327,'Multiple Minerals'!E$18,FALSE)</f>
        <v>4.2899999999999999E-7</v>
      </c>
      <c r="F127" s="231">
        <f>VLOOKUP($C127,'Singular Minerals'!$C$12:$T$327,'Multiple Minerals'!F$18,FALSE)</f>
        <v>240.21</v>
      </c>
      <c r="G127" s="229">
        <f>E127*F127</f>
        <v>1.0305009E-4</v>
      </c>
      <c r="H127" s="229">
        <f>E127*ave_crustal_molar_mass</f>
        <v>6.6580799999999991E-5</v>
      </c>
      <c r="I127" s="233">
        <f>E127/$E$130</f>
        <v>0.68837922795621975</v>
      </c>
      <c r="J127" s="229">
        <f>VLOOKUP($C127,'Singular Minerals'!$C$12:$T$327,'Multiple Minerals'!J$18,FALSE)</f>
        <v>959180958.71789408</v>
      </c>
      <c r="K127" s="586" t="s">
        <v>307</v>
      </c>
      <c r="L127" s="587">
        <v>0.5</v>
      </c>
      <c r="M127" s="232">
        <f>L127*VLOOKUP(K127,'Crust Element Composition'!$B$5:$E$81,4,FALSE)/F127</f>
        <v>0.29165313683859956</v>
      </c>
      <c r="N127" s="240">
        <f>$E$123/M127</f>
        <v>0.34287304804590485</v>
      </c>
      <c r="O127" s="484">
        <f>(N127/F127)*$J$2</f>
        <v>0.22153073167946558</v>
      </c>
      <c r="P127" s="485">
        <f>standard_temperature*gas_constant*LN(O127/H127)/F127</f>
        <v>83.689171550453153</v>
      </c>
      <c r="Q127" s="230">
        <f>P127*$J$3</f>
        <v>4623405484.8076887</v>
      </c>
      <c r="R127" s="230"/>
      <c r="S127" s="230">
        <f>MAX(J127,Q127)</f>
        <v>4623405484.8076887</v>
      </c>
      <c r="T127" s="609"/>
      <c r="U127" s="622"/>
      <c r="V127" s="219"/>
      <c r="W127" s="219"/>
    </row>
    <row r="128" spans="2:24">
      <c r="B128" s="585"/>
      <c r="C128" s="228" t="s">
        <v>351</v>
      </c>
      <c r="D128" s="248" t="s">
        <v>350</v>
      </c>
      <c r="E128" s="229">
        <f>VLOOKUP($C128,'Singular Minerals'!$C$12:$T$327,'Multiple Minerals'!E$18,FALSE)</f>
        <v>1.1600000000000001E-7</v>
      </c>
      <c r="F128" s="231">
        <f>VLOOKUP($C128,'Singular Minerals'!$C$12:$T$327,'Multiple Minerals'!F$18,FALSE)</f>
        <v>217.91</v>
      </c>
      <c r="G128" s="229">
        <f>E128*F128</f>
        <v>2.5277560000000001E-5</v>
      </c>
      <c r="H128" s="229">
        <f>E128*ave_crustal_molar_mass</f>
        <v>1.8003200000000001E-5</v>
      </c>
      <c r="I128" s="233">
        <f>E128/$E$130</f>
        <v>0.18613517585762585</v>
      </c>
      <c r="J128" s="229">
        <f>VLOOKUP($C128,'Singular Minerals'!$C$12:$T$327,'Multiple Minerals'!J$18,FALSE)</f>
        <v>831268122.12508118</v>
      </c>
      <c r="K128" s="586" t="s">
        <v>307</v>
      </c>
      <c r="L128" s="587">
        <v>1</v>
      </c>
      <c r="M128" s="232">
        <f>L128*VLOOKUP(K128,'Crust Element Composition'!$B$5:$E$81,4,FALSE)/F128</f>
        <v>0.64299940342343176</v>
      </c>
      <c r="N128" s="240">
        <f>$E$123/M128</f>
        <v>0.15552113962716604</v>
      </c>
      <c r="O128" s="484">
        <f>(N128/F128)*$J$2</f>
        <v>0.11076536583973277</v>
      </c>
      <c r="P128" s="485">
        <f>standard_temperature*gas_constant*LN(O128/H128)/F128</f>
        <v>99.246268886375205</v>
      </c>
      <c r="Q128" s="230">
        <f>P128*$J$3</f>
        <v>5482856807.100049</v>
      </c>
      <c r="R128" s="230"/>
      <c r="S128" s="230">
        <f>MAX(J128,Q128)</f>
        <v>5482856807.100049</v>
      </c>
      <c r="T128" s="609"/>
      <c r="U128" s="622"/>
      <c r="V128" s="219"/>
      <c r="W128" s="219"/>
    </row>
    <row r="129" spans="2:24">
      <c r="B129" s="585"/>
      <c r="C129" s="228" t="s">
        <v>353</v>
      </c>
      <c r="D129" s="248" t="s">
        <v>917</v>
      </c>
      <c r="E129" s="229">
        <f>VLOOKUP($C129,'Singular Minerals'!$C$12:$T$327,'Multiple Minerals'!E$18,FALSE)</f>
        <v>1.0300000000000001E-10</v>
      </c>
      <c r="F129" s="231">
        <f>VLOOKUP($C129,'Singular Minerals'!$C$12:$T$327,'Multiple Minerals'!F$18,FALSE)</f>
        <v>252.8</v>
      </c>
      <c r="G129" s="229">
        <f>E129*F129</f>
        <v>2.6038400000000003E-8</v>
      </c>
      <c r="H129" s="229">
        <f>E129*ave_crustal_molar_mass</f>
        <v>1.59856E-8</v>
      </c>
      <c r="I129" s="233">
        <f>E129/$E$130</f>
        <v>1.6527519925289193E-4</v>
      </c>
      <c r="J129" s="229">
        <f>VLOOKUP($C129,'Singular Minerals'!$C$12:$T$327,'Multiple Minerals'!J$18,FALSE)</f>
        <v>854474777.18146479</v>
      </c>
      <c r="K129" s="586" t="s">
        <v>307</v>
      </c>
      <c r="L129" s="587">
        <v>0.75</v>
      </c>
      <c r="M129" s="232">
        <f>L129*VLOOKUP(K129,'Crust Element Composition'!$B$5:$E$81,4,FALSE)/F129</f>
        <v>0.41569224683544309</v>
      </c>
      <c r="N129" s="240">
        <f>$E$123/M129</f>
        <v>0.24056258148010695</v>
      </c>
      <c r="O129" s="484">
        <f>(N129/F129)*$J$2</f>
        <v>0.14768715445297703</v>
      </c>
      <c r="P129" s="485">
        <f>standard_temperature*gas_constant*LN(O129/H129)/F129</f>
        <v>157.2688979927122</v>
      </c>
      <c r="Q129" s="230">
        <f>P129*$J$3</f>
        <v>8688315012.5439301</v>
      </c>
      <c r="R129" s="230"/>
      <c r="S129" s="230">
        <f>MAX(J129,Q129)</f>
        <v>8688315012.5439301</v>
      </c>
      <c r="T129" s="609"/>
      <c r="U129" s="622"/>
      <c r="V129" s="219"/>
      <c r="W129" s="219"/>
    </row>
    <row r="130" spans="2:24">
      <c r="B130" s="252">
        <v>2009</v>
      </c>
      <c r="C130" s="247"/>
      <c r="D130" s="247"/>
      <c r="E130" s="352">
        <f>SUM(E126:E129)</f>
        <v>6.23203E-7</v>
      </c>
      <c r="F130" s="492"/>
      <c r="G130" s="352"/>
      <c r="H130" s="352"/>
      <c r="I130" s="494">
        <f>SUM(I126:I129)</f>
        <v>1</v>
      </c>
      <c r="J130" s="352">
        <f>SUMPRODUCT(J126:J129,$I$126:$I$129)</f>
        <v>988493287.8493818</v>
      </c>
      <c r="K130" s="482"/>
      <c r="L130" s="501"/>
      <c r="M130" s="493">
        <f>SUMPRODUCT(I126:I129,M126:M129)</f>
        <v>0.33405343669784138</v>
      </c>
      <c r="N130" s="493"/>
      <c r="O130" s="352"/>
      <c r="P130" s="492"/>
      <c r="Q130" s="492"/>
      <c r="R130" s="492"/>
      <c r="S130" s="352">
        <f>SUMPRODUCT(S126:S129,I126:I129)</f>
        <v>4536488375.3213282</v>
      </c>
      <c r="T130" s="504">
        <f>MAX(J130,S130)</f>
        <v>4536488375.3213282</v>
      </c>
      <c r="U130" s="588">
        <f>T130/M130</f>
        <v>13580127838.722645</v>
      </c>
      <c r="V130" s="219"/>
      <c r="W130" s="219"/>
    </row>
    <row r="131" spans="2:24">
      <c r="B131" s="219"/>
      <c r="C131" s="219" t="s">
        <v>1315</v>
      </c>
      <c r="D131" s="219"/>
      <c r="E131" s="219"/>
      <c r="F131" s="219"/>
      <c r="G131" s="219"/>
      <c r="H131" s="219"/>
      <c r="I131" s="219"/>
      <c r="J131" s="219"/>
      <c r="K131" s="219"/>
      <c r="L131" s="503"/>
      <c r="M131" s="219"/>
      <c r="N131" s="219"/>
      <c r="O131" s="219"/>
      <c r="P131" s="219"/>
      <c r="Q131" s="219"/>
      <c r="R131" s="219"/>
      <c r="S131" s="219"/>
      <c r="U131" s="236"/>
      <c r="V131" s="219"/>
      <c r="W131" s="219"/>
    </row>
    <row r="132" spans="2:24">
      <c r="B132" s="219"/>
      <c r="C132" s="219"/>
      <c r="D132" s="219"/>
      <c r="E132" s="219"/>
      <c r="F132" s="219"/>
      <c r="G132" s="219"/>
      <c r="H132" s="219"/>
      <c r="I132" s="219"/>
      <c r="J132" s="219"/>
      <c r="K132" s="219"/>
      <c r="L132" s="503"/>
      <c r="M132" s="219"/>
      <c r="N132" s="219"/>
      <c r="O132" s="219"/>
      <c r="P132" s="219"/>
      <c r="Q132" s="219"/>
      <c r="R132" s="219"/>
      <c r="S132" s="219"/>
      <c r="U132" s="219"/>
      <c r="V132" s="219"/>
      <c r="W132" s="219"/>
    </row>
    <row r="133" spans="2:24">
      <c r="B133" s="256" t="s">
        <v>1481</v>
      </c>
      <c r="D133" s="219"/>
      <c r="E133" s="219"/>
      <c r="F133" s="219"/>
      <c r="G133" s="219"/>
      <c r="H133" s="219"/>
      <c r="I133" s="219"/>
      <c r="J133" s="219"/>
      <c r="K133" s="219"/>
      <c r="L133" s="503"/>
      <c r="M133" s="219"/>
      <c r="N133" s="219"/>
      <c r="O133" s="219"/>
      <c r="P133" s="219"/>
      <c r="Q133" s="219"/>
      <c r="R133" s="219"/>
      <c r="S133" s="219"/>
      <c r="U133" s="219"/>
      <c r="V133" s="219"/>
      <c r="W133" s="219"/>
    </row>
    <row r="134" spans="2:24">
      <c r="B134" s="574"/>
      <c r="C134" s="349" t="s">
        <v>244</v>
      </c>
      <c r="D134" s="349"/>
      <c r="E134" s="575" t="s">
        <v>908</v>
      </c>
      <c r="F134" s="219"/>
      <c r="G134" s="219"/>
      <c r="H134" s="219"/>
      <c r="I134" s="219"/>
      <c r="J134" s="219"/>
      <c r="K134" s="219"/>
      <c r="L134" s="219"/>
      <c r="M134" s="503"/>
      <c r="N134" s="219"/>
      <c r="O134" s="219"/>
      <c r="P134" s="219"/>
      <c r="Q134" s="219"/>
      <c r="R134" s="219"/>
      <c r="S134" s="219"/>
      <c r="U134" s="219"/>
      <c r="V134" s="219"/>
      <c r="W134" s="219"/>
      <c r="X134" s="219"/>
    </row>
    <row r="135" spans="2:24">
      <c r="B135" s="576"/>
      <c r="C135" s="577" t="s">
        <v>385</v>
      </c>
      <c r="D135" s="577"/>
      <c r="E135" s="578">
        <f>'EmCF Library'!Z63</f>
        <v>7.4999999999999997E-3</v>
      </c>
      <c r="F135" s="219"/>
      <c r="G135" s="219"/>
      <c r="H135" s="219"/>
      <c r="I135" s="219"/>
      <c r="J135" s="219"/>
      <c r="K135" s="219"/>
      <c r="L135" s="219"/>
      <c r="M135" s="503"/>
      <c r="N135" s="219"/>
      <c r="O135" s="219"/>
      <c r="P135" s="219"/>
      <c r="Q135" s="219"/>
      <c r="R135" s="219"/>
      <c r="S135" s="219"/>
      <c r="U135" s="219"/>
      <c r="V135" s="219"/>
      <c r="W135" s="219"/>
      <c r="X135" s="219"/>
    </row>
    <row r="136" spans="2:24">
      <c r="B136" s="219"/>
      <c r="C136" s="219"/>
      <c r="D136" s="219"/>
      <c r="E136" s="219"/>
      <c r="F136" s="219"/>
      <c r="G136" s="219"/>
      <c r="H136" s="219"/>
      <c r="I136" s="219"/>
      <c r="J136" s="219"/>
      <c r="K136" s="219"/>
      <c r="L136" s="503"/>
      <c r="M136" s="219"/>
      <c r="N136" s="219"/>
      <c r="O136" s="219"/>
      <c r="P136" s="219"/>
      <c r="Q136" s="219"/>
      <c r="R136" s="219"/>
      <c r="S136" s="219"/>
      <c r="U136" s="219"/>
      <c r="V136" s="219"/>
      <c r="W136" s="219"/>
    </row>
    <row r="137" spans="2:24" ht="47.5">
      <c r="B137" s="572" t="s">
        <v>1729</v>
      </c>
      <c r="C137" s="571" t="s">
        <v>200</v>
      </c>
      <c r="D137" s="571" t="s">
        <v>1709</v>
      </c>
      <c r="E137" s="579" t="s">
        <v>1734</v>
      </c>
      <c r="F137" s="580" t="s">
        <v>1735</v>
      </c>
      <c r="G137" s="571" t="s">
        <v>1751</v>
      </c>
      <c r="H137" s="571" t="s">
        <v>1752</v>
      </c>
      <c r="I137" s="571" t="s">
        <v>1758</v>
      </c>
      <c r="J137" s="581" t="s">
        <v>1736</v>
      </c>
      <c r="K137" s="580" t="s">
        <v>233</v>
      </c>
      <c r="L137" s="582" t="str">
        <f>CONCATENATE("Moles of ",K138," in Mineral")</f>
        <v>Moles of La in Mineral</v>
      </c>
      <c r="M137" s="571" t="str">
        <f>CONCATENATE("% ",K138," in Mineral")</f>
        <v>% La in Mineral</v>
      </c>
      <c r="N137" s="580" t="s">
        <v>1746</v>
      </c>
      <c r="O137" s="571" t="s">
        <v>1750</v>
      </c>
      <c r="P137" s="571" t="s">
        <v>1749</v>
      </c>
      <c r="Q137" s="583" t="s">
        <v>1748</v>
      </c>
      <c r="R137" s="571" t="s">
        <v>1758</v>
      </c>
      <c r="S137" s="571" t="s">
        <v>1753</v>
      </c>
      <c r="T137" s="583" t="s">
        <v>1759</v>
      </c>
      <c r="U137" s="584" t="s">
        <v>1771</v>
      </c>
      <c r="V137" s="227"/>
      <c r="W137" s="219"/>
    </row>
    <row r="138" spans="2:24">
      <c r="B138" s="594"/>
      <c r="C138" s="595" t="s">
        <v>670</v>
      </c>
      <c r="D138" s="595" t="s">
        <v>915</v>
      </c>
      <c r="E138" s="597">
        <f>VLOOKUP($C138,'Singular Minerals'!$C$12:$T$327,'Multiple Minerals'!E$18,FALSE)</f>
        <v>4.2899999999999999E-7</v>
      </c>
      <c r="F138" s="598">
        <f>VLOOKUP($C138,'Singular Minerals'!$C$12:$T$327,'Multiple Minerals'!F$18,FALSE)</f>
        <v>240.21</v>
      </c>
      <c r="G138" s="599">
        <f>E138*F138</f>
        <v>1.0305009E-4</v>
      </c>
      <c r="H138" s="597">
        <f>E138*ave_crustal_molar_mass</f>
        <v>6.6580799999999991E-5</v>
      </c>
      <c r="I138" s="607">
        <f>E138/$E$140</f>
        <v>0.78715596330275228</v>
      </c>
      <c r="J138" s="597">
        <f>VLOOKUP($C138,'Singular Minerals'!$C$12:$T$327,'Multiple Minerals'!J$18,FALSE)</f>
        <v>959180958.71789408</v>
      </c>
      <c r="K138" s="601" t="s">
        <v>109</v>
      </c>
      <c r="L138" s="602">
        <v>0.25</v>
      </c>
      <c r="M138" s="603">
        <f>L138*VLOOKUP(K138,'Crust Element Composition'!$B$5:$E$81,4,FALSE)/F138</f>
        <v>0.14456673327505098</v>
      </c>
      <c r="N138" s="600">
        <f>$E$135/M138</f>
        <v>5.1879155253031738E-2</v>
      </c>
      <c r="O138" s="604">
        <f>(N138/F138)*$J$2</f>
        <v>3.351919110474387E-2</v>
      </c>
      <c r="P138" s="605">
        <f>standard_temperature*gas_constant*LN(O138/H138)/F138</f>
        <v>64.201602243657064</v>
      </c>
      <c r="Q138" s="599">
        <f>P138*$J$3</f>
        <v>3546815369.8691792</v>
      </c>
      <c r="R138" s="599"/>
      <c r="S138" s="599">
        <f>MAX(J138,Q138)</f>
        <v>3546815369.8691792</v>
      </c>
      <c r="T138" s="618"/>
      <c r="U138" s="621"/>
      <c r="V138" s="219"/>
      <c r="W138" s="219"/>
    </row>
    <row r="139" spans="2:24">
      <c r="B139" s="585"/>
      <c r="C139" s="228" t="s">
        <v>351</v>
      </c>
      <c r="D139" s="228" t="s">
        <v>350</v>
      </c>
      <c r="E139" s="229">
        <f>VLOOKUP($C139,'Singular Minerals'!$C$12:$T$327,'Multiple Minerals'!E$18,FALSE)</f>
        <v>1.1600000000000001E-7</v>
      </c>
      <c r="F139" s="231">
        <f>VLOOKUP($C139,'Singular Minerals'!$C$12:$T$327,'Multiple Minerals'!F$18,FALSE)</f>
        <v>217.91</v>
      </c>
      <c r="G139" s="229">
        <f>E139*F139</f>
        <v>2.5277560000000001E-5</v>
      </c>
      <c r="H139" s="229">
        <f>E139*ave_crustal_molar_mass</f>
        <v>1.8003200000000001E-5</v>
      </c>
      <c r="I139" s="233">
        <f>E139/$E$140</f>
        <v>0.21284403669724772</v>
      </c>
      <c r="J139" s="229">
        <f>VLOOKUP($C139,'Singular Minerals'!$C$12:$T$327,'Multiple Minerals'!J$18,FALSE)</f>
        <v>831268122.12508118</v>
      </c>
      <c r="K139" s="586" t="s">
        <v>109</v>
      </c>
      <c r="L139" s="587">
        <v>1</v>
      </c>
      <c r="M139" s="232">
        <f>L139*VLOOKUP(K139,'Crust Element Composition'!$B$5:$E$81,4,FALSE)/F139</f>
        <v>0.63744435776237895</v>
      </c>
      <c r="N139" s="240">
        <f>$E$135/M139</f>
        <v>1.1765732818354925E-2</v>
      </c>
      <c r="O139" s="484">
        <f>(N139/F139)*$J$2</f>
        <v>8.3797977761859675E-3</v>
      </c>
      <c r="P139" s="485">
        <f>standard_temperature*gas_constant*LN(O139/H139)/F139</f>
        <v>69.879578539586959</v>
      </c>
      <c r="Q139" s="230">
        <f>P139*$J$3</f>
        <v>3860494980.5388126</v>
      </c>
      <c r="R139" s="230"/>
      <c r="S139" s="230">
        <f>MAX(J139,Q139)</f>
        <v>3860494980.5388126</v>
      </c>
      <c r="T139" s="609"/>
      <c r="U139" s="622"/>
      <c r="V139" s="219"/>
      <c r="W139" s="219"/>
    </row>
    <row r="140" spans="2:24">
      <c r="B140" s="252">
        <v>2010</v>
      </c>
      <c r="C140" s="247"/>
      <c r="D140" s="247"/>
      <c r="E140" s="352">
        <f>SUM(E138:E139)</f>
        <v>5.4499999999999997E-7</v>
      </c>
      <c r="F140" s="492"/>
      <c r="G140" s="352"/>
      <c r="H140" s="352"/>
      <c r="I140" s="494">
        <f>SUM(I137:I139)</f>
        <v>1</v>
      </c>
      <c r="J140" s="352">
        <f>SUMPRODUCT(J138:J139,$I$138:$I$139)</f>
        <v>931955474.23208439</v>
      </c>
      <c r="K140" s="482"/>
      <c r="L140" s="501"/>
      <c r="M140" s="493">
        <f>SUMPRODUCT(I138:I139,M138:M139)</f>
        <v>0.24947279646868409</v>
      </c>
      <c r="N140" s="493"/>
      <c r="O140" s="352"/>
      <c r="P140" s="492"/>
      <c r="Q140" s="492"/>
      <c r="R140" s="492"/>
      <c r="S140" s="352">
        <f>SUMPRODUCT(S138:S139,I138:I139)</f>
        <v>3613580204.4337249</v>
      </c>
      <c r="T140" s="504">
        <f>MAX(J140,S140)</f>
        <v>3613580204.4337249</v>
      </c>
      <c r="U140" s="588">
        <f>T140/M140</f>
        <v>14484866709.253935</v>
      </c>
      <c r="V140" s="219"/>
      <c r="W140" s="219"/>
    </row>
    <row r="141" spans="2:24">
      <c r="B141" s="219"/>
      <c r="C141" s="219" t="s">
        <v>1314</v>
      </c>
      <c r="D141" s="219"/>
      <c r="E141" s="219"/>
      <c r="F141" s="219"/>
      <c r="G141" s="219"/>
      <c r="H141" s="219"/>
      <c r="I141" s="219"/>
      <c r="J141" s="219"/>
      <c r="K141" s="219"/>
      <c r="L141" s="503"/>
      <c r="M141" s="219"/>
      <c r="N141" s="219"/>
      <c r="O141" s="219"/>
      <c r="P141" s="219"/>
      <c r="Q141" s="219"/>
      <c r="R141" s="219"/>
      <c r="S141" s="219"/>
      <c r="U141" s="236"/>
      <c r="V141" s="219"/>
      <c r="W141" s="219"/>
    </row>
    <row r="142" spans="2:24">
      <c r="B142" s="219"/>
      <c r="C142" s="219"/>
      <c r="D142" s="219"/>
      <c r="E142" s="219"/>
      <c r="F142" s="219"/>
      <c r="G142" s="219"/>
      <c r="H142" s="219"/>
      <c r="I142" s="219"/>
      <c r="J142" s="219"/>
      <c r="K142" s="219"/>
      <c r="L142" s="503"/>
      <c r="M142" s="219"/>
      <c r="N142" s="219"/>
      <c r="O142" s="219"/>
      <c r="P142" s="219"/>
      <c r="Q142" s="219"/>
      <c r="R142" s="219"/>
      <c r="S142" s="219"/>
      <c r="U142" s="236"/>
      <c r="V142" s="219"/>
      <c r="W142" s="219"/>
    </row>
    <row r="143" spans="2:24">
      <c r="B143" s="219"/>
      <c r="C143" s="219"/>
      <c r="D143" s="219"/>
      <c r="E143" s="219"/>
      <c r="F143" s="219"/>
      <c r="G143" s="219"/>
      <c r="H143" s="219"/>
      <c r="I143" s="219"/>
      <c r="J143" s="219"/>
      <c r="K143" s="219"/>
      <c r="L143" s="503"/>
      <c r="M143" s="219"/>
      <c r="N143" s="219"/>
      <c r="O143" s="219"/>
      <c r="P143" s="219"/>
      <c r="Q143" s="219"/>
      <c r="R143" s="219"/>
      <c r="S143" s="219"/>
      <c r="U143" s="219"/>
      <c r="V143" s="219"/>
      <c r="W143" s="219"/>
    </row>
    <row r="144" spans="2:24">
      <c r="B144" s="256" t="s">
        <v>1482</v>
      </c>
      <c r="D144" s="219"/>
      <c r="E144" s="219"/>
      <c r="F144" s="219"/>
      <c r="G144" s="219"/>
      <c r="H144" s="219"/>
      <c r="I144" s="219"/>
      <c r="J144" s="219"/>
      <c r="K144" s="219"/>
      <c r="L144" s="503"/>
      <c r="M144" s="219"/>
      <c r="N144" s="219"/>
      <c r="O144" s="219"/>
      <c r="P144" s="219"/>
      <c r="Q144" s="219"/>
      <c r="R144" s="219"/>
      <c r="S144" s="219"/>
      <c r="U144" s="219"/>
      <c r="V144" s="219"/>
      <c r="W144" s="219"/>
    </row>
    <row r="145" spans="2:24">
      <c r="B145" s="574"/>
      <c r="C145" s="349" t="s">
        <v>244</v>
      </c>
      <c r="D145" s="349"/>
      <c r="E145" s="575" t="s">
        <v>918</v>
      </c>
      <c r="F145" s="219"/>
      <c r="G145" s="219"/>
      <c r="H145" s="219"/>
      <c r="I145" s="219"/>
      <c r="J145" s="219"/>
      <c r="K145" s="219"/>
      <c r="L145" s="219"/>
      <c r="M145" s="503"/>
      <c r="N145" s="219"/>
      <c r="O145" s="219"/>
      <c r="P145" s="219"/>
      <c r="Q145" s="219"/>
      <c r="R145" s="219"/>
      <c r="S145" s="219"/>
      <c r="U145" s="219"/>
      <c r="V145" s="219"/>
      <c r="W145" s="219"/>
      <c r="X145" s="219"/>
    </row>
    <row r="146" spans="2:24">
      <c r="B146" s="576"/>
      <c r="C146" s="577" t="s">
        <v>392</v>
      </c>
      <c r="D146" s="577"/>
      <c r="E146" s="578">
        <f>'EmCF Library'!AA79</f>
        <v>0.04</v>
      </c>
      <c r="F146" s="219"/>
      <c r="G146" s="219"/>
      <c r="H146" s="219"/>
      <c r="I146" s="219"/>
      <c r="J146" s="219"/>
      <c r="K146" s="219"/>
      <c r="L146" s="219"/>
      <c r="M146" s="503"/>
      <c r="N146" s="219"/>
      <c r="O146" s="219"/>
      <c r="P146" s="219"/>
      <c r="Q146" s="219"/>
      <c r="R146" s="219"/>
      <c r="S146" s="219"/>
      <c r="U146" s="219"/>
      <c r="V146" s="219"/>
      <c r="W146" s="219"/>
      <c r="X146" s="219"/>
    </row>
    <row r="147" spans="2:24">
      <c r="B147" s="219"/>
      <c r="C147" s="219"/>
      <c r="D147" s="219"/>
      <c r="E147" s="219"/>
      <c r="F147" s="219"/>
      <c r="G147" s="219"/>
      <c r="H147" s="219"/>
      <c r="I147" s="219"/>
      <c r="J147" s="219"/>
      <c r="K147" s="219"/>
      <c r="L147" s="503"/>
      <c r="M147" s="219"/>
      <c r="N147" s="219"/>
      <c r="O147" s="219"/>
      <c r="P147" s="219"/>
      <c r="Q147" s="219"/>
      <c r="R147" s="219"/>
      <c r="S147" s="219"/>
      <c r="U147" s="219"/>
      <c r="V147" s="219"/>
      <c r="W147" s="219"/>
    </row>
    <row r="148" spans="2:24" ht="47.5">
      <c r="B148" s="572" t="s">
        <v>1729</v>
      </c>
      <c r="C148" s="571" t="s">
        <v>200</v>
      </c>
      <c r="D148" s="571" t="s">
        <v>1709</v>
      </c>
      <c r="E148" s="579" t="s">
        <v>1734</v>
      </c>
      <c r="F148" s="580" t="s">
        <v>1735</v>
      </c>
      <c r="G148" s="571" t="s">
        <v>1751</v>
      </c>
      <c r="H148" s="571" t="s">
        <v>1752</v>
      </c>
      <c r="I148" s="571" t="s">
        <v>1758</v>
      </c>
      <c r="J148" s="581" t="s">
        <v>1736</v>
      </c>
      <c r="K148" s="580" t="s">
        <v>233</v>
      </c>
      <c r="L148" s="582" t="str">
        <f>CONCATENATE("Moles of ",K149," in Mineral")</f>
        <v>Moles of P in Mineral</v>
      </c>
      <c r="M148" s="571" t="str">
        <f>CONCATENATE("% ",K149," in Mineral")</f>
        <v>% P in Mineral</v>
      </c>
      <c r="N148" s="580" t="s">
        <v>1746</v>
      </c>
      <c r="O148" s="571" t="s">
        <v>1750</v>
      </c>
      <c r="P148" s="571" t="s">
        <v>1749</v>
      </c>
      <c r="Q148" s="583" t="s">
        <v>1748</v>
      </c>
      <c r="R148" s="571" t="s">
        <v>1758</v>
      </c>
      <c r="S148" s="571" t="s">
        <v>1753</v>
      </c>
      <c r="T148" s="498" t="s">
        <v>1759</v>
      </c>
      <c r="U148" s="589" t="s">
        <v>1771</v>
      </c>
      <c r="V148" s="227"/>
      <c r="W148" s="219"/>
    </row>
    <row r="149" spans="2:24">
      <c r="B149" s="594"/>
      <c r="C149" s="595" t="s">
        <v>216</v>
      </c>
      <c r="D149" s="595" t="s">
        <v>914</v>
      </c>
      <c r="E149" s="597">
        <f>VLOOKUP($C149,'Singular Minerals'!$C$12:$T$327,'Multiple Minerals'!E$18,FALSE)</f>
        <v>7.9100000000000003E-7</v>
      </c>
      <c r="F149" s="598">
        <f>VLOOKUP($C149,'Singular Minerals'!$C$12:$T$327,'Multiple Minerals'!F$18,FALSE)</f>
        <v>509.12</v>
      </c>
      <c r="G149" s="599">
        <f>E149*F149</f>
        <v>4.0271392000000003E-4</v>
      </c>
      <c r="H149" s="597">
        <f>E149*ave_crustal_molar_mass</f>
        <v>1.227632E-4</v>
      </c>
      <c r="I149" s="607">
        <f>E149/$E$152</f>
        <v>7.9818365287588303E-2</v>
      </c>
      <c r="J149" s="597">
        <f>VLOOKUP($C149,'Singular Minerals'!$C$12:$T$327,'Multiple Minerals'!J$18,FALSE)</f>
        <v>1487379322.9101918</v>
      </c>
      <c r="K149" s="601" t="s">
        <v>124</v>
      </c>
      <c r="L149" s="602">
        <v>3</v>
      </c>
      <c r="M149" s="603">
        <f>L149*VLOOKUP(K149,'Crust Element Composition'!$B$5:$E$81,4,FALSE)/F149</f>
        <v>0.18251374921433061</v>
      </c>
      <c r="N149" s="600">
        <f>$E$146/M149</f>
        <v>0.21916157096212499</v>
      </c>
      <c r="O149" s="604">
        <f>(N149/F149)*$J$2</f>
        <v>6.6809152681728864E-2</v>
      </c>
      <c r="P149" s="605">
        <f>standard_temperature*gas_constant*LN(O149/H149)/F149</f>
        <v>30.670410757330071</v>
      </c>
      <c r="Q149" s="599">
        <f>P149*$J$3</f>
        <v>1694385817.0618584</v>
      </c>
      <c r="R149" s="599"/>
      <c r="S149" s="599">
        <f>MAX(J149,Q149)</f>
        <v>1694385817.0618584</v>
      </c>
      <c r="T149" s="618"/>
      <c r="U149" s="621"/>
      <c r="V149" s="219"/>
      <c r="W149" s="219"/>
    </row>
    <row r="150" spans="2:24">
      <c r="B150" s="585"/>
      <c r="C150" s="228" t="s">
        <v>919</v>
      </c>
      <c r="D150" s="228" t="s">
        <v>506</v>
      </c>
      <c r="E150" s="229">
        <f>VLOOKUP($C150,'Singular Minerals'!$C$12:$T$327,'Multiple Minerals'!E$18,FALSE)</f>
        <v>8.9900000000000003E-6</v>
      </c>
      <c r="F150" s="231">
        <f>VLOOKUP($C150,'Singular Minerals'!$C$12:$T$327,'Multiple Minerals'!F$18,FALSE)</f>
        <v>310.18</v>
      </c>
      <c r="G150" s="229">
        <f>E150*F150</f>
        <v>2.7885182000000003E-3</v>
      </c>
      <c r="H150" s="229">
        <f>E150*ave_crustal_molar_mass</f>
        <v>1.395248E-3</v>
      </c>
      <c r="I150" s="233">
        <f>E150/$E$152</f>
        <v>0.9071644803229062</v>
      </c>
      <c r="J150" s="229">
        <f>VLOOKUP($C150,'Singular Minerals'!$C$12:$T$327,'Multiple Minerals'!J$18,FALSE)</f>
        <v>1482409507.451489</v>
      </c>
      <c r="K150" s="586" t="s">
        <v>124</v>
      </c>
      <c r="L150" s="587">
        <v>2</v>
      </c>
      <c r="M150" s="232">
        <f>L150*VLOOKUP(K150,'Crust Element Composition'!$B$5:$E$81,4,FALSE)/F150</f>
        <v>0.19971500419111485</v>
      </c>
      <c r="N150" s="240">
        <f>$E$146/M150</f>
        <v>0.20028540250146898</v>
      </c>
      <c r="O150" s="484">
        <f>(N150/F150)*$J$2</f>
        <v>0.10021372902259328</v>
      </c>
      <c r="P150" s="485">
        <f>standard_temperature*gas_constant*LN(O150/H150)/F150</f>
        <v>34.157748544021167</v>
      </c>
      <c r="Q150" s="230">
        <f>P150*$J$3</f>
        <v>1887043676.5155694</v>
      </c>
      <c r="R150" s="230"/>
      <c r="S150" s="230">
        <f>MAX(J150,Q150)</f>
        <v>1887043676.5155694</v>
      </c>
      <c r="T150" s="609"/>
      <c r="U150" s="622"/>
      <c r="V150" s="219"/>
      <c r="W150" s="219"/>
    </row>
    <row r="151" spans="2:24">
      <c r="B151" s="585"/>
      <c r="C151" s="228" t="s">
        <v>873</v>
      </c>
      <c r="D151" s="228" t="s">
        <v>913</v>
      </c>
      <c r="E151" s="229">
        <f>VLOOKUP($C151,'Singular Minerals'!$C$12:$T$327,'Multiple Minerals'!E$18,FALSE)</f>
        <v>1.29E-7</v>
      </c>
      <c r="F151" s="231">
        <f>VLOOKUP($C151,'Singular Minerals'!$C$12:$T$327,'Multiple Minerals'!F$18,FALSE)</f>
        <v>151.41</v>
      </c>
      <c r="G151" s="229">
        <f>E151*F151</f>
        <v>1.9531890000000001E-5</v>
      </c>
      <c r="H151" s="229">
        <f>E151*ave_crustal_molar_mass</f>
        <v>2.00208E-5</v>
      </c>
      <c r="I151" s="233">
        <f>E151/$E$152</f>
        <v>1.3017154389505551E-2</v>
      </c>
      <c r="J151" s="229">
        <f>VLOOKUP($C151,'Singular Minerals'!$C$12:$T$327,'Multiple Minerals'!J$18,FALSE)</f>
        <v>221372174.11369365</v>
      </c>
      <c r="K151" s="586" t="s">
        <v>124</v>
      </c>
      <c r="L151" s="587">
        <v>1</v>
      </c>
      <c r="M151" s="232">
        <f>L151*VLOOKUP(K151,'Crust Element Composition'!$B$5:$E$81,4,FALSE)/F151</f>
        <v>0.20456905092133942</v>
      </c>
      <c r="N151" s="240">
        <f>$E$146/M151</f>
        <v>0.19553299885709857</v>
      </c>
      <c r="O151" s="484">
        <f>(N151/F151)*$J$2</f>
        <v>0.20042745804518655</v>
      </c>
      <c r="P151" s="485">
        <f>standard_temperature*gas_constant*LN(O151/H151)/F151</f>
        <v>150.80564891065396</v>
      </c>
      <c r="Q151" s="230">
        <f>P151*$J$3</f>
        <v>8331253033.0541296</v>
      </c>
      <c r="R151" s="230"/>
      <c r="S151" s="230">
        <f>MAX(J151,Q151)</f>
        <v>8331253033.0541296</v>
      </c>
      <c r="T151" s="609"/>
      <c r="U151" s="622"/>
      <c r="V151" s="219"/>
      <c r="W151" s="219"/>
    </row>
    <row r="152" spans="2:24">
      <c r="B152" s="252">
        <v>2011</v>
      </c>
      <c r="C152" s="247"/>
      <c r="D152" s="247"/>
      <c r="E152" s="352">
        <f>SUM(E149:E151)</f>
        <v>9.91E-6</v>
      </c>
      <c r="F152" s="492"/>
      <c r="G152" s="352"/>
      <c r="H152" s="352"/>
      <c r="I152" s="494">
        <f>SUM(I149:I151)</f>
        <v>1</v>
      </c>
      <c r="J152" s="352">
        <f>SUMPRODUCT(J149:J151,$I$149:$I$151)</f>
        <v>1466391072.3381951</v>
      </c>
      <c r="K152" s="482"/>
      <c r="L152" s="501"/>
      <c r="M152" s="493">
        <f>SUMPRODUCT(I149:I151,M149:M151)</f>
        <v>0.19840521401367414</v>
      </c>
      <c r="N152" s="493"/>
      <c r="O152" s="352"/>
      <c r="P152" s="492"/>
      <c r="Q152" s="492"/>
      <c r="R152" s="492"/>
      <c r="S152" s="352">
        <f>SUMPRODUCT(S149:S151,I149:I151)</f>
        <v>1955551309.226527</v>
      </c>
      <c r="T152" s="504">
        <f>MAX(J152,S152)</f>
        <v>1955551309.226527</v>
      </c>
      <c r="U152" s="588">
        <f>T152/M152</f>
        <v>9856350393.5524082</v>
      </c>
      <c r="V152" s="219"/>
      <c r="W152" s="219"/>
    </row>
    <row r="153" spans="2:24">
      <c r="B153" s="219"/>
      <c r="C153" s="219"/>
      <c r="D153" s="219"/>
      <c r="E153" s="219"/>
      <c r="F153" s="219"/>
      <c r="G153" s="219"/>
      <c r="H153" s="219"/>
      <c r="I153" s="227"/>
      <c r="J153" s="219"/>
      <c r="K153" s="219"/>
      <c r="L153" s="503"/>
      <c r="M153" s="219"/>
      <c r="N153" s="219"/>
      <c r="O153" s="219"/>
      <c r="P153" s="219"/>
      <c r="Q153" s="219"/>
      <c r="R153" s="219"/>
      <c r="S153" s="219"/>
      <c r="U153" s="227"/>
      <c r="V153" s="227"/>
      <c r="W153" s="219"/>
    </row>
    <row r="154" spans="2:24">
      <c r="B154" s="256" t="s">
        <v>1483</v>
      </c>
      <c r="D154" s="219"/>
      <c r="E154" s="219"/>
      <c r="F154" s="219"/>
      <c r="G154" s="219"/>
      <c r="H154" s="219"/>
      <c r="I154" s="219"/>
      <c r="J154" s="219"/>
      <c r="K154" s="219"/>
      <c r="L154" s="503"/>
      <c r="M154" s="219"/>
      <c r="N154" s="219"/>
      <c r="O154" s="219"/>
      <c r="P154" s="219"/>
      <c r="Q154" s="219"/>
      <c r="R154" s="219"/>
      <c r="S154" s="219"/>
      <c r="U154" s="219"/>
      <c r="V154" s="219"/>
      <c r="W154" s="219"/>
    </row>
    <row r="155" spans="2:24">
      <c r="B155" s="574"/>
      <c r="C155" s="349"/>
      <c r="D155" s="349"/>
      <c r="E155" s="575" t="s">
        <v>884</v>
      </c>
      <c r="F155" s="219"/>
      <c r="G155" s="219"/>
      <c r="H155" s="219"/>
      <c r="I155" s="219"/>
      <c r="J155" s="219"/>
      <c r="K155" s="219"/>
      <c r="L155" s="219"/>
      <c r="M155" s="503"/>
      <c r="N155" s="219"/>
      <c r="O155" s="219"/>
      <c r="P155" s="219"/>
      <c r="Q155" s="219"/>
      <c r="R155" s="219"/>
      <c r="S155" s="219"/>
      <c r="U155" s="219"/>
      <c r="V155" s="219"/>
      <c r="W155" s="219"/>
      <c r="X155" s="219"/>
    </row>
    <row r="156" spans="2:24">
      <c r="B156" s="576"/>
      <c r="C156" s="577"/>
      <c r="D156" s="577"/>
      <c r="E156" s="578">
        <v>0.69</v>
      </c>
      <c r="F156" s="219"/>
      <c r="G156" s="219"/>
      <c r="H156" s="219"/>
      <c r="I156" s="219"/>
      <c r="J156" s="219"/>
      <c r="K156" s="219"/>
      <c r="L156" s="219"/>
      <c r="M156" s="503"/>
      <c r="N156" s="219"/>
      <c r="O156" s="219"/>
      <c r="P156" s="219"/>
      <c r="Q156" s="219"/>
      <c r="R156" s="219"/>
      <c r="S156" s="219"/>
      <c r="U156" s="219"/>
      <c r="V156" s="219"/>
      <c r="W156" s="219"/>
      <c r="X156" s="219"/>
    </row>
    <row r="157" spans="2:24">
      <c r="B157" s="219"/>
      <c r="C157" s="219"/>
      <c r="D157" s="219"/>
      <c r="E157" s="219"/>
      <c r="F157" s="219"/>
      <c r="G157" s="219"/>
      <c r="H157" s="219"/>
      <c r="I157" s="219"/>
      <c r="J157" s="219"/>
      <c r="K157" s="219"/>
      <c r="L157" s="503"/>
      <c r="M157" s="219"/>
      <c r="N157" s="219"/>
      <c r="O157" s="219"/>
      <c r="P157" s="219"/>
      <c r="Q157" s="219"/>
      <c r="R157" s="219"/>
      <c r="S157" s="219"/>
      <c r="U157" s="219"/>
      <c r="V157" s="219"/>
      <c r="W157" s="219"/>
    </row>
    <row r="158" spans="2:24" ht="47.5">
      <c r="B158" s="572" t="s">
        <v>1729</v>
      </c>
      <c r="C158" s="571" t="s">
        <v>200</v>
      </c>
      <c r="D158" s="571" t="s">
        <v>1709</v>
      </c>
      <c r="E158" s="579" t="s">
        <v>1734</v>
      </c>
      <c r="F158" s="580" t="s">
        <v>1735</v>
      </c>
      <c r="G158" s="571" t="s">
        <v>1751</v>
      </c>
      <c r="H158" s="571" t="s">
        <v>1752</v>
      </c>
      <c r="I158" s="571" t="s">
        <v>1758</v>
      </c>
      <c r="J158" s="581" t="s">
        <v>1736</v>
      </c>
      <c r="K158" s="580" t="s">
        <v>233</v>
      </c>
      <c r="L158" s="582" t="str">
        <f>CONCATENATE("Moles of ",K159," in Mineral")</f>
        <v>Moles of Mineral in Mineral</v>
      </c>
      <c r="M158" s="571" t="str">
        <f>CONCATENATE("% ",K159," in Mineral")</f>
        <v>% Mineral in Mineral</v>
      </c>
      <c r="N158" s="580" t="s">
        <v>1746</v>
      </c>
      <c r="O158" s="571" t="s">
        <v>1750</v>
      </c>
      <c r="P158" s="571" t="s">
        <v>1749</v>
      </c>
      <c r="Q158" s="583" t="s">
        <v>1748</v>
      </c>
      <c r="R158" s="571" t="s">
        <v>1758</v>
      </c>
      <c r="S158" s="571" t="s">
        <v>1753</v>
      </c>
      <c r="T158" s="583" t="s">
        <v>1759</v>
      </c>
      <c r="U158" s="584" t="s">
        <v>1771</v>
      </c>
      <c r="V158" s="227"/>
      <c r="W158" s="219"/>
    </row>
    <row r="159" spans="2:24">
      <c r="B159" s="594"/>
      <c r="C159" s="595" t="s">
        <v>656</v>
      </c>
      <c r="D159" s="595" t="str">
        <f>VLOOKUP(C159,Mineral_table,2,FALSE)</f>
        <v>Na0:3Fe3+2(Si3:7Al0;3)O10(OH)24(H2O)</v>
      </c>
      <c r="E159" s="597">
        <f>VLOOKUP($C159,'Singular Minerals'!$C$12:$T$327,'Multiple Minerals'!E$18,FALSE)</f>
        <v>3.8800000000000001E-5</v>
      </c>
      <c r="F159" s="598">
        <f>VLOOKUP($C159,'Singular Minerals'!$C$12:$T$327,'Multiple Minerals'!F$18,FALSE)</f>
        <v>495.9</v>
      </c>
      <c r="G159" s="599">
        <f>E159*F159</f>
        <v>1.9240919999999998E-2</v>
      </c>
      <c r="H159" s="597">
        <f>E159*ave_crustal_molar_mass</f>
        <v>6.0217600000000001E-3</v>
      </c>
      <c r="I159" s="607">
        <f>E159/$E$162</f>
        <v>0.65518405943937863</v>
      </c>
      <c r="J159" s="597">
        <f>VLOOKUP($C159,'Singular Minerals'!$C$12:$T$327,'Multiple Minerals'!J$18,FALSE)</f>
        <v>1302479379.3713429</v>
      </c>
      <c r="K159" s="601" t="s">
        <v>200</v>
      </c>
      <c r="L159" s="602"/>
      <c r="M159" s="603" t="s">
        <v>85</v>
      </c>
      <c r="N159" s="603">
        <f>$E$156</f>
        <v>0.69</v>
      </c>
      <c r="O159" s="604">
        <f>(N159/F159)*$J$2</f>
        <v>0.21594676346037506</v>
      </c>
      <c r="P159" s="605">
        <f>standard_temperature*gas_constant*LN(O159/H159)/F159</f>
        <v>17.893346608085743</v>
      </c>
      <c r="Q159" s="599">
        <f>P159*$J$3</f>
        <v>988517335.23870361</v>
      </c>
      <c r="R159" s="599"/>
      <c r="S159" s="599">
        <f>MAX(J159,Q159)</f>
        <v>1302479379.3713429</v>
      </c>
      <c r="T159" s="618"/>
      <c r="U159" s="621"/>
      <c r="V159" s="219"/>
      <c r="W159" s="219"/>
    </row>
    <row r="160" spans="2:24">
      <c r="B160" s="585"/>
      <c r="C160" s="228" t="s">
        <v>669</v>
      </c>
      <c r="D160" s="228" t="str">
        <f>VLOOKUP(C160,Mineral_table,2,FALSE)</f>
        <v>Na0:165Ca0:084Al2:33Si3:67O10(OH)2</v>
      </c>
      <c r="E160" s="229">
        <f>VLOOKUP($C160,'Singular Minerals'!$C$12:$T$327,'Multiple Minerals'!E$18,FALSE)</f>
        <v>6.5200000000000003E-6</v>
      </c>
      <c r="F160" s="231">
        <f>VLOOKUP($C160,'Singular Minerals'!$C$12:$T$327,'Multiple Minerals'!F$18,FALSE)</f>
        <v>367.11376999999999</v>
      </c>
      <c r="G160" s="229">
        <f>E160*F160</f>
        <v>2.3935817803999999E-3</v>
      </c>
      <c r="H160" s="229">
        <f>E160*ave_crustal_molar_mass</f>
        <v>1.0119039999999999E-3</v>
      </c>
      <c r="I160" s="233">
        <f>E160/$E$162</f>
        <v>0.11009793988517394</v>
      </c>
      <c r="J160" s="229">
        <f>VLOOKUP($C160,'Singular Minerals'!$C$12:$T$327,'Multiple Minerals'!J$18,FALSE)</f>
        <v>1729298757.8118823</v>
      </c>
      <c r="K160" s="586" t="s">
        <v>200</v>
      </c>
      <c r="L160" s="587"/>
      <c r="M160" s="232" t="s">
        <v>85</v>
      </c>
      <c r="N160" s="232">
        <f>$E$156</f>
        <v>0.69</v>
      </c>
      <c r="O160" s="484">
        <f>(N160/F160)*$J$2</f>
        <v>0.29170248776012947</v>
      </c>
      <c r="P160" s="485">
        <f>standard_temperature*gas_constant*LN(O160/H160)/F160</f>
        <v>38.243690061533741</v>
      </c>
      <c r="Q160" s="230">
        <f>P160*$J$3</f>
        <v>2112771379.0688491</v>
      </c>
      <c r="R160" s="230"/>
      <c r="S160" s="230">
        <f>MAX(J160,Q160)</f>
        <v>2112771379.0688491</v>
      </c>
      <c r="T160" s="609"/>
      <c r="U160" s="622"/>
      <c r="V160" s="219"/>
      <c r="W160" s="219"/>
    </row>
    <row r="161" spans="2:23">
      <c r="B161" s="585"/>
      <c r="C161" s="228" t="s">
        <v>842</v>
      </c>
      <c r="D161" s="228" t="str">
        <f>VLOOKUP(C161,Mineral_table,2,FALSE)</f>
        <v>Na0:33Al2:33Si3:67O10(OH)2</v>
      </c>
      <c r="E161" s="229">
        <f>VLOOKUP($C161,'Singular Minerals'!$C$12:$T$327,'Multiple Minerals'!E$18,FALSE)</f>
        <v>1.3900000000000001E-5</v>
      </c>
      <c r="F161" s="231">
        <f>VLOOKUP($C161,'Singular Minerals'!$C$12:$T$327,'Multiple Minerals'!F$18,FALSE)</f>
        <v>367.54039999999998</v>
      </c>
      <c r="G161" s="229">
        <f>E161*F161</f>
        <v>5.1088115599999999E-3</v>
      </c>
      <c r="H161" s="229">
        <f>E161*ave_crustal_molar_mass</f>
        <v>2.1572800000000001E-3</v>
      </c>
      <c r="I161" s="233">
        <f>E161/$E$162</f>
        <v>0.23471800067544751</v>
      </c>
      <c r="J161" s="229">
        <f>VLOOKUP($C161,'Singular Minerals'!$C$12:$T$327,'Multiple Minerals'!J$18,FALSE)</f>
        <v>1715258948.5264416</v>
      </c>
      <c r="K161" s="586" t="s">
        <v>200</v>
      </c>
      <c r="L161" s="587"/>
      <c r="M161" s="232" t="s">
        <v>85</v>
      </c>
      <c r="N161" s="232">
        <f>$E$156</f>
        <v>0.69</v>
      </c>
      <c r="O161" s="484">
        <f>(N161/F161)*$J$2</f>
        <v>0.29136388816032194</v>
      </c>
      <c r="P161" s="485">
        <f>standard_temperature*gas_constant*LN(O161/H161)/F161</f>
        <v>33.085898348560363</v>
      </c>
      <c r="Q161" s="230">
        <f>P161*$J$3</f>
        <v>1827829348.2963192</v>
      </c>
      <c r="R161" s="230"/>
      <c r="S161" s="230">
        <f>MAX(J161,Q161)</f>
        <v>1827829348.2963192</v>
      </c>
      <c r="T161" s="609"/>
      <c r="U161" s="622"/>
      <c r="V161" s="219"/>
      <c r="W161" s="219"/>
    </row>
    <row r="162" spans="2:23">
      <c r="B162" s="252">
        <v>2012</v>
      </c>
      <c r="C162" s="247"/>
      <c r="D162" s="247"/>
      <c r="E162" s="352">
        <f>SUM(E159:E161)</f>
        <v>5.9219999999999999E-5</v>
      </c>
      <c r="F162" s="492"/>
      <c r="G162" s="352"/>
      <c r="H162" s="352"/>
      <c r="I162" s="494">
        <f>SUM(I159:I161)</f>
        <v>1</v>
      </c>
      <c r="J162" s="352">
        <f>SUMPRODUCT(J159:J161,$I$159:$I$161)</f>
        <v>1446358108.8324742</v>
      </c>
      <c r="K162" s="482"/>
      <c r="L162" s="501"/>
      <c r="M162" s="493"/>
      <c r="N162" s="493"/>
      <c r="O162" s="352"/>
      <c r="P162" s="492"/>
      <c r="Q162" s="492"/>
      <c r="R162" s="492"/>
      <c r="S162" s="352">
        <f>SUMPRODUCT(S159:S161,I159:I161)</f>
        <v>1514999953.6044555</v>
      </c>
      <c r="T162" s="504">
        <f>MAX(J162,S162)</f>
        <v>1514999953.6044555</v>
      </c>
      <c r="U162" s="623"/>
      <c r="V162" s="219"/>
      <c r="W162" s="219"/>
    </row>
    <row r="163" spans="2:23">
      <c r="B163" s="219"/>
      <c r="C163" s="219"/>
      <c r="D163" s="219"/>
      <c r="E163" s="219"/>
      <c r="F163" s="219"/>
      <c r="G163" s="219"/>
      <c r="H163" s="219"/>
      <c r="I163" s="227"/>
      <c r="J163" s="219"/>
      <c r="K163" s="17"/>
      <c r="L163" s="499"/>
      <c r="M163" s="219"/>
      <c r="N163" s="219"/>
      <c r="O163" s="219"/>
      <c r="P163" s="219"/>
      <c r="Q163" s="219"/>
      <c r="R163" s="219"/>
      <c r="S163" s="219"/>
      <c r="U163" s="227"/>
      <c r="V163" s="227"/>
      <c r="W163" s="219"/>
    </row>
    <row r="164" spans="2:23">
      <c r="B164" s="256" t="s">
        <v>1774</v>
      </c>
      <c r="D164" s="219"/>
      <c r="E164" s="481"/>
      <c r="F164" s="481"/>
      <c r="G164" s="481"/>
      <c r="H164" s="481"/>
      <c r="I164" s="481"/>
      <c r="J164" s="481"/>
      <c r="M164" s="481"/>
      <c r="N164" s="481"/>
      <c r="O164" s="481"/>
      <c r="P164" s="481"/>
      <c r="Q164" s="481"/>
      <c r="R164" s="481"/>
      <c r="S164" s="481"/>
      <c r="U164" s="219"/>
      <c r="V164" s="236"/>
      <c r="W164" s="219"/>
    </row>
    <row r="165" spans="2:23" ht="30">
      <c r="B165" s="574"/>
      <c r="C165" s="349" t="s">
        <v>294</v>
      </c>
      <c r="D165" s="349" t="s">
        <v>282</v>
      </c>
      <c r="E165" s="575" t="s">
        <v>1776</v>
      </c>
      <c r="F165" s="219"/>
      <c r="G165" s="219"/>
      <c r="H165" s="219"/>
      <c r="I165" s="219"/>
      <c r="J165" s="219"/>
      <c r="M165" s="219"/>
      <c r="N165" s="219"/>
      <c r="O165" s="219"/>
      <c r="P165" s="219"/>
      <c r="Q165" s="219"/>
      <c r="R165" s="219"/>
      <c r="S165" s="219"/>
      <c r="U165" s="219"/>
      <c r="V165" s="219"/>
      <c r="W165" s="219"/>
    </row>
    <row r="166" spans="2:23">
      <c r="B166" s="221"/>
      <c r="C166" s="573" t="s">
        <v>1775</v>
      </c>
      <c r="D166" s="222" t="s">
        <v>279</v>
      </c>
      <c r="E166" s="624">
        <f>'EmCF Library'!Z48</f>
        <v>1.4E-3</v>
      </c>
      <c r="F166" s="219"/>
      <c r="G166" s="219"/>
      <c r="H166" s="219"/>
      <c r="I166" s="219"/>
      <c r="J166" s="219"/>
      <c r="M166" s="219"/>
      <c r="N166" s="219"/>
      <c r="O166" s="219"/>
      <c r="P166" s="219"/>
      <c r="Q166" s="219"/>
      <c r="R166" s="219"/>
      <c r="S166" s="219"/>
      <c r="U166" s="219"/>
      <c r="V166" s="219"/>
      <c r="W166" s="219"/>
    </row>
    <row r="167" spans="2:23">
      <c r="B167" s="219"/>
      <c r="C167" s="224"/>
      <c r="D167" s="219"/>
      <c r="E167" s="225"/>
      <c r="F167" s="219"/>
      <c r="G167" s="225"/>
      <c r="H167" s="219"/>
      <c r="I167" s="226"/>
      <c r="J167" s="219"/>
      <c r="K167" s="17"/>
      <c r="L167" s="499"/>
      <c r="M167" s="219"/>
      <c r="N167" s="219"/>
      <c r="O167" s="219"/>
      <c r="P167" s="219"/>
      <c r="Q167" s="219"/>
      <c r="R167" s="219"/>
      <c r="S167" s="219"/>
      <c r="U167" s="227"/>
      <c r="V167" s="219"/>
      <c r="W167" s="219"/>
    </row>
    <row r="168" spans="2:23" ht="47.5">
      <c r="B168" s="574" t="s">
        <v>1729</v>
      </c>
      <c r="C168" s="349" t="s">
        <v>200</v>
      </c>
      <c r="D168" s="349" t="s">
        <v>1709</v>
      </c>
      <c r="E168" s="495" t="s">
        <v>1734</v>
      </c>
      <c r="F168" s="496" t="s">
        <v>1735</v>
      </c>
      <c r="G168" s="349" t="s">
        <v>1751</v>
      </c>
      <c r="H168" s="349" t="s">
        <v>1752</v>
      </c>
      <c r="I168" s="349" t="s">
        <v>1758</v>
      </c>
      <c r="J168" s="497" t="s">
        <v>1736</v>
      </c>
      <c r="K168" s="496" t="s">
        <v>233</v>
      </c>
      <c r="L168" s="500"/>
      <c r="M168" s="349"/>
      <c r="N168" s="496" t="s">
        <v>1746</v>
      </c>
      <c r="O168" s="349" t="s">
        <v>1750</v>
      </c>
      <c r="P168" s="349" t="s">
        <v>1749</v>
      </c>
      <c r="Q168" s="498" t="s">
        <v>1748</v>
      </c>
      <c r="R168" s="349" t="s">
        <v>1758</v>
      </c>
      <c r="S168" s="349" t="s">
        <v>1753</v>
      </c>
      <c r="T168" s="498" t="s">
        <v>1759</v>
      </c>
      <c r="U168" s="589" t="s">
        <v>1771</v>
      </c>
      <c r="V168" s="219"/>
      <c r="W168" s="219"/>
    </row>
    <row r="169" spans="2:23">
      <c r="B169" s="252">
        <v>2013</v>
      </c>
      <c r="C169" s="247"/>
      <c r="D169" s="247"/>
      <c r="E169" s="352">
        <f>E26</f>
        <v>5.6849999999999999E-5</v>
      </c>
      <c r="F169" s="492"/>
      <c r="G169" s="352"/>
      <c r="H169" s="352"/>
      <c r="I169" s="494"/>
      <c r="J169" s="352"/>
      <c r="K169" s="482"/>
      <c r="L169" s="501"/>
      <c r="M169" s="493"/>
      <c r="N169" s="493"/>
      <c r="O169" s="352"/>
      <c r="P169" s="492"/>
      <c r="Q169" s="492"/>
      <c r="R169" s="492"/>
      <c r="S169" s="352">
        <f>S26</f>
        <v>11154517413.469582</v>
      </c>
      <c r="T169" s="504">
        <f>MAX(J169,S169)</f>
        <v>11154517413.469582</v>
      </c>
      <c r="U169" s="588">
        <f>T169/E166</f>
        <v>7967512438192.5586</v>
      </c>
      <c r="V169" s="219"/>
      <c r="W169" s="219"/>
    </row>
    <row r="170" spans="2:23">
      <c r="B170" s="219"/>
      <c r="C170" s="219"/>
      <c r="D170" s="219"/>
      <c r="E170" s="254"/>
      <c r="F170" s="219"/>
      <c r="G170" s="219"/>
      <c r="H170" s="219"/>
      <c r="I170" s="219"/>
      <c r="J170" s="219"/>
      <c r="K170" s="17"/>
      <c r="L170" s="499"/>
      <c r="M170" s="219"/>
      <c r="N170" s="219"/>
      <c r="O170" s="219"/>
      <c r="P170" s="219"/>
      <c r="Q170" s="219"/>
      <c r="R170" s="219"/>
      <c r="S170" s="219"/>
      <c r="U170" s="219"/>
      <c r="V170" s="219"/>
      <c r="W170" s="219"/>
    </row>
    <row r="171" spans="2:23">
      <c r="B171" s="219"/>
      <c r="C171" s="219"/>
      <c r="D171" s="219"/>
      <c r="E171" s="254"/>
      <c r="F171" s="219"/>
      <c r="G171" s="219"/>
      <c r="H171" s="219"/>
      <c r="I171" s="219"/>
      <c r="J171" s="219"/>
      <c r="K171" s="17"/>
      <c r="L171" s="499"/>
      <c r="M171" s="219"/>
      <c r="N171" s="219"/>
      <c r="O171" s="219"/>
      <c r="P171" s="219"/>
      <c r="Q171" s="219"/>
      <c r="R171" s="219"/>
      <c r="S171" s="219"/>
      <c r="U171" s="219"/>
      <c r="V171" s="219"/>
      <c r="W171" s="219"/>
    </row>
    <row r="172" spans="2:23">
      <c r="B172" s="219"/>
      <c r="C172" s="219"/>
      <c r="D172" s="255"/>
      <c r="E172" s="254"/>
      <c r="F172" s="219"/>
      <c r="G172" s="219"/>
      <c r="H172" s="219"/>
      <c r="I172" s="219"/>
      <c r="J172" s="219"/>
      <c r="K172" s="17"/>
      <c r="L172" s="499"/>
      <c r="M172" s="219"/>
      <c r="N172" s="219"/>
      <c r="O172" s="219"/>
      <c r="P172" s="219"/>
      <c r="Q172" s="219"/>
      <c r="R172" s="219"/>
      <c r="S172" s="219"/>
      <c r="U172" s="219"/>
      <c r="V172" s="219"/>
      <c r="W172" s="219"/>
    </row>
    <row r="173" spans="2:23">
      <c r="B173" s="219"/>
      <c r="C173" s="219"/>
      <c r="D173" s="219"/>
      <c r="E173" s="254"/>
      <c r="F173" s="219"/>
      <c r="G173" s="219"/>
      <c r="H173" s="219"/>
      <c r="I173" s="219"/>
      <c r="J173" s="219"/>
      <c r="K173" s="17"/>
      <c r="L173" s="499"/>
      <c r="M173" s="219"/>
      <c r="N173" s="219"/>
      <c r="O173" s="219"/>
      <c r="P173" s="219"/>
      <c r="Q173" s="219"/>
      <c r="R173" s="219"/>
      <c r="S173" s="219"/>
      <c r="U173" s="219"/>
      <c r="V173" s="219"/>
      <c r="W173" s="219"/>
    </row>
    <row r="174" spans="2:23">
      <c r="B174" s="219"/>
      <c r="C174" s="219"/>
      <c r="D174" s="219"/>
      <c r="E174" s="254"/>
      <c r="F174" s="219"/>
      <c r="G174" s="219"/>
      <c r="H174" s="219"/>
      <c r="I174" s="219"/>
      <c r="J174" s="219"/>
      <c r="K174" s="17"/>
      <c r="L174" s="499"/>
      <c r="M174" s="219"/>
      <c r="N174" s="219"/>
      <c r="O174" s="219"/>
      <c r="P174" s="219"/>
      <c r="Q174" s="219"/>
      <c r="R174" s="219"/>
      <c r="S174" s="219"/>
      <c r="U174" s="219"/>
      <c r="V174" s="219"/>
      <c r="W174" s="219"/>
    </row>
    <row r="175" spans="2:23">
      <c r="C175"/>
      <c r="D175"/>
      <c r="E175" s="353"/>
      <c r="K175" s="17"/>
      <c r="L175" s="499"/>
    </row>
    <row r="176" spans="2:23">
      <c r="C176"/>
      <c r="D176"/>
      <c r="E176" s="353"/>
      <c r="K176" s="17"/>
      <c r="L176" s="499"/>
    </row>
    <row r="177" spans="3:12">
      <c r="C177"/>
      <c r="D177"/>
      <c r="E177" s="353"/>
      <c r="K177" s="17"/>
      <c r="L177" s="499"/>
    </row>
    <row r="178" spans="3:12">
      <c r="C178"/>
      <c r="D178"/>
      <c r="E178" s="353"/>
      <c r="K178" s="17"/>
      <c r="L178" s="499"/>
    </row>
    <row r="179" spans="3:12">
      <c r="C179"/>
      <c r="D179"/>
      <c r="E179" s="353"/>
      <c r="K179" s="17"/>
      <c r="L179" s="499"/>
    </row>
    <row r="180" spans="3:12">
      <c r="C180"/>
      <c r="D180"/>
      <c r="E180" s="353"/>
      <c r="K180" s="17"/>
      <c r="L180" s="499"/>
    </row>
    <row r="181" spans="3:12">
      <c r="C181"/>
      <c r="D181"/>
      <c r="E181" s="353"/>
      <c r="K181" s="17"/>
      <c r="L181" s="499"/>
    </row>
    <row r="182" spans="3:12">
      <c r="C182"/>
      <c r="D182"/>
      <c r="E182" s="353"/>
      <c r="K182" s="17"/>
      <c r="L182" s="499"/>
    </row>
    <row r="183" spans="3:12">
      <c r="C183"/>
      <c r="D183"/>
      <c r="E183"/>
      <c r="K183" s="17"/>
      <c r="L183" s="499"/>
    </row>
    <row r="184" spans="3:12">
      <c r="C184"/>
      <c r="D184"/>
      <c r="E184"/>
      <c r="K184" s="17"/>
      <c r="L184" s="499"/>
    </row>
    <row r="185" spans="3:12">
      <c r="C185"/>
      <c r="D185"/>
      <c r="E185"/>
      <c r="K185" s="17"/>
      <c r="L185" s="499"/>
    </row>
    <row r="186" spans="3:12">
      <c r="C186"/>
      <c r="D186"/>
      <c r="E186"/>
      <c r="K186" s="17"/>
      <c r="L186" s="499"/>
    </row>
    <row r="187" spans="3:12">
      <c r="C187"/>
      <c r="D187"/>
      <c r="E187" s="353"/>
      <c r="K187" s="17"/>
      <c r="L187" s="499"/>
    </row>
    <row r="188" spans="3:12">
      <c r="C188"/>
      <c r="D188"/>
      <c r="E188"/>
      <c r="K188" s="17"/>
      <c r="L188" s="499"/>
    </row>
    <row r="189" spans="3:12">
      <c r="C189"/>
      <c r="D189"/>
      <c r="E189"/>
      <c r="K189" s="17"/>
      <c r="L189" s="499"/>
    </row>
    <row r="190" spans="3:12">
      <c r="C190"/>
      <c r="D190"/>
      <c r="E190"/>
      <c r="K190" s="17"/>
      <c r="L190" s="499"/>
    </row>
    <row r="191" spans="3:12">
      <c r="C191"/>
      <c r="D191" s="354"/>
      <c r="E191" s="355"/>
      <c r="K191" s="17"/>
      <c r="L191" s="499"/>
    </row>
    <row r="192" spans="3:12">
      <c r="C192"/>
      <c r="D192" s="354"/>
      <c r="E192" s="355"/>
      <c r="K192" s="17"/>
      <c r="L192" s="499"/>
    </row>
    <row r="193" spans="3:12">
      <c r="C193"/>
      <c r="D193" s="354"/>
      <c r="E193" s="355"/>
      <c r="K193" s="17"/>
      <c r="L193" s="499"/>
    </row>
  </sheetData>
  <phoneticPr fontId="45" type="noConversion"/>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4">
    <tabColor rgb="FFFFF050"/>
  </sheetPr>
  <dimension ref="B2:S122"/>
  <sheetViews>
    <sheetView topLeftCell="A104" zoomScale="70" zoomScaleNormal="70" workbookViewId="0">
      <selection activeCell="H9" sqref="H9"/>
    </sheetView>
  </sheetViews>
  <sheetFormatPr defaultColWidth="8.81640625" defaultRowHeight="14.5"/>
  <cols>
    <col min="2" max="2" width="7.453125" customWidth="1"/>
    <col min="3" max="3" width="35.81640625" customWidth="1"/>
    <col min="4" max="4" width="29.6328125" customWidth="1"/>
    <col min="5" max="5" width="9.1796875" bestFit="1" customWidth="1"/>
    <col min="6" max="6" width="12.81640625" style="2" customWidth="1"/>
    <col min="7" max="7" width="12" customWidth="1"/>
    <col min="8" max="8" width="15.81640625" customWidth="1"/>
    <col min="9" max="9" width="22.36328125" customWidth="1"/>
    <col min="10" max="10" width="13.81640625" bestFit="1" customWidth="1"/>
    <col min="11" max="11" width="13.453125" customWidth="1"/>
    <col min="12" max="12" width="15.1796875" bestFit="1" customWidth="1"/>
    <col min="13" max="13" width="16.81640625" customWidth="1"/>
    <col min="14" max="14" width="18.1796875" customWidth="1"/>
  </cols>
  <sheetData>
    <row r="2" spans="2:14" ht="25" customHeight="1">
      <c r="B2" s="552" t="s">
        <v>1760</v>
      </c>
      <c r="C2" s="505"/>
      <c r="E2" s="505"/>
      <c r="F2" s="505"/>
      <c r="G2" s="505"/>
      <c r="I2" s="18"/>
      <c r="K2" s="839" t="s">
        <v>1761</v>
      </c>
      <c r="L2" s="839"/>
      <c r="M2" s="839"/>
      <c r="N2" s="839"/>
    </row>
    <row r="3" spans="2:14" ht="56" customHeight="1">
      <c r="B3" s="547">
        <v>3001</v>
      </c>
      <c r="C3" s="548" t="s">
        <v>1762</v>
      </c>
      <c r="D3" s="781"/>
      <c r="E3" s="782"/>
      <c r="F3" s="841"/>
      <c r="G3" s="841"/>
      <c r="H3" s="841"/>
      <c r="I3" s="841"/>
      <c r="J3" s="783"/>
      <c r="K3" s="839"/>
      <c r="L3" s="839"/>
      <c r="M3" s="839"/>
      <c r="N3" s="839"/>
    </row>
    <row r="4" spans="2:14" ht="18.5">
      <c r="B4" s="549">
        <v>3002</v>
      </c>
      <c r="C4" s="546" t="s">
        <v>1299</v>
      </c>
      <c r="D4" s="506"/>
      <c r="E4" s="263"/>
      <c r="F4" s="263"/>
      <c r="G4" s="263"/>
      <c r="H4" s="121"/>
      <c r="I4" s="16"/>
      <c r="J4" s="18"/>
      <c r="K4" s="839"/>
      <c r="L4" s="839"/>
      <c r="M4" s="839"/>
      <c r="N4" s="839"/>
    </row>
    <row r="5" spans="2:14" ht="20.25" customHeight="1">
      <c r="B5" s="549">
        <v>3003</v>
      </c>
      <c r="C5" s="546" t="s">
        <v>1302</v>
      </c>
      <c r="D5" s="506"/>
      <c r="E5" s="263"/>
      <c r="F5" s="263"/>
      <c r="G5" s="263"/>
      <c r="H5" s="121"/>
      <c r="I5" s="121"/>
      <c r="J5" s="18"/>
      <c r="K5" s="839"/>
      <c r="L5" s="839"/>
      <c r="M5" s="839"/>
      <c r="N5" s="839"/>
    </row>
    <row r="6" spans="2:14" ht="18.5">
      <c r="B6" s="549">
        <v>3004</v>
      </c>
      <c r="C6" s="546" t="s">
        <v>1303</v>
      </c>
      <c r="D6" s="506"/>
      <c r="E6" s="263"/>
      <c r="F6" s="263"/>
      <c r="G6" s="263"/>
      <c r="H6" s="121"/>
      <c r="I6" s="480"/>
      <c r="J6" s="18"/>
      <c r="K6" s="839"/>
      <c r="L6" s="839"/>
      <c r="M6" s="839"/>
      <c r="N6" s="839"/>
    </row>
    <row r="7" spans="2:14" ht="18.5">
      <c r="B7" s="549">
        <v>3005</v>
      </c>
      <c r="C7" s="546" t="s">
        <v>1304</v>
      </c>
      <c r="D7" s="506"/>
      <c r="E7" s="263"/>
      <c r="F7" s="263"/>
      <c r="G7" s="263"/>
      <c r="H7" s="121"/>
      <c r="I7" s="480"/>
      <c r="J7" s="18"/>
      <c r="K7" s="839"/>
      <c r="L7" s="839"/>
      <c r="M7" s="839"/>
      <c r="N7" s="839"/>
    </row>
    <row r="8" spans="2:14" ht="18.5">
      <c r="B8" s="549">
        <v>3006</v>
      </c>
      <c r="C8" s="546" t="s">
        <v>1306</v>
      </c>
      <c r="D8" s="506"/>
      <c r="E8" s="263"/>
      <c r="F8" s="263"/>
      <c r="G8" s="121"/>
    </row>
    <row r="9" spans="2:14" ht="18.5">
      <c r="B9" s="549">
        <v>3007</v>
      </c>
      <c r="C9" s="546" t="s">
        <v>1316</v>
      </c>
      <c r="D9" s="506"/>
      <c r="E9" s="263"/>
      <c r="F9" s="263"/>
      <c r="L9" s="121" t="s">
        <v>1724</v>
      </c>
      <c r="M9" s="813">
        <v>155.19999999999999</v>
      </c>
    </row>
    <row r="10" spans="2:14" ht="18.5">
      <c r="B10" s="550">
        <v>3008</v>
      </c>
      <c r="C10" s="551" t="s">
        <v>1317</v>
      </c>
      <c r="D10" s="507"/>
      <c r="E10" s="263"/>
      <c r="F10" s="263"/>
      <c r="L10" s="121" t="s">
        <v>1708</v>
      </c>
      <c r="M10" s="21">
        <f>'Multiple Minerals'!J3</f>
        <v>55244966.57277108</v>
      </c>
      <c r="N10" t="s">
        <v>1</v>
      </c>
    </row>
    <row r="11" spans="2:14" s="508" customFormat="1"/>
    <row r="12" spans="2:14" ht="45" customHeight="1">
      <c r="C12" s="509" t="s">
        <v>1762</v>
      </c>
      <c r="D12" s="510"/>
      <c r="F12" s="511">
        <v>4</v>
      </c>
      <c r="G12" s="511">
        <v>3</v>
      </c>
      <c r="I12" s="511">
        <v>10</v>
      </c>
    </row>
    <row r="13" spans="2:14" ht="47.5">
      <c r="B13" s="553" t="s">
        <v>1729</v>
      </c>
      <c r="C13" s="532" t="s">
        <v>200</v>
      </c>
      <c r="D13" s="532" t="s">
        <v>201</v>
      </c>
      <c r="E13" s="533" t="s">
        <v>202</v>
      </c>
      <c r="F13" s="534" t="s">
        <v>1734</v>
      </c>
      <c r="G13" s="535" t="s">
        <v>1735</v>
      </c>
      <c r="H13" s="536" t="s">
        <v>1737</v>
      </c>
      <c r="I13" s="537" t="s">
        <v>1736</v>
      </c>
      <c r="J13" s="535" t="s">
        <v>1764</v>
      </c>
      <c r="K13" s="536" t="s">
        <v>1765</v>
      </c>
      <c r="L13" s="536" t="s">
        <v>1747</v>
      </c>
      <c r="M13" s="538" t="s">
        <v>1748</v>
      </c>
      <c r="N13" s="554" t="s">
        <v>1766</v>
      </c>
    </row>
    <row r="14" spans="2:14" ht="15.5">
      <c r="B14" s="555"/>
      <c r="C14" s="539" t="s">
        <v>91</v>
      </c>
      <c r="D14" s="556" t="s">
        <v>90</v>
      </c>
      <c r="E14" s="557">
        <v>0.94499999999999995</v>
      </c>
      <c r="F14" s="558">
        <f>VLOOKUP(C14,'Singular Minerals'!C:X,$F$12, FALSE)</f>
        <v>8.0000000000000007E-5</v>
      </c>
      <c r="G14" s="559">
        <f>VLOOKUP(C14,'Singular Minerals'!C:X,$G$12, FALSE)</f>
        <v>100.09</v>
      </c>
      <c r="H14" s="558">
        <v>1.2416E-2</v>
      </c>
      <c r="I14" s="560">
        <f>VLOOKUP(C14,'Singular Minerals'!C:X,$I$12,FALSE)</f>
        <v>1337380645.9366572</v>
      </c>
      <c r="J14" s="561">
        <f>E14/G14</f>
        <v>9.4415026476171431E-3</v>
      </c>
      <c r="K14" s="562">
        <f>J14/$J$19</f>
        <v>0.9518767065044883</v>
      </c>
      <c r="L14" s="560">
        <f>standard_temperature*gas_constant*LN(K14/H14)/G14</f>
        <v>107.47038101144774</v>
      </c>
      <c r="M14" s="560">
        <f>L14*$M$10</f>
        <v>5937197606.5404024</v>
      </c>
      <c r="N14" s="563"/>
    </row>
    <row r="15" spans="2:14" ht="15.5">
      <c r="B15" s="555"/>
      <c r="C15" s="539" t="s">
        <v>113</v>
      </c>
      <c r="D15" s="556" t="s">
        <v>112</v>
      </c>
      <c r="E15" s="557">
        <v>2.7E-2</v>
      </c>
      <c r="F15" s="558">
        <f>VLOOKUP(C15,'Singular Minerals'!C:X,$F$12, FALSE)</f>
        <v>3.58E-7</v>
      </c>
      <c r="G15" s="559">
        <f>VLOOKUP(C15,'Singular Minerals'!C:X,$G$12, FALSE)</f>
        <v>84.31</v>
      </c>
      <c r="H15" s="558">
        <v>5.5561599999999993E-5</v>
      </c>
      <c r="I15" s="560">
        <f>VLOOKUP(C15,'Singular Minerals'!C:X,$I$12,FALSE)</f>
        <v>1448752630.5407381</v>
      </c>
      <c r="J15" s="561">
        <f>E15/G15</f>
        <v>3.202467085754952E-4</v>
      </c>
      <c r="K15" s="562">
        <f>J15/$J$19</f>
        <v>3.2286744346216936E-2</v>
      </c>
      <c r="L15" s="560">
        <f>standard_temperature*gas_constant*LN(K15/H15)/G15</f>
        <v>187.13657415576156</v>
      </c>
      <c r="M15" s="560">
        <f>L15*$M$10</f>
        <v>10338353783.777945</v>
      </c>
      <c r="N15" s="563"/>
    </row>
    <row r="16" spans="2:14" ht="15.5">
      <c r="B16" s="555"/>
      <c r="C16" s="539" t="s">
        <v>203</v>
      </c>
      <c r="D16" s="556" t="s">
        <v>161</v>
      </c>
      <c r="E16" s="557">
        <v>8.0000000000000002E-3</v>
      </c>
      <c r="F16" s="558">
        <f>VLOOKUP(C16,'Singular Minerals'!C:X,$F$12, FALSE)</f>
        <v>3.81E-3</v>
      </c>
      <c r="G16" s="559">
        <f>VLOOKUP(C16,'Singular Minerals'!C:X,$G$12, FALSE)</f>
        <v>60.084400000000002</v>
      </c>
      <c r="H16" s="558">
        <v>0.59131199999999995</v>
      </c>
      <c r="I16" s="560">
        <f>VLOOKUP(C16,'Singular Minerals'!C:X,$I$12,FALSE)</f>
        <v>1691500829.0134084</v>
      </c>
      <c r="J16" s="561">
        <f>E16/G16</f>
        <v>1.3314604123532896E-4</v>
      </c>
      <c r="K16" s="562">
        <f>J16/$J$19</f>
        <v>1.3423564017871896E-2</v>
      </c>
      <c r="L16" s="560">
        <f>standard_temperature*gas_constant*LN(K16/H16)/G16</f>
        <v>-156.1662190607704</v>
      </c>
      <c r="M16" s="560">
        <f>L16*$M$10</f>
        <v>-8627397551.8083076</v>
      </c>
      <c r="N16" s="563"/>
    </row>
    <row r="17" spans="2:14" ht="15.5">
      <c r="B17" s="555"/>
      <c r="C17" s="539" t="s">
        <v>204</v>
      </c>
      <c r="D17" s="556" t="s">
        <v>205</v>
      </c>
      <c r="E17" s="557">
        <v>2E-3</v>
      </c>
      <c r="F17" s="558">
        <f>VLOOKUP(C17,'Singular Minerals'!C:X,$F$12, FALSE)</f>
        <v>1.1999999999999999E-6</v>
      </c>
      <c r="G17" s="559">
        <f>VLOOKUP(C17,'Singular Minerals'!C:X,$G$12, FALSE)</f>
        <v>101.9614</v>
      </c>
      <c r="H17" s="558">
        <v>1.8623999999999998E-4</v>
      </c>
      <c r="I17" s="560">
        <f>VLOOKUP(C17,'Singular Minerals'!C:X,$I$12,FALSE)</f>
        <v>1817502300.7965646</v>
      </c>
      <c r="J17" s="561">
        <f>E17/G17</f>
        <v>1.9615266169354286E-5</v>
      </c>
      <c r="K17" s="562">
        <f>J17/$J$19</f>
        <v>1.9775787451805837E-3</v>
      </c>
      <c r="L17" s="560">
        <f>standard_temperature*gas_constant*LN(K17/H17)/G17</f>
        <v>57.43780543210152</v>
      </c>
      <c r="M17" s="560">
        <f>L17*$M$10</f>
        <v>3173149641.1097775</v>
      </c>
      <c r="N17" s="563"/>
    </row>
    <row r="18" spans="2:14" ht="15.5">
      <c r="B18" s="555"/>
      <c r="C18" s="539" t="s">
        <v>206</v>
      </c>
      <c r="D18" s="556" t="s">
        <v>207</v>
      </c>
      <c r="E18" s="557">
        <v>1E-3</v>
      </c>
      <c r="F18" s="558">
        <f>VLOOKUP(C18,'Singular Minerals'!C:X,$F$12, FALSE)</f>
        <v>3.43E-5</v>
      </c>
      <c r="G18" s="559">
        <f>VLOOKUP(C18,'Singular Minerals'!C:X,$G$12, FALSE)</f>
        <v>231.55</v>
      </c>
      <c r="H18" s="558">
        <v>5.3233600000000001E-3</v>
      </c>
      <c r="I18" s="560">
        <f>VLOOKUP(C18,'Singular Minerals'!C:X,$I$12,FALSE)</f>
        <v>520185157.52353114</v>
      </c>
      <c r="J18" s="561">
        <f>E18/G18</f>
        <v>4.318721658389117E-6</v>
      </c>
      <c r="K18" s="562">
        <f>J18/$J$19</f>
        <v>4.3540638624240026E-4</v>
      </c>
      <c r="L18" s="560">
        <f>standard_temperature*gas_constant*LN(K18/H18)/G18</f>
        <v>-26.801650976196218</v>
      </c>
      <c r="M18" s="560">
        <f>L18*$M$10</f>
        <v>-1480656312.2750375</v>
      </c>
      <c r="N18" s="563"/>
    </row>
    <row r="19" spans="2:14" ht="15.5">
      <c r="B19" s="564">
        <v>3001</v>
      </c>
      <c r="C19" s="512" t="s">
        <v>217</v>
      </c>
      <c r="D19" s="513"/>
      <c r="E19" s="514">
        <f>SUM(E14:E18)</f>
        <v>0.98299999999999998</v>
      </c>
      <c r="F19" s="515">
        <f>SUMPRODUCT(F14:F18,E14:E18)/E19</f>
        <v>1.079617151576806E-4</v>
      </c>
      <c r="G19" s="516"/>
      <c r="H19" s="513"/>
      <c r="I19" s="515">
        <f>SUMPRODUCT(I14:I18,E14:E18)</f>
        <v>1320628227.8259649</v>
      </c>
      <c r="J19" s="517">
        <f>SUM(J14:J18)</f>
        <v>9.9188293852557098E-3</v>
      </c>
      <c r="K19" s="518"/>
      <c r="L19" s="519"/>
      <c r="M19" s="515">
        <f>SUMPRODUCT(M14:M18,E14:E18)/E19</f>
        <v>5926382251.1680193</v>
      </c>
      <c r="N19" s="565">
        <f>MAX(I19,M19)</f>
        <v>5926382251.1680193</v>
      </c>
    </row>
    <row r="22" spans="2:14" ht="23.25" customHeight="1">
      <c r="C22" s="509" t="s">
        <v>1299</v>
      </c>
      <c r="D22" s="123"/>
    </row>
    <row r="23" spans="2:14" ht="57" customHeight="1">
      <c r="B23" s="553" t="s">
        <v>1729</v>
      </c>
      <c r="C23" s="532" t="s">
        <v>200</v>
      </c>
      <c r="D23" s="532" t="s">
        <v>201</v>
      </c>
      <c r="E23" s="533" t="s">
        <v>202</v>
      </c>
      <c r="F23" s="534" t="s">
        <v>1767</v>
      </c>
      <c r="G23" s="535" t="s">
        <v>1763</v>
      </c>
      <c r="H23" s="536" t="s">
        <v>1737</v>
      </c>
      <c r="I23" s="537" t="s">
        <v>1736</v>
      </c>
      <c r="J23" s="535" t="s">
        <v>1764</v>
      </c>
      <c r="K23" s="536" t="s">
        <v>1765</v>
      </c>
      <c r="L23" s="536" t="s">
        <v>1747</v>
      </c>
      <c r="M23" s="538" t="s">
        <v>1748</v>
      </c>
      <c r="N23" s="554" t="s">
        <v>1766</v>
      </c>
    </row>
    <row r="24" spans="2:14" ht="15.5">
      <c r="B24" s="555"/>
      <c r="C24" s="539" t="s">
        <v>208</v>
      </c>
      <c r="D24" s="556" t="s">
        <v>209</v>
      </c>
      <c r="E24" s="566">
        <v>0.25900000000000001</v>
      </c>
      <c r="F24" s="558">
        <f>VLOOKUP(C24,'Singular Minerals'!C:X,$F$12, FALSE)</f>
        <v>9.9000000000000005E-7</v>
      </c>
      <c r="G24" s="559">
        <f>VLOOKUP(C24,'Singular Minerals'!C:X,$G$12, FALSE)</f>
        <v>278.20999999999998</v>
      </c>
      <c r="H24" s="558">
        <v>1.5364799999999999E-4</v>
      </c>
      <c r="I24" s="560">
        <f>VLOOKUP(C24,'Singular Minerals'!C:X,$I$12,FALSE)</f>
        <v>1713614459.7333536</v>
      </c>
      <c r="J24" s="561">
        <f>E24/G24</f>
        <v>9.3095143956004468E-4</v>
      </c>
      <c r="K24" s="562">
        <f>J24/$J$34</f>
        <v>0.18577220171360584</v>
      </c>
      <c r="L24" s="560">
        <f t="shared" ref="L24:L33" si="0">standard_temperature*gas_constant*LN(K24/H24)/G24</f>
        <v>63.238908400815582</v>
      </c>
      <c r="M24" s="560">
        <f t="shared" ref="M24:M33" si="1">L24*$M$10</f>
        <v>3493631380.7015891</v>
      </c>
      <c r="N24" s="563"/>
    </row>
    <row r="25" spans="2:14" ht="15.5">
      <c r="B25" s="555"/>
      <c r="C25" s="539" t="s">
        <v>210</v>
      </c>
      <c r="D25" s="556" t="s">
        <v>762</v>
      </c>
      <c r="E25" s="566">
        <v>0.158</v>
      </c>
      <c r="F25" s="558">
        <f>VLOOKUP(C25,'Singular Minerals'!C:X,$F$12, FALSE)</f>
        <v>1.39E-6</v>
      </c>
      <c r="G25" s="559">
        <f>VLOOKUP(C25,'Singular Minerals'!C:X,$G$12, FALSE)</f>
        <v>200.78</v>
      </c>
      <c r="H25" s="558">
        <v>2.1572799999999999E-4</v>
      </c>
      <c r="I25" s="560">
        <f>VLOOKUP(C25,'Singular Minerals'!C:X,$I$12,FALSE)</f>
        <v>1724246326.8556919</v>
      </c>
      <c r="J25" s="561">
        <f t="shared" ref="J25:J33" si="2">E25/G25</f>
        <v>7.8693096922004182E-4</v>
      </c>
      <c r="K25" s="562">
        <f t="shared" ref="K25:K33" si="3">J25/$J$34</f>
        <v>0.15703278660562184</v>
      </c>
      <c r="L25" s="560">
        <f t="shared" si="0"/>
        <v>81.362150915523998</v>
      </c>
      <c r="M25" s="560">
        <f t="shared" si="1"/>
        <v>4494849307.6168795</v>
      </c>
      <c r="N25" s="563"/>
    </row>
    <row r="26" spans="2:14" ht="15.5">
      <c r="B26" s="555"/>
      <c r="C26" s="539" t="s">
        <v>515</v>
      </c>
      <c r="D26" s="556" t="s">
        <v>211</v>
      </c>
      <c r="E26" s="566">
        <v>0.10300000000000001</v>
      </c>
      <c r="F26" s="558">
        <f>VLOOKUP(C26,'Singular Minerals'!C:X,$F$12, FALSE)</f>
        <v>4.0800000000000001E-8</v>
      </c>
      <c r="G26" s="559">
        <f>VLOOKUP(C26,'Singular Minerals'!C:X,$G$12, FALSE)</f>
        <v>116.16</v>
      </c>
      <c r="H26" s="558">
        <v>6.3321599999999999E-6</v>
      </c>
      <c r="I26" s="560">
        <f>VLOOKUP(C26,'Singular Minerals'!C:X,$I$12,FALSE)</f>
        <v>1582992925.2637141</v>
      </c>
      <c r="J26" s="561">
        <f t="shared" si="2"/>
        <v>8.8670798898071636E-4</v>
      </c>
      <c r="K26" s="562">
        <f t="shared" si="3"/>
        <v>0.17694338113687069</v>
      </c>
      <c r="L26" s="560">
        <f t="shared" si="0"/>
        <v>218.47460668893635</v>
      </c>
      <c r="M26" s="560">
        <f t="shared" si="1"/>
        <v>12069622343.529598</v>
      </c>
      <c r="N26" s="563"/>
    </row>
    <row r="27" spans="2:14" ht="15.5">
      <c r="B27" s="555"/>
      <c r="C27" s="539" t="s">
        <v>212</v>
      </c>
      <c r="D27" s="556" t="s">
        <v>752</v>
      </c>
      <c r="E27" s="566">
        <v>0.11199999999999999</v>
      </c>
      <c r="F27" s="558">
        <f>VLOOKUP(C27,'Singular Minerals'!C:X,$F$12, FALSE)</f>
        <v>2.3199999999999998E-6</v>
      </c>
      <c r="G27" s="559">
        <f>VLOOKUP(C27,'Singular Minerals'!C:X,$G$12, FALSE)</f>
        <v>232.32</v>
      </c>
      <c r="H27" s="558">
        <v>3.6006399999999995E-4</v>
      </c>
      <c r="I27" s="560">
        <f>VLOOKUP(C27,'Singular Minerals'!C:X,$I$12,FALSE)</f>
        <v>1324145155.680325</v>
      </c>
      <c r="J27" s="561">
        <f t="shared" si="2"/>
        <v>4.820936639118457E-4</v>
      </c>
      <c r="K27" s="562">
        <f t="shared" si="3"/>
        <v>9.6202226637521912E-2</v>
      </c>
      <c r="L27" s="560">
        <f t="shared" si="0"/>
        <v>59.622321240612592</v>
      </c>
      <c r="M27" s="560">
        <f t="shared" si="1"/>
        <v>3293833143.9286618</v>
      </c>
      <c r="N27" s="563"/>
    </row>
    <row r="28" spans="2:14" ht="15.5">
      <c r="B28" s="555"/>
      <c r="C28" s="539" t="s">
        <v>213</v>
      </c>
      <c r="D28" s="556" t="s">
        <v>214</v>
      </c>
      <c r="E28" s="566">
        <v>0.189</v>
      </c>
      <c r="F28" s="558">
        <f>VLOOKUP(C28,'Singular Minerals'!C:X,$F$12, FALSE)</f>
        <v>5.1400000000000003E-4</v>
      </c>
      <c r="G28" s="559">
        <f>VLOOKUP(C28,'Singular Minerals'!C:X,$G$12, FALSE)</f>
        <v>262.22329999999999</v>
      </c>
      <c r="H28" s="558">
        <v>7.9772800000000005E-2</v>
      </c>
      <c r="I28" s="560">
        <f>VLOOKUP(C28,'Singular Minerals'!C:X,$I$12,FALSE)</f>
        <v>1674981836.2976291</v>
      </c>
      <c r="J28" s="561">
        <f t="shared" si="2"/>
        <v>7.2075974941967407E-4</v>
      </c>
      <c r="K28" s="562">
        <f t="shared" si="3"/>
        <v>0.1438282598494264</v>
      </c>
      <c r="L28" s="560">
        <f t="shared" si="0"/>
        <v>5.5720013076707433</v>
      </c>
      <c r="M28" s="560">
        <f t="shared" si="1"/>
        <v>307825025.98570698</v>
      </c>
      <c r="N28" s="563"/>
    </row>
    <row r="29" spans="2:14" ht="15.5">
      <c r="B29" s="555"/>
      <c r="C29" s="539" t="s">
        <v>206</v>
      </c>
      <c r="D29" s="556" t="s">
        <v>682</v>
      </c>
      <c r="E29" s="566">
        <v>4.2000000000000003E-2</v>
      </c>
      <c r="F29" s="558">
        <f>VLOOKUP(C29,'Singular Minerals'!C:X,$F$12, FALSE)</f>
        <v>3.43E-5</v>
      </c>
      <c r="G29" s="559">
        <f>VLOOKUP(C29,'Singular Minerals'!C:X,$G$12, FALSE)</f>
        <v>231.55</v>
      </c>
      <c r="H29" s="558">
        <v>5.3233600000000001E-3</v>
      </c>
      <c r="I29" s="560">
        <f>VLOOKUP(C29,'Singular Minerals'!C:X,$I$12,FALSE)</f>
        <v>520185157.52353114</v>
      </c>
      <c r="J29" s="561">
        <f t="shared" si="2"/>
        <v>1.813863096523429E-4</v>
      </c>
      <c r="K29" s="562">
        <f t="shared" si="3"/>
        <v>3.6195802136302781E-2</v>
      </c>
      <c r="L29" s="560">
        <f t="shared" si="0"/>
        <v>20.520387826997936</v>
      </c>
      <c r="M29" s="560">
        <f t="shared" si="1"/>
        <v>1133648139.5627995</v>
      </c>
      <c r="N29" s="563"/>
    </row>
    <row r="30" spans="2:14" ht="15.5">
      <c r="B30" s="555"/>
      <c r="C30" s="539" t="s">
        <v>215</v>
      </c>
      <c r="D30" s="556" t="s">
        <v>341</v>
      </c>
      <c r="E30" s="566">
        <v>3.7999999999999999E-2</v>
      </c>
      <c r="F30" s="558">
        <f>VLOOKUP(C30,'Singular Minerals'!C:X,$F$12, FALSE)</f>
        <v>3.1000000000000001E-5</v>
      </c>
      <c r="G30" s="559">
        <f>VLOOKUP(C30,'Singular Minerals'!C:X,$G$12, FALSE)</f>
        <v>151.72999999999999</v>
      </c>
      <c r="H30" s="558">
        <v>4.8111999999999999E-3</v>
      </c>
      <c r="I30" s="560">
        <f>VLOOKUP(C30,'Singular Minerals'!C:X,$I$12,FALSE)</f>
        <v>909173379.38970625</v>
      </c>
      <c r="J30" s="561">
        <f t="shared" si="2"/>
        <v>2.5044486917550913E-4</v>
      </c>
      <c r="K30" s="562">
        <f t="shared" si="3"/>
        <v>4.9976500145483133E-2</v>
      </c>
      <c r="L30" s="560">
        <f t="shared" si="0"/>
        <v>38.238580123627926</v>
      </c>
      <c r="M30" s="560">
        <f t="shared" si="1"/>
        <v>2112489080.7200534</v>
      </c>
      <c r="N30" s="563"/>
    </row>
    <row r="31" spans="2:14" ht="15.5">
      <c r="B31" s="555"/>
      <c r="C31" s="539" t="s">
        <v>220</v>
      </c>
      <c r="D31" s="556" t="s">
        <v>646</v>
      </c>
      <c r="E31" s="566">
        <v>0.05</v>
      </c>
      <c r="F31" s="558">
        <f>VLOOKUP(C31,'Singular Minerals'!C:X,$F$12, FALSE)</f>
        <v>4.2200000000000001E-4</v>
      </c>
      <c r="G31" s="559">
        <f>VLOOKUP(C31,'Singular Minerals'!C:X,$G$12, FALSE)</f>
        <v>278.33</v>
      </c>
      <c r="H31" s="558">
        <v>6.5494399999999994E-2</v>
      </c>
      <c r="I31" s="560">
        <f>VLOOKUP(C31,'Singular Minerals'!C:X,$I$12,FALSE)</f>
        <v>1598328951.8235977</v>
      </c>
      <c r="J31" s="561">
        <f t="shared" si="2"/>
        <v>1.7964286997449073E-4</v>
      </c>
      <c r="K31" s="562">
        <f t="shared" si="3"/>
        <v>3.5847897171826314E-2</v>
      </c>
      <c r="L31" s="560">
        <f t="shared" si="0"/>
        <v>-5.3674919529284271</v>
      </c>
      <c r="M31" s="560">
        <f t="shared" si="1"/>
        <v>-296526913.51914871</v>
      </c>
      <c r="N31" s="563"/>
    </row>
    <row r="32" spans="2:14" ht="15.5">
      <c r="B32" s="555"/>
      <c r="C32" s="539" t="s">
        <v>203</v>
      </c>
      <c r="D32" s="556" t="s">
        <v>161</v>
      </c>
      <c r="E32" s="566">
        <v>3.5000000000000003E-2</v>
      </c>
      <c r="F32" s="558">
        <f>VLOOKUP(C32,'Singular Minerals'!C:X,$F$12, FALSE)</f>
        <v>3.81E-3</v>
      </c>
      <c r="G32" s="559">
        <f>VLOOKUP(C32,'Singular Minerals'!C:X,$G$12, FALSE)</f>
        <v>60.084400000000002</v>
      </c>
      <c r="H32" s="558">
        <v>0.59131199999999995</v>
      </c>
      <c r="I32" s="560">
        <f>VLOOKUP(C32,'Singular Minerals'!C:X,$I$12,FALSE)</f>
        <v>1691500829.0134084</v>
      </c>
      <c r="J32" s="561">
        <f>E32/G32</f>
        <v>5.8251393040456426E-4</v>
      </c>
      <c r="K32" s="562">
        <f t="shared" si="3"/>
        <v>0.11624118163590036</v>
      </c>
      <c r="L32" s="560">
        <f t="shared" si="0"/>
        <v>-67.109550163226345</v>
      </c>
      <c r="M32" s="560">
        <f t="shared" si="1"/>
        <v>-3707464855.4811435</v>
      </c>
      <c r="N32" s="563"/>
    </row>
    <row r="33" spans="2:19" ht="15.5">
      <c r="B33" s="555"/>
      <c r="C33" s="539" t="s">
        <v>216</v>
      </c>
      <c r="D33" s="556" t="s">
        <v>914</v>
      </c>
      <c r="E33" s="566">
        <v>5.0000000000000001E-3</v>
      </c>
      <c r="F33" s="558">
        <f>VLOOKUP(C33,'Singular Minerals'!C:X,$F$12, FALSE)</f>
        <v>7.9100000000000003E-7</v>
      </c>
      <c r="G33" s="559">
        <f>VLOOKUP(C33,'Singular Minerals'!C:X,$G$12, FALSE)</f>
        <v>509.12</v>
      </c>
      <c r="H33" s="558">
        <v>1.227632E-4</v>
      </c>
      <c r="I33" s="560">
        <f>VLOOKUP(C33,'Singular Minerals'!C:X,$I$12,FALSE)</f>
        <v>1487379322.9101918</v>
      </c>
      <c r="J33" s="561">
        <f t="shared" si="2"/>
        <v>9.8208673790069141E-6</v>
      </c>
      <c r="K33" s="562">
        <f t="shared" si="3"/>
        <v>1.9597629674407637E-3</v>
      </c>
      <c r="L33" s="560">
        <f t="shared" si="0"/>
        <v>13.488226509566765</v>
      </c>
      <c r="M33" s="560">
        <f t="shared" si="1"/>
        <v>745156622.64698064</v>
      </c>
      <c r="N33" s="563"/>
    </row>
    <row r="34" spans="2:19" ht="15.5">
      <c r="B34" s="567">
        <v>3002</v>
      </c>
      <c r="C34" s="512" t="s">
        <v>217</v>
      </c>
      <c r="D34" s="513"/>
      <c r="E34" s="520">
        <f>SUM(E24:E33)</f>
        <v>0.9910000000000001</v>
      </c>
      <c r="F34" s="515">
        <f>SUMPRODUCT(F24:F33,E24:E33)/E34</f>
        <v>2.572740942482341E-4</v>
      </c>
      <c r="G34" s="516"/>
      <c r="H34" s="513"/>
      <c r="I34" s="515">
        <f>SUMPRODUCT(I24:I33,E24:E33)</f>
        <v>1547133398.766746</v>
      </c>
      <c r="J34" s="517">
        <f>SUM(J24:J33)</f>
        <v>5.0112526576782364E-3</v>
      </c>
      <c r="K34" s="518"/>
      <c r="L34" s="518"/>
      <c r="M34" s="515">
        <f>SUMPRODUCT(M24:M33,E24:E33)/E34</f>
        <v>3302040399.6412439</v>
      </c>
      <c r="N34" s="565">
        <f>MAX(I34,M34)</f>
        <v>3302040399.6412439</v>
      </c>
    </row>
    <row r="35" spans="2:19">
      <c r="C35" t="s">
        <v>1300</v>
      </c>
    </row>
    <row r="36" spans="2:19">
      <c r="C36" t="s">
        <v>218</v>
      </c>
    </row>
    <row r="37" spans="2:19">
      <c r="C37" t="s">
        <v>219</v>
      </c>
    </row>
    <row r="40" spans="2:19" ht="23.25" customHeight="1">
      <c r="C40" s="840" t="s">
        <v>1302</v>
      </c>
      <c r="D40" s="840"/>
      <c r="E40" s="521"/>
      <c r="F40" s="522"/>
      <c r="G40" s="521"/>
      <c r="I40" s="521"/>
    </row>
    <row r="41" spans="2:19" ht="47.5">
      <c r="B41" s="553" t="s">
        <v>1729</v>
      </c>
      <c r="C41" s="532" t="s">
        <v>200</v>
      </c>
      <c r="D41" s="532" t="s">
        <v>201</v>
      </c>
      <c r="E41" s="533" t="s">
        <v>202</v>
      </c>
      <c r="F41" s="534" t="s">
        <v>1767</v>
      </c>
      <c r="G41" s="535" t="s">
        <v>1763</v>
      </c>
      <c r="H41" s="536" t="s">
        <v>1737</v>
      </c>
      <c r="I41" s="537" t="s">
        <v>1736</v>
      </c>
      <c r="J41" s="535" t="s">
        <v>1764</v>
      </c>
      <c r="K41" s="536" t="s">
        <v>1765</v>
      </c>
      <c r="L41" s="536" t="s">
        <v>1747</v>
      </c>
      <c r="M41" s="538" t="s">
        <v>1748</v>
      </c>
      <c r="N41" s="554" t="s">
        <v>1766</v>
      </c>
      <c r="S41" s="521"/>
    </row>
    <row r="42" spans="2:19" ht="15.5">
      <c r="B42" s="555"/>
      <c r="C42" s="539" t="s">
        <v>220</v>
      </c>
      <c r="D42" s="556" t="s">
        <v>646</v>
      </c>
      <c r="E42" s="568">
        <v>0.32200000000000001</v>
      </c>
      <c r="F42" s="558">
        <f>VLOOKUP(C42,'Singular Minerals'!C:X,$F$12, FALSE)</f>
        <v>4.2200000000000001E-4</v>
      </c>
      <c r="G42" s="559">
        <f>VLOOKUP(C42,'Singular Minerals'!C:X,$G$12, FALSE)</f>
        <v>278.33</v>
      </c>
      <c r="H42" s="558">
        <v>6.5494399999999994E-2</v>
      </c>
      <c r="I42" s="560">
        <f>VLOOKUP(C42,'Singular Minerals'!C:X,$I$12,FALSE)</f>
        <v>1598328951.8235977</v>
      </c>
      <c r="J42" s="561">
        <f t="shared" ref="J42:J51" si="4">E42/G42</f>
        <v>1.1569000826357203E-3</v>
      </c>
      <c r="K42" s="562">
        <f>J42/$J$52</f>
        <v>0.15313863121509774</v>
      </c>
      <c r="L42" s="560">
        <f t="shared" ref="L42:L51" si="5">standard_temperature*gas_constant*LN(K42/H42)/G42</f>
        <v>7.5646059572576192</v>
      </c>
      <c r="M42" s="560">
        <f t="shared" ref="M42:M51" si="6">L42*$M$10</f>
        <v>417906403.24488217</v>
      </c>
      <c r="N42" s="563"/>
      <c r="S42" s="521"/>
    </row>
    <row r="43" spans="2:19" ht="15.5">
      <c r="B43" s="555"/>
      <c r="C43" s="539" t="s">
        <v>213</v>
      </c>
      <c r="D43" s="556" t="s">
        <v>214</v>
      </c>
      <c r="E43" s="568">
        <v>0.26200000000000001</v>
      </c>
      <c r="F43" s="558">
        <f>VLOOKUP(C43,'Singular Minerals'!C:X,$F$12, FALSE)</f>
        <v>5.1400000000000003E-4</v>
      </c>
      <c r="G43" s="559">
        <f>VLOOKUP(C43,'Singular Minerals'!C:X,$G$12, FALSE)</f>
        <v>262.22329999999999</v>
      </c>
      <c r="H43" s="558">
        <v>7.9772800000000005E-2</v>
      </c>
      <c r="I43" s="560">
        <f>VLOOKUP(C43,'Singular Minerals'!C:X,$I$12,FALSE)</f>
        <v>1674981836.2976291</v>
      </c>
      <c r="J43" s="561">
        <f t="shared" si="4"/>
        <v>9.9914843570346338E-4</v>
      </c>
      <c r="K43" s="562">
        <f t="shared" ref="K43:K51" si="7">J43/$J$52</f>
        <v>0.13225707744418327</v>
      </c>
      <c r="L43" s="560">
        <f t="shared" si="5"/>
        <v>4.7791487457968573</v>
      </c>
      <c r="M43" s="560">
        <f t="shared" si="6"/>
        <v>264023912.70784822</v>
      </c>
      <c r="N43" s="563"/>
    </row>
    <row r="44" spans="2:19" ht="15.5">
      <c r="B44" s="555"/>
      <c r="C44" s="539" t="s">
        <v>203</v>
      </c>
      <c r="D44" s="556" t="s">
        <v>161</v>
      </c>
      <c r="E44" s="568">
        <v>0.29199999999999998</v>
      </c>
      <c r="F44" s="558">
        <f>VLOOKUP(C44,'Singular Minerals'!C:X,$F$12, FALSE)</f>
        <v>3.81E-3</v>
      </c>
      <c r="G44" s="559">
        <f>VLOOKUP(C44,'Singular Minerals'!C:X,$G$12, FALSE)</f>
        <v>60.084400000000002</v>
      </c>
      <c r="H44" s="558">
        <v>0.59131199999999995</v>
      </c>
      <c r="I44" s="560">
        <f>VLOOKUP(C44,'Singular Minerals'!C:X,$I$12,FALSE)</f>
        <v>1691500829.0134084</v>
      </c>
      <c r="J44" s="561">
        <f t="shared" si="4"/>
        <v>4.8598305050895066E-3</v>
      </c>
      <c r="K44" s="562">
        <f t="shared" si="7"/>
        <v>0.64329478634943049</v>
      </c>
      <c r="L44" s="560">
        <f t="shared" si="5"/>
        <v>3.4761686073543983</v>
      </c>
      <c r="M44" s="560">
        <f t="shared" si="6"/>
        <v>192040818.51460993</v>
      </c>
      <c r="N44" s="563"/>
    </row>
    <row r="45" spans="2:19" ht="15.5">
      <c r="B45" s="555"/>
      <c r="C45" s="539" t="s">
        <v>208</v>
      </c>
      <c r="D45" s="556" t="s">
        <v>209</v>
      </c>
      <c r="E45" s="568">
        <v>5.6000000000000001E-2</v>
      </c>
      <c r="F45" s="558">
        <f>VLOOKUP(C45,'Singular Minerals'!C:X,$F$12, FALSE)</f>
        <v>9.9000000000000005E-7</v>
      </c>
      <c r="G45" s="559">
        <f>VLOOKUP(C45,'Singular Minerals'!C:X,$G$12, FALSE)</f>
        <v>278.20999999999998</v>
      </c>
      <c r="H45" s="558">
        <v>1.5364799999999999E-4</v>
      </c>
      <c r="I45" s="560">
        <f>VLOOKUP(C45,'Singular Minerals'!C:X,$I$12,FALSE)</f>
        <v>1713614459.7333536</v>
      </c>
      <c r="J45" s="561">
        <f t="shared" si="4"/>
        <v>2.0128679774271237E-4</v>
      </c>
      <c r="K45" s="562">
        <f t="shared" si="7"/>
        <v>2.6644292926111902E-2</v>
      </c>
      <c r="L45" s="560">
        <f t="shared" si="5"/>
        <v>45.936390922154004</v>
      </c>
      <c r="M45" s="560">
        <f t="shared" si="6"/>
        <v>2537754380.968143</v>
      </c>
      <c r="N45" s="563"/>
    </row>
    <row r="46" spans="2:19" ht="15.5">
      <c r="B46" s="555"/>
      <c r="C46" s="539" t="s">
        <v>212</v>
      </c>
      <c r="D46" s="556" t="s">
        <v>752</v>
      </c>
      <c r="E46" s="568">
        <v>1.7000000000000001E-2</v>
      </c>
      <c r="F46" s="558">
        <f>VLOOKUP(C46,'Singular Minerals'!C:X,$F$12, FALSE)</f>
        <v>2.3199999999999998E-6</v>
      </c>
      <c r="G46" s="559">
        <f>VLOOKUP(C46,'Singular Minerals'!C:X,$G$12, FALSE)</f>
        <v>232.32</v>
      </c>
      <c r="H46" s="558">
        <v>3.6006399999999995E-4</v>
      </c>
      <c r="I46" s="560">
        <f>VLOOKUP(C46,'Singular Minerals'!C:X,$I$12,FALSE)</f>
        <v>1324145155.680325</v>
      </c>
      <c r="J46" s="561">
        <f t="shared" si="4"/>
        <v>7.3174931129476597E-5</v>
      </c>
      <c r="K46" s="562">
        <f t="shared" si="7"/>
        <v>9.6861509136528957E-3</v>
      </c>
      <c r="L46" s="560">
        <f t="shared" si="5"/>
        <v>35.126960177998413</v>
      </c>
      <c r="M46" s="560">
        <f t="shared" si="6"/>
        <v>1940587740.8365831</v>
      </c>
      <c r="N46" s="563"/>
    </row>
    <row r="47" spans="2:19" ht="15.5">
      <c r="B47" s="555"/>
      <c r="C47" s="539" t="s">
        <v>210</v>
      </c>
      <c r="D47" s="556" t="s">
        <v>762</v>
      </c>
      <c r="E47" s="568">
        <v>1.2999999999999999E-2</v>
      </c>
      <c r="F47" s="558">
        <f>VLOOKUP(C47,'Singular Minerals'!C:X,$F$12, FALSE)</f>
        <v>1.39E-6</v>
      </c>
      <c r="G47" s="559">
        <f>VLOOKUP(C47,'Singular Minerals'!C:X,$G$12, FALSE)</f>
        <v>200.78</v>
      </c>
      <c r="H47" s="558">
        <v>2.1572799999999999E-4</v>
      </c>
      <c r="I47" s="560">
        <f>VLOOKUP(C47,'Singular Minerals'!C:X,$I$12,FALSE)</f>
        <v>1724246326.8556919</v>
      </c>
      <c r="J47" s="561">
        <f t="shared" si="4"/>
        <v>6.4747484809243947E-5</v>
      </c>
      <c r="K47" s="562">
        <f t="shared" si="7"/>
        <v>8.5706115395187948E-3</v>
      </c>
      <c r="L47" s="560">
        <f t="shared" si="5"/>
        <v>45.458712755262944</v>
      </c>
      <c r="M47" s="560">
        <f t="shared" si="6"/>
        <v>2511365066.6057038</v>
      </c>
      <c r="N47" s="563"/>
    </row>
    <row r="48" spans="2:19" ht="15.5">
      <c r="B48" s="555"/>
      <c r="C48" s="539" t="s">
        <v>206</v>
      </c>
      <c r="D48" s="556" t="s">
        <v>682</v>
      </c>
      <c r="E48" s="568">
        <v>1.4E-2</v>
      </c>
      <c r="F48" s="558">
        <f>VLOOKUP(C48,'Singular Minerals'!C:X,$F$12, FALSE)</f>
        <v>3.43E-5</v>
      </c>
      <c r="G48" s="559">
        <f>VLOOKUP(C48,'Singular Minerals'!C:X,$G$12, FALSE)</f>
        <v>231.55</v>
      </c>
      <c r="H48" s="558">
        <v>5.3233600000000001E-3</v>
      </c>
      <c r="I48" s="560">
        <f>VLOOKUP(C48,'Singular Minerals'!C:X,$I$12,FALSE)</f>
        <v>520185157.52353114</v>
      </c>
      <c r="J48" s="561">
        <f t="shared" si="4"/>
        <v>6.0462103217447635E-5</v>
      </c>
      <c r="K48" s="562">
        <f t="shared" si="7"/>
        <v>8.0033564402651608E-3</v>
      </c>
      <c r="L48" s="560">
        <f t="shared" si="5"/>
        <v>4.3651659188206677</v>
      </c>
      <c r="M48" s="560">
        <f t="shared" si="6"/>
        <v>241153445.26984733</v>
      </c>
      <c r="N48" s="563"/>
    </row>
    <row r="49" spans="2:14" ht="15.5">
      <c r="B49" s="555"/>
      <c r="C49" s="539" t="s">
        <v>204</v>
      </c>
      <c r="D49" s="556" t="s">
        <v>205</v>
      </c>
      <c r="E49" s="568">
        <v>8.0000000000000002E-3</v>
      </c>
      <c r="F49" s="558">
        <f>VLOOKUP(C49,'Singular Minerals'!C:X,$F$12, FALSE)</f>
        <v>1.1999999999999999E-6</v>
      </c>
      <c r="G49" s="559">
        <f>VLOOKUP(C49,'Singular Minerals'!C:X,$G$12, FALSE)</f>
        <v>101.9614</v>
      </c>
      <c r="H49" s="558">
        <v>1.8623999999999998E-4</v>
      </c>
      <c r="I49" s="560">
        <f>VLOOKUP(C49,'Singular Minerals'!C:X,$I$12,FALSE)</f>
        <v>1817502300.7965646</v>
      </c>
      <c r="J49" s="561">
        <f t="shared" si="4"/>
        <v>7.8461064677417142E-5</v>
      </c>
      <c r="K49" s="562">
        <f t="shared" si="7"/>
        <v>1.0385875348028893E-2</v>
      </c>
      <c r="L49" s="560">
        <f t="shared" si="5"/>
        <v>97.759963405237855</v>
      </c>
      <c r="M49" s="560">
        <f t="shared" si="6"/>
        <v>5400745910.4776897</v>
      </c>
      <c r="N49" s="563"/>
    </row>
    <row r="50" spans="2:14" ht="15.5">
      <c r="B50" s="555"/>
      <c r="C50" s="539" t="s">
        <v>215</v>
      </c>
      <c r="D50" s="556" t="s">
        <v>341</v>
      </c>
      <c r="E50" s="568">
        <v>8.0000000000000002E-3</v>
      </c>
      <c r="F50" s="558">
        <f>VLOOKUP(C50,'Singular Minerals'!C:X,$F$12, FALSE)</f>
        <v>3.1000000000000001E-5</v>
      </c>
      <c r="G50" s="559">
        <f>VLOOKUP(C50,'Singular Minerals'!C:X,$G$12, FALSE)</f>
        <v>151.72999999999999</v>
      </c>
      <c r="H50" s="558">
        <v>4.8111999999999999E-3</v>
      </c>
      <c r="I50" s="560">
        <f>VLOOKUP(C50,'Singular Minerals'!C:X,$I$12,FALSE)</f>
        <v>909173379.38970625</v>
      </c>
      <c r="J50" s="561">
        <f t="shared" si="4"/>
        <v>5.272523561589666E-5</v>
      </c>
      <c r="K50" s="562">
        <f t="shared" si="7"/>
        <v>6.9792288322053191E-3</v>
      </c>
      <c r="L50" s="560">
        <f t="shared" si="5"/>
        <v>6.0772465180837667</v>
      </c>
      <c r="M50" s="560">
        <f t="shared" si="6"/>
        <v>335737280.74602711</v>
      </c>
      <c r="N50" s="563"/>
    </row>
    <row r="51" spans="2:14" ht="15.5">
      <c r="B51" s="555"/>
      <c r="C51" s="539" t="s">
        <v>216</v>
      </c>
      <c r="D51" s="556" t="s">
        <v>1000</v>
      </c>
      <c r="E51" s="568">
        <v>4.0000000000000001E-3</v>
      </c>
      <c r="F51" s="558">
        <f>VLOOKUP(C51,'Singular Minerals'!C:X,$F$12, FALSE)</f>
        <v>7.9100000000000003E-7</v>
      </c>
      <c r="G51" s="559">
        <f>VLOOKUP(C51,'Singular Minerals'!C:X,$G$12, FALSE)</f>
        <v>509.12</v>
      </c>
      <c r="H51" s="558">
        <v>1.227632E-4</v>
      </c>
      <c r="I51" s="560">
        <f>VLOOKUP(C51,'Singular Minerals'!C:X,$I$12,FALSE)</f>
        <v>1487379322.9101918</v>
      </c>
      <c r="J51" s="561">
        <f t="shared" si="4"/>
        <v>7.856693903205531E-6</v>
      </c>
      <c r="K51" s="562">
        <f t="shared" si="7"/>
        <v>1.0399889915054536E-3</v>
      </c>
      <c r="L51" s="560">
        <f t="shared" si="5"/>
        <v>10.403270103939963</v>
      </c>
      <c r="M51" s="560">
        <f t="shared" si="6"/>
        <v>574728309.13967204</v>
      </c>
      <c r="N51" s="563"/>
    </row>
    <row r="52" spans="2:14" ht="15.5">
      <c r="B52" s="567">
        <v>3003</v>
      </c>
      <c r="C52" s="512" t="s">
        <v>217</v>
      </c>
      <c r="D52" s="513"/>
      <c r="E52" s="523">
        <f>SUM(E42:E51)</f>
        <v>0.99600000000000022</v>
      </c>
      <c r="F52" s="515">
        <f>SUMPRODUCT(F42:F51,E42:E51)/E52</f>
        <v>1.3894838493975902E-3</v>
      </c>
      <c r="G52" s="524"/>
      <c r="H52" s="524"/>
      <c r="I52" s="515">
        <f>SUMPRODUCT(I42:I51,E42:E51)</f>
        <v>1623359000.2483101</v>
      </c>
      <c r="J52" s="517">
        <f>SUM(J42:J51)</f>
        <v>7.5545933345240908E-3</v>
      </c>
      <c r="K52" s="525"/>
      <c r="L52" s="525"/>
      <c r="M52" s="515">
        <f>SUMPRODUCT(M42:M51,E42:E51)/E52</f>
        <v>521219835.11547452</v>
      </c>
      <c r="N52" s="565">
        <f>MAX(I52,M52)</f>
        <v>1623359000.2483101</v>
      </c>
    </row>
    <row r="53" spans="2:14">
      <c r="C53" t="s">
        <v>1300</v>
      </c>
    </row>
    <row r="54" spans="2:14">
      <c r="C54" t="s">
        <v>1301</v>
      </c>
      <c r="L54" s="3"/>
      <c r="M54" s="3"/>
    </row>
    <row r="57" spans="2:14" ht="23.25" customHeight="1">
      <c r="C57" s="509" t="s">
        <v>1303</v>
      </c>
    </row>
    <row r="58" spans="2:14" ht="47.5">
      <c r="B58" s="553" t="s">
        <v>1729</v>
      </c>
      <c r="C58" s="532" t="s">
        <v>200</v>
      </c>
      <c r="D58" s="532" t="s">
        <v>201</v>
      </c>
      <c r="E58" s="533" t="s">
        <v>202</v>
      </c>
      <c r="F58" s="534" t="s">
        <v>1767</v>
      </c>
      <c r="G58" s="535" t="s">
        <v>1763</v>
      </c>
      <c r="H58" s="536" t="s">
        <v>1737</v>
      </c>
      <c r="I58" s="537" t="s">
        <v>1736</v>
      </c>
      <c r="J58" s="535" t="s">
        <v>1764</v>
      </c>
      <c r="K58" s="536" t="s">
        <v>1765</v>
      </c>
      <c r="L58" s="536" t="s">
        <v>1747</v>
      </c>
      <c r="M58" s="538" t="s">
        <v>1748</v>
      </c>
      <c r="N58" s="554" t="s">
        <v>1766</v>
      </c>
    </row>
    <row r="59" spans="2:14" ht="15.5">
      <c r="B59" s="555"/>
      <c r="C59" s="539" t="s">
        <v>203</v>
      </c>
      <c r="D59" s="556" t="s">
        <v>161</v>
      </c>
      <c r="E59" s="569">
        <v>0.34450000000000003</v>
      </c>
      <c r="F59" s="558">
        <f>VLOOKUP(C59,'Singular Minerals'!C:X,$F$12, FALSE)</f>
        <v>3.81E-3</v>
      </c>
      <c r="G59" s="559">
        <f>VLOOKUP(C59,'Singular Minerals'!C:X,$G$12, FALSE)</f>
        <v>60.084400000000002</v>
      </c>
      <c r="H59" s="558">
        <v>0.59131199999999995</v>
      </c>
      <c r="I59" s="560">
        <f>VLOOKUP(C59,'Singular Minerals'!C:X,$I$12,FALSE)</f>
        <v>1691500829.0134084</v>
      </c>
      <c r="J59" s="561">
        <f t="shared" ref="J59:J68" si="8">E59/G59</f>
        <v>5.7336014006963542E-3</v>
      </c>
      <c r="K59" s="562">
        <f>J59/$J$69</f>
        <v>0.69310047728389146</v>
      </c>
      <c r="L59" s="560">
        <f t="shared" ref="L59:L68" si="9">standard_temperature*gas_constant*LN(K59/H59)/G59</f>
        <v>6.5526786368920522</v>
      </c>
      <c r="M59" s="560">
        <f t="shared" ref="M59:M68" si="10">L59*$M$10</f>
        <v>362002512.25721258</v>
      </c>
      <c r="N59" s="563"/>
    </row>
    <row r="60" spans="2:14" ht="15.5">
      <c r="B60" s="555"/>
      <c r="C60" s="539" t="s">
        <v>213</v>
      </c>
      <c r="D60" s="556" t="s">
        <v>214</v>
      </c>
      <c r="E60" s="569">
        <v>0.2888</v>
      </c>
      <c r="F60" s="558">
        <f>VLOOKUP(C60,'Singular Minerals'!C:X,$F$12, FALSE)</f>
        <v>5.1400000000000003E-4</v>
      </c>
      <c r="G60" s="559">
        <f>VLOOKUP(C60,'Singular Minerals'!C:X,$G$12, FALSE)</f>
        <v>262.22329999999999</v>
      </c>
      <c r="H60" s="558">
        <v>7.9772800000000005E-2</v>
      </c>
      <c r="I60" s="560">
        <f>VLOOKUP(C60,'Singular Minerals'!C:X,$I$12,FALSE)</f>
        <v>1674981836.2976291</v>
      </c>
      <c r="J60" s="561">
        <f t="shared" si="8"/>
        <v>1.1013514054624438E-3</v>
      </c>
      <c r="K60" s="562">
        <f t="shared" ref="K60:K68" si="11">J60/$J$69</f>
        <v>0.13313572594889397</v>
      </c>
      <c r="L60" s="560">
        <f t="shared" si="9"/>
        <v>4.8417425244855821</v>
      </c>
      <c r="M60" s="560">
        <f t="shared" si="10"/>
        <v>267481903.91917023</v>
      </c>
      <c r="N60" s="563"/>
    </row>
    <row r="61" spans="2:14" ht="15.5">
      <c r="B61" s="555"/>
      <c r="C61" s="539" t="s">
        <v>220</v>
      </c>
      <c r="D61" s="556" t="s">
        <v>646</v>
      </c>
      <c r="E61" s="569">
        <v>0.26950000000000002</v>
      </c>
      <c r="F61" s="558">
        <f>VLOOKUP(C61,'Singular Minerals'!C:X,$F$12, FALSE)</f>
        <v>4.2200000000000001E-4</v>
      </c>
      <c r="G61" s="559">
        <f>VLOOKUP(C61,'Singular Minerals'!C:X,$G$12, FALSE)</f>
        <v>278.33</v>
      </c>
      <c r="H61" s="558">
        <v>6.5494399999999994E-2</v>
      </c>
      <c r="I61" s="560">
        <f>VLOOKUP(C61,'Singular Minerals'!C:X,$I$12,FALSE)</f>
        <v>1598328951.8235977</v>
      </c>
      <c r="J61" s="561">
        <f t="shared" si="8"/>
        <v>9.6827506916250504E-4</v>
      </c>
      <c r="K61" s="562">
        <f t="shared" si="11"/>
        <v>0.1170489306244968</v>
      </c>
      <c r="L61" s="560">
        <f t="shared" si="9"/>
        <v>5.1710930419724734</v>
      </c>
      <c r="M61" s="560">
        <f t="shared" si="10"/>
        <v>285676862.24845839</v>
      </c>
      <c r="N61" s="563"/>
    </row>
    <row r="62" spans="2:14" ht="15.5">
      <c r="B62" s="555"/>
      <c r="C62" s="539" t="s">
        <v>208</v>
      </c>
      <c r="D62" s="556" t="s">
        <v>209</v>
      </c>
      <c r="E62" s="569">
        <v>6.3E-2</v>
      </c>
      <c r="F62" s="558">
        <f>VLOOKUP(C62,'Singular Minerals'!C:X,$F$12, FALSE)</f>
        <v>9.9000000000000005E-7</v>
      </c>
      <c r="G62" s="559">
        <f>VLOOKUP(C62,'Singular Minerals'!C:X,$G$12, FALSE)</f>
        <v>278.20999999999998</v>
      </c>
      <c r="H62" s="558">
        <v>1.5364799999999999E-4</v>
      </c>
      <c r="I62" s="560">
        <f>VLOOKUP(C62,'Singular Minerals'!C:X,$I$12,FALSE)</f>
        <v>1713614459.7333536</v>
      </c>
      <c r="J62" s="561">
        <f t="shared" si="8"/>
        <v>2.2644764746055141E-4</v>
      </c>
      <c r="K62" s="562">
        <f t="shared" si="11"/>
        <v>2.7373889736328837E-2</v>
      </c>
      <c r="L62" s="560">
        <f t="shared" si="9"/>
        <v>46.177088356848024</v>
      </c>
      <c r="M62" s="560">
        <f t="shared" si="10"/>
        <v>2551051702.7019658</v>
      </c>
      <c r="N62" s="563"/>
    </row>
    <row r="63" spans="2:14" ht="15.5">
      <c r="B63" s="555"/>
      <c r="C63" s="539" t="s">
        <v>204</v>
      </c>
      <c r="D63" s="556" t="s">
        <v>205</v>
      </c>
      <c r="E63" s="569">
        <v>1.3100000000000001E-2</v>
      </c>
      <c r="F63" s="558">
        <f>VLOOKUP(C63,'Singular Minerals'!C:X,$F$12, FALSE)</f>
        <v>1.1999999999999999E-6</v>
      </c>
      <c r="G63" s="559">
        <f>VLOOKUP(C63,'Singular Minerals'!C:X,$G$12, FALSE)</f>
        <v>101.9614</v>
      </c>
      <c r="H63" s="558">
        <v>1.8623999999999998E-4</v>
      </c>
      <c r="I63" s="560">
        <f>VLOOKUP(C63,'Singular Minerals'!C:X,$I$12,FALSE)</f>
        <v>1817502300.7965646</v>
      </c>
      <c r="J63" s="561">
        <f t="shared" si="8"/>
        <v>1.2847999340927056E-4</v>
      </c>
      <c r="K63" s="562">
        <f t="shared" si="11"/>
        <v>1.5531171166272817E-2</v>
      </c>
      <c r="L63" s="560">
        <f t="shared" si="9"/>
        <v>107.54290594179334</v>
      </c>
      <c r="M63" s="560">
        <f t="shared" si="10"/>
        <v>5941204243.8930368</v>
      </c>
      <c r="N63" s="563"/>
    </row>
    <row r="64" spans="2:14" ht="15.5">
      <c r="B64" s="555"/>
      <c r="C64" s="539" t="s">
        <v>221</v>
      </c>
      <c r="D64" s="556" t="s">
        <v>222</v>
      </c>
      <c r="E64" s="569">
        <v>1.01E-2</v>
      </c>
      <c r="F64" s="558">
        <f>VLOOKUP(C64,'Singular Minerals'!C:X,$F$12, FALSE)</f>
        <v>6.0499999999999997E-6</v>
      </c>
      <c r="G64" s="559">
        <f>VLOOKUP(C64,'Singular Minerals'!C:X,$G$12, FALSE)</f>
        <v>159.69999999999999</v>
      </c>
      <c r="H64" s="558">
        <v>9.3895999999999986E-4</v>
      </c>
      <c r="I64" s="560">
        <f>VLOOKUP(C64,'Singular Minerals'!C:X,$I$12,FALSE)</f>
        <v>551020574.41519272</v>
      </c>
      <c r="J64" s="561">
        <f t="shared" si="8"/>
        <v>6.3243581715716969E-5</v>
      </c>
      <c r="K64" s="562">
        <f t="shared" si="11"/>
        <v>7.6451349874064314E-3</v>
      </c>
      <c r="L64" s="560">
        <f t="shared" si="9"/>
        <v>32.54985780795657</v>
      </c>
      <c r="M64" s="560">
        <f t="shared" si="10"/>
        <v>1798215806.5490124</v>
      </c>
      <c r="N64" s="563"/>
    </row>
    <row r="65" spans="2:14" ht="15.5">
      <c r="B65" s="555"/>
      <c r="C65" s="539" t="s">
        <v>210</v>
      </c>
      <c r="D65" s="556" t="s">
        <v>762</v>
      </c>
      <c r="E65" s="569">
        <v>7.4999999999999997E-3</v>
      </c>
      <c r="F65" s="558">
        <f>VLOOKUP(C65,'Singular Minerals'!C:X,$F$12, FALSE)</f>
        <v>1.39E-6</v>
      </c>
      <c r="G65" s="559">
        <f>VLOOKUP(C65,'Singular Minerals'!C:X,$G$12, FALSE)</f>
        <v>200.78</v>
      </c>
      <c r="H65" s="558">
        <v>2.1572799999999999E-4</v>
      </c>
      <c r="I65" s="560">
        <f>VLOOKUP(C65,'Singular Minerals'!C:X,$I$12,FALSE)</f>
        <v>1724246326.8556919</v>
      </c>
      <c r="J65" s="561">
        <f t="shared" si="8"/>
        <v>3.73543181591792E-5</v>
      </c>
      <c r="K65" s="562">
        <f t="shared" si="11"/>
        <v>4.5155381295946071E-3</v>
      </c>
      <c r="L65" s="560">
        <f t="shared" si="9"/>
        <v>37.547248610550682</v>
      </c>
      <c r="M65" s="560">
        <f t="shared" si="10"/>
        <v>2074296494.3893979</v>
      </c>
      <c r="N65" s="563"/>
    </row>
    <row r="66" spans="2:14" ht="15.5">
      <c r="B66" s="555"/>
      <c r="C66" s="539" t="s">
        <v>215</v>
      </c>
      <c r="D66" s="556" t="s">
        <v>341</v>
      </c>
      <c r="E66" s="569">
        <v>1.5E-3</v>
      </c>
      <c r="F66" s="558">
        <f>VLOOKUP(C66,'Singular Minerals'!C:X,$F$12, FALSE)</f>
        <v>3.1000000000000001E-5</v>
      </c>
      <c r="G66" s="559">
        <f>VLOOKUP(C66,'Singular Minerals'!C:X,$G$12, FALSE)</f>
        <v>151.72999999999999</v>
      </c>
      <c r="H66" s="558">
        <v>4.8111999999999999E-3</v>
      </c>
      <c r="I66" s="560">
        <f>VLOOKUP(C66,'Singular Minerals'!C:X,$I$12,FALSE)</f>
        <v>909173379.38970625</v>
      </c>
      <c r="J66" s="561">
        <f t="shared" si="8"/>
        <v>9.8859816779806238E-6</v>
      </c>
      <c r="K66" s="562">
        <f t="shared" si="11"/>
        <v>1.195056673907606E-3</v>
      </c>
      <c r="L66" s="560">
        <f t="shared" si="9"/>
        <v>-22.753460406203725</v>
      </c>
      <c r="M66" s="560">
        <f t="shared" si="10"/>
        <v>-1257014159.5555952</v>
      </c>
      <c r="N66" s="563"/>
    </row>
    <row r="67" spans="2:14" ht="15.5">
      <c r="B67" s="555"/>
      <c r="C67" s="539" t="s">
        <v>223</v>
      </c>
      <c r="D67" s="556" t="s">
        <v>143</v>
      </c>
      <c r="E67" s="569">
        <v>2.9999999999999997E-4</v>
      </c>
      <c r="F67" s="558">
        <f>VLOOKUP(C67,'Singular Minerals'!C:X,$F$12, FALSE)</f>
        <v>3.41E-6</v>
      </c>
      <c r="G67" s="559">
        <f>VLOOKUP(C67,'Singular Minerals'!C:X,$G$12, FALSE)</f>
        <v>79.866</v>
      </c>
      <c r="H67" s="558">
        <v>5.2923199999999992E-4</v>
      </c>
      <c r="I67" s="560">
        <f>VLOOKUP(C67,'Singular Minerals'!C:X,$I$12,FALSE)</f>
        <v>1321382797.1527596</v>
      </c>
      <c r="J67" s="561">
        <f t="shared" si="8"/>
        <v>3.7562917887461494E-6</v>
      </c>
      <c r="K67" s="562">
        <f t="shared" si="11"/>
        <v>4.5407544920742502E-4</v>
      </c>
      <c r="L67" s="560">
        <f t="shared" si="9"/>
        <v>-4.7537710223554672</v>
      </c>
      <c r="M67" s="560">
        <f t="shared" si="10"/>
        <v>-262621921.2246356</v>
      </c>
      <c r="N67" s="563"/>
    </row>
    <row r="68" spans="2:14" ht="15.5">
      <c r="B68" s="555"/>
      <c r="C68" s="539" t="s">
        <v>224</v>
      </c>
      <c r="D68" s="556" t="s">
        <v>136</v>
      </c>
      <c r="E68" s="569">
        <v>1.8E-3</v>
      </c>
      <c r="F68" s="740" t="e">
        <f>VLOOKUP(C68,'Singular Minerals'!C:X,$F$12, FALSE)</f>
        <v>#N/A</v>
      </c>
      <c r="G68" s="559" t="e">
        <f>VLOOKUP(C68,'Singular Minerals'!C:X,$G$12, FALSE)</f>
        <v>#N/A</v>
      </c>
      <c r="H68" s="570" t="e">
        <v>#REF!</v>
      </c>
      <c r="I68" s="560" t="e">
        <f>VLOOKUP(C68,'Singular Minerals'!C:X,$I$12,FALSE)</f>
        <v>#N/A</v>
      </c>
      <c r="J68" s="561" t="e">
        <f t="shared" si="8"/>
        <v>#N/A</v>
      </c>
      <c r="K68" s="562" t="e">
        <f t="shared" si="11"/>
        <v>#N/A</v>
      </c>
      <c r="L68" s="560" t="e">
        <f t="shared" si="9"/>
        <v>#N/A</v>
      </c>
      <c r="M68" s="560" t="e">
        <f t="shared" si="10"/>
        <v>#N/A</v>
      </c>
      <c r="N68" s="563"/>
    </row>
    <row r="69" spans="2:14" ht="15.5">
      <c r="B69" s="567">
        <v>3004</v>
      </c>
      <c r="C69" s="512" t="s">
        <v>217</v>
      </c>
      <c r="D69" s="513"/>
      <c r="E69" s="526">
        <f>SUM(E59:E67)</f>
        <v>0.99829999999999985</v>
      </c>
      <c r="F69" s="515">
        <f>SUMPRODUCT(F59:F67,E59:E67)/E69</f>
        <v>1.5775962566362818E-3</v>
      </c>
      <c r="G69" s="516"/>
      <c r="H69" s="513"/>
      <c r="I69" s="515">
        <f>SUMPRODUCT(I59:I67,E59:E67)</f>
        <v>1649230763.6992123</v>
      </c>
      <c r="J69" s="517">
        <f>SUM(J59:J67)</f>
        <v>8.2723956895327487E-3</v>
      </c>
      <c r="K69" s="518"/>
      <c r="L69" s="518"/>
      <c r="M69" s="515">
        <f>SUMPRODUCT(M59:M67,E59:E67)/E69</f>
        <v>550184796.25765109</v>
      </c>
      <c r="N69" s="565">
        <f>MAX(I69,M69)</f>
        <v>1649230763.6992123</v>
      </c>
    </row>
    <row r="70" spans="2:14">
      <c r="C70" t="s">
        <v>1305</v>
      </c>
    </row>
    <row r="73" spans="2:14" ht="23.25" customHeight="1">
      <c r="C73" s="527" t="s">
        <v>1304</v>
      </c>
    </row>
    <row r="74" spans="2:14" ht="47.5">
      <c r="B74" s="553" t="s">
        <v>1729</v>
      </c>
      <c r="C74" s="532" t="s">
        <v>200</v>
      </c>
      <c r="D74" s="532" t="s">
        <v>201</v>
      </c>
      <c r="E74" s="533" t="s">
        <v>202</v>
      </c>
      <c r="F74" s="534" t="s">
        <v>1767</v>
      </c>
      <c r="G74" s="535" t="s">
        <v>1763</v>
      </c>
      <c r="H74" s="536" t="s">
        <v>1737</v>
      </c>
      <c r="I74" s="537" t="s">
        <v>1736</v>
      </c>
      <c r="J74" s="535" t="s">
        <v>1764</v>
      </c>
      <c r="K74" s="536" t="s">
        <v>1765</v>
      </c>
      <c r="L74" s="536" t="s">
        <v>1747</v>
      </c>
      <c r="M74" s="538" t="s">
        <v>1748</v>
      </c>
      <c r="N74" s="554" t="s">
        <v>1766</v>
      </c>
    </row>
    <row r="75" spans="2:14" ht="15.5">
      <c r="B75" s="555"/>
      <c r="C75" s="539" t="s">
        <v>220</v>
      </c>
      <c r="D75" s="539" t="s">
        <v>646</v>
      </c>
      <c r="E75" s="566">
        <v>0.317</v>
      </c>
      <c r="F75" s="558">
        <f>VLOOKUP(C75,'Singular Minerals'!C:X,$F$12, FALSE)</f>
        <v>4.2200000000000001E-4</v>
      </c>
      <c r="G75" s="559">
        <f>VLOOKUP(C75,'Singular Minerals'!C:X,$G$12, FALSE)</f>
        <v>278.33</v>
      </c>
      <c r="H75" s="558">
        <v>6.5494399999999994E-2</v>
      </c>
      <c r="I75" s="560">
        <f>VLOOKUP(C75,'Singular Minerals'!C:X,$I$12,FALSE)</f>
        <v>1598328951.8235977</v>
      </c>
      <c r="J75" s="561">
        <f t="shared" ref="J75:J83" si="12">E75/G75</f>
        <v>1.1389357956382712E-3</v>
      </c>
      <c r="K75" s="562">
        <f>J75/$J$84</f>
        <v>0.14150965673492374</v>
      </c>
      <c r="L75" s="560">
        <f t="shared" ref="L75:L83" si="13">standard_temperature*gas_constant*LN(K75/H75)/G75</f>
        <v>6.861245492560359</v>
      </c>
      <c r="M75" s="560">
        <f t="shared" ref="M75:M83" si="14">L75*$M$10</f>
        <v>379049277.88407326</v>
      </c>
      <c r="N75" s="563"/>
    </row>
    <row r="76" spans="2:14" ht="15.5">
      <c r="B76" s="555"/>
      <c r="C76" s="539" t="s">
        <v>203</v>
      </c>
      <c r="D76" s="539" t="s">
        <v>161</v>
      </c>
      <c r="E76" s="566">
        <v>0.33200000000000002</v>
      </c>
      <c r="F76" s="558">
        <f>VLOOKUP(C76,'Singular Minerals'!C:X,$F$12, FALSE)</f>
        <v>3.81E-3</v>
      </c>
      <c r="G76" s="559">
        <f>VLOOKUP(C76,'Singular Minerals'!C:X,$G$12, FALSE)</f>
        <v>60.084400000000002</v>
      </c>
      <c r="H76" s="558">
        <v>0.59131199999999995</v>
      </c>
      <c r="I76" s="560">
        <f>VLOOKUP(C76,'Singular Minerals'!C:X,$I$12,FALSE)</f>
        <v>1691500829.0134084</v>
      </c>
      <c r="J76" s="561">
        <f t="shared" si="12"/>
        <v>5.5255607112661524E-3</v>
      </c>
      <c r="K76" s="562">
        <f t="shared" ref="K76:K83" si="15">J76/$J$84</f>
        <v>0.68653580167884554</v>
      </c>
      <c r="L76" s="560">
        <f t="shared" si="13"/>
        <v>6.1600653051292751</v>
      </c>
      <c r="M76" s="560">
        <f t="shared" si="14"/>
        <v>340312601.86795366</v>
      </c>
      <c r="N76" s="563"/>
    </row>
    <row r="77" spans="2:14" ht="15.5">
      <c r="B77" s="555"/>
      <c r="C77" s="539" t="s">
        <v>213</v>
      </c>
      <c r="D77" s="539" t="s">
        <v>214</v>
      </c>
      <c r="E77" s="566">
        <v>0.251</v>
      </c>
      <c r="F77" s="558">
        <f>VLOOKUP(C77,'Singular Minerals'!C:X,$F$12, FALSE)</f>
        <v>5.1400000000000003E-4</v>
      </c>
      <c r="G77" s="559">
        <f>VLOOKUP(C77,'Singular Minerals'!C:X,$G$12, FALSE)</f>
        <v>262.22329999999999</v>
      </c>
      <c r="H77" s="558">
        <v>7.9772800000000005E-2</v>
      </c>
      <c r="I77" s="560">
        <f>VLOOKUP(C77,'Singular Minerals'!C:X,$I$12,FALSE)</f>
        <v>1674981836.2976291</v>
      </c>
      <c r="J77" s="561">
        <f t="shared" si="12"/>
        <v>9.5719945557850889E-4</v>
      </c>
      <c r="K77" s="562">
        <f t="shared" si="15"/>
        <v>0.11892941367240237</v>
      </c>
      <c r="L77" s="560">
        <f t="shared" si="13"/>
        <v>3.7750663669537143</v>
      </c>
      <c r="M77" s="560">
        <f t="shared" si="14"/>
        <v>208553415.2523503</v>
      </c>
      <c r="N77" s="563"/>
    </row>
    <row r="78" spans="2:14" ht="15.5">
      <c r="B78" s="555"/>
      <c r="C78" s="539" t="s">
        <v>208</v>
      </c>
      <c r="D78" s="539" t="s">
        <v>209</v>
      </c>
      <c r="E78" s="566">
        <v>0.05</v>
      </c>
      <c r="F78" s="558">
        <f>VLOOKUP(C78,'Singular Minerals'!C:X,$F$12, FALSE)</f>
        <v>9.9000000000000005E-7</v>
      </c>
      <c r="G78" s="559">
        <f>VLOOKUP(C78,'Singular Minerals'!C:X,$G$12, FALSE)</f>
        <v>278.20999999999998</v>
      </c>
      <c r="H78" s="558">
        <v>1.5364799999999999E-4</v>
      </c>
      <c r="I78" s="560">
        <f>VLOOKUP(C78,'Singular Minerals'!C:X,$I$12,FALSE)</f>
        <v>1713614459.7333536</v>
      </c>
      <c r="J78" s="561">
        <f t="shared" si="12"/>
        <v>1.7972035512742177E-4</v>
      </c>
      <c r="K78" s="562">
        <f t="shared" si="15"/>
        <v>2.2329762449961106E-2</v>
      </c>
      <c r="L78" s="560">
        <f t="shared" si="13"/>
        <v>44.362419192392451</v>
      </c>
      <c r="M78" s="560">
        <f t="shared" si="14"/>
        <v>2450800365.3709793</v>
      </c>
      <c r="N78" s="563"/>
    </row>
    <row r="79" spans="2:14" ht="15.5">
      <c r="B79" s="555"/>
      <c r="C79" s="539" t="s">
        <v>206</v>
      </c>
      <c r="D79" s="539" t="s">
        <v>682</v>
      </c>
      <c r="E79" s="566">
        <v>1.9E-2</v>
      </c>
      <c r="F79" s="558">
        <f>VLOOKUP(C79,'Singular Minerals'!C:X,$F$12, FALSE)</f>
        <v>3.43E-5</v>
      </c>
      <c r="G79" s="559">
        <f>VLOOKUP(C79,'Singular Minerals'!C:X,$G$12, FALSE)</f>
        <v>231.55</v>
      </c>
      <c r="H79" s="558">
        <v>5.3233600000000001E-3</v>
      </c>
      <c r="I79" s="560">
        <f>VLOOKUP(C79,'Singular Minerals'!C:X,$I$12,FALSE)</f>
        <v>520185157.52353114</v>
      </c>
      <c r="J79" s="561">
        <f t="shared" si="12"/>
        <v>8.2055711509393219E-5</v>
      </c>
      <c r="K79" s="562">
        <f t="shared" si="15"/>
        <v>1.0195197669001933E-2</v>
      </c>
      <c r="L79" s="560">
        <f t="shared" si="13"/>
        <v>6.956452899934475</v>
      </c>
      <c r="M79" s="560">
        <f t="shared" si="14"/>
        <v>384309007.92193651</v>
      </c>
      <c r="N79" s="563"/>
    </row>
    <row r="80" spans="2:14" ht="15.5">
      <c r="B80" s="555"/>
      <c r="C80" s="539" t="s">
        <v>204</v>
      </c>
      <c r="D80" s="539" t="s">
        <v>205</v>
      </c>
      <c r="E80" s="566">
        <v>9.0000000000000011E-3</v>
      </c>
      <c r="F80" s="558">
        <f>VLOOKUP(C80,'Singular Minerals'!C:X,$F$12, FALSE)</f>
        <v>1.1999999999999999E-6</v>
      </c>
      <c r="G80" s="559">
        <f>VLOOKUP(C80,'Singular Minerals'!C:X,$G$12, FALSE)</f>
        <v>101.9614</v>
      </c>
      <c r="H80" s="558">
        <v>1.8623999999999998E-4</v>
      </c>
      <c r="I80" s="560">
        <f>VLOOKUP(C80,'Singular Minerals'!C:X,$I$12,FALSE)</f>
        <v>1817502300.7965646</v>
      </c>
      <c r="J80" s="561">
        <f t="shared" si="12"/>
        <v>8.8268697762094295E-5</v>
      </c>
      <c r="K80" s="562">
        <f t="shared" si="15"/>
        <v>1.0967144213561821E-2</v>
      </c>
      <c r="L80" s="560">
        <f t="shared" si="13"/>
        <v>99.083890628882799</v>
      </c>
      <c r="M80" s="560">
        <f t="shared" si="14"/>
        <v>5473886225.6927357</v>
      </c>
      <c r="N80" s="563"/>
    </row>
    <row r="81" spans="2:14" ht="15.5">
      <c r="B81" s="555"/>
      <c r="C81" s="539" t="s">
        <v>210</v>
      </c>
      <c r="D81" s="539" t="s">
        <v>762</v>
      </c>
      <c r="E81" s="566">
        <v>8.0000000000000002E-3</v>
      </c>
      <c r="F81" s="558">
        <f>VLOOKUP(C81,'Singular Minerals'!C:X,$F$12, FALSE)</f>
        <v>1.39E-6</v>
      </c>
      <c r="G81" s="559">
        <f>VLOOKUP(C81,'Singular Minerals'!C:X,$G$12, FALSE)</f>
        <v>200.78</v>
      </c>
      <c r="H81" s="558">
        <v>2.1572799999999999E-4</v>
      </c>
      <c r="I81" s="560">
        <f>VLOOKUP(C81,'Singular Minerals'!C:X,$I$12,FALSE)</f>
        <v>1724246326.8556919</v>
      </c>
      <c r="J81" s="561">
        <f t="shared" si="12"/>
        <v>3.9844606036457814E-5</v>
      </c>
      <c r="K81" s="562">
        <f t="shared" si="15"/>
        <v>4.9505832941158911E-3</v>
      </c>
      <c r="L81" s="560">
        <f t="shared" si="13"/>
        <v>38.682841591904861</v>
      </c>
      <c r="M81" s="560">
        <f t="shared" si="14"/>
        <v>2137032290.6845829</v>
      </c>
      <c r="N81" s="563"/>
    </row>
    <row r="82" spans="2:14" ht="15.5">
      <c r="B82" s="555"/>
      <c r="C82" s="539" t="s">
        <v>215</v>
      </c>
      <c r="D82" s="539" t="s">
        <v>341</v>
      </c>
      <c r="E82" s="566">
        <v>5.0000000000000001E-3</v>
      </c>
      <c r="F82" s="558">
        <f>VLOOKUP(C82,'Singular Minerals'!C:X,$F$12, FALSE)</f>
        <v>3.1000000000000001E-5</v>
      </c>
      <c r="G82" s="559">
        <f>VLOOKUP(C82,'Singular Minerals'!C:X,$G$12, FALSE)</f>
        <v>151.72999999999999</v>
      </c>
      <c r="H82" s="558">
        <v>4.8111999999999999E-3</v>
      </c>
      <c r="I82" s="560">
        <f>VLOOKUP(C82,'Singular Minerals'!C:X,$I$12,FALSE)</f>
        <v>909173379.38970625</v>
      </c>
      <c r="J82" s="561">
        <f t="shared" si="12"/>
        <v>3.2953272259935416E-5</v>
      </c>
      <c r="K82" s="562">
        <f t="shared" si="15"/>
        <v>4.0943539255280294E-3</v>
      </c>
      <c r="L82" s="560">
        <f t="shared" si="13"/>
        <v>-2.6357788458107936</v>
      </c>
      <c r="M82" s="560">
        <f t="shared" si="14"/>
        <v>-145613514.23003444</v>
      </c>
      <c r="N82" s="563"/>
    </row>
    <row r="83" spans="2:14" ht="15.5">
      <c r="B83" s="555"/>
      <c r="C83" s="539" t="s">
        <v>216</v>
      </c>
      <c r="D83" s="539" t="s">
        <v>1000</v>
      </c>
      <c r="E83" s="566">
        <v>2E-3</v>
      </c>
      <c r="F83" s="558">
        <f>VLOOKUP(C83,'Singular Minerals'!C:X,$F$12, FALSE)</f>
        <v>7.9100000000000003E-7</v>
      </c>
      <c r="G83" s="559">
        <f>VLOOKUP(C83,'Singular Minerals'!C:X,$G$12, FALSE)</f>
        <v>509.12</v>
      </c>
      <c r="H83" s="558">
        <v>1.227632E-4</v>
      </c>
      <c r="I83" s="560">
        <f>VLOOKUP(C83,'Singular Minerals'!C:X,$I$12,FALSE)</f>
        <v>1487379322.9101918</v>
      </c>
      <c r="J83" s="561">
        <f t="shared" si="12"/>
        <v>3.9283469516027655E-6</v>
      </c>
      <c r="K83" s="562">
        <f t="shared" si="15"/>
        <v>4.8808636165962276E-4</v>
      </c>
      <c r="L83" s="560">
        <f t="shared" si="13"/>
        <v>6.7201308921564653</v>
      </c>
      <c r="M83" s="560">
        <f t="shared" si="14"/>
        <v>371253406.50183022</v>
      </c>
      <c r="N83" s="563"/>
    </row>
    <row r="84" spans="2:14" ht="15.5">
      <c r="B84" s="567">
        <v>3005</v>
      </c>
      <c r="C84" s="512" t="s">
        <v>217</v>
      </c>
      <c r="D84" s="528"/>
      <c r="E84" s="520">
        <f>SUM(E75:E83)</f>
        <v>0.9930000000000001</v>
      </c>
      <c r="F84" s="515">
        <f>SUMPRODUCT(F75:F83,E75:E83)/E84</f>
        <v>1.5393632447129907E-3</v>
      </c>
      <c r="G84" s="529"/>
      <c r="H84" s="528"/>
      <c r="I84" s="515">
        <f>SUMPRODUCT(I75:I83,E75:E83)</f>
        <v>1621905351.7156353</v>
      </c>
      <c r="J84" s="517">
        <f>SUM(J75:J83)</f>
        <v>8.0484669521298374E-3</v>
      </c>
      <c r="K84" s="518"/>
      <c r="L84" s="518"/>
      <c r="M84" s="515">
        <f>SUMPRODUCT(M75:M83,E75:E83)/E84</f>
        <v>485102593.30854201</v>
      </c>
      <c r="N84" s="565">
        <f>MAX(I84,M84)</f>
        <v>1621905351.7156353</v>
      </c>
    </row>
    <row r="87" spans="2:14" ht="23.25" customHeight="1">
      <c r="C87" s="509" t="s">
        <v>1306</v>
      </c>
      <c r="D87" s="452" t="s">
        <v>225</v>
      </c>
      <c r="E87" s="452"/>
      <c r="F87" s="530"/>
      <c r="G87" s="452"/>
      <c r="I87" s="123"/>
    </row>
    <row r="88" spans="2:14" ht="47.5">
      <c r="B88" s="553" t="s">
        <v>1729</v>
      </c>
      <c r="C88" s="532" t="s">
        <v>200</v>
      </c>
      <c r="D88" s="532" t="s">
        <v>201</v>
      </c>
      <c r="E88" s="533" t="s">
        <v>202</v>
      </c>
      <c r="F88" s="534" t="s">
        <v>1767</v>
      </c>
      <c r="G88" s="535" t="s">
        <v>1763</v>
      </c>
      <c r="H88" s="536" t="s">
        <v>1737</v>
      </c>
      <c r="I88" s="537" t="s">
        <v>1736</v>
      </c>
      <c r="J88" s="535" t="s">
        <v>1764</v>
      </c>
      <c r="K88" s="536" t="s">
        <v>1765</v>
      </c>
      <c r="L88" s="536" t="s">
        <v>1747</v>
      </c>
      <c r="M88" s="538" t="s">
        <v>1748</v>
      </c>
      <c r="N88" s="554" t="s">
        <v>1766</v>
      </c>
    </row>
    <row r="89" spans="2:14" ht="15.5">
      <c r="B89" s="555"/>
      <c r="C89" s="539" t="s">
        <v>203</v>
      </c>
      <c r="D89" s="539" t="s">
        <v>161</v>
      </c>
      <c r="E89" s="557">
        <v>0.82</v>
      </c>
      <c r="F89" s="558">
        <f>VLOOKUP(C89,'Singular Minerals'!C:X,$F$12, FALSE)</f>
        <v>3.81E-3</v>
      </c>
      <c r="G89" s="559">
        <f>VLOOKUP(C89,'Singular Minerals'!C:X,$G$12, FALSE)</f>
        <v>60.084400000000002</v>
      </c>
      <c r="H89" s="558">
        <v>0.59131199999999995</v>
      </c>
      <c r="I89" s="560">
        <f>VLOOKUP(C89,'Singular Minerals'!C:X,$I$12,FALSE)</f>
        <v>1691500829.0134084</v>
      </c>
      <c r="J89" s="561">
        <f t="shared" ref="J89:J95" si="16">E89/G89</f>
        <v>1.3647469226621219E-2</v>
      </c>
      <c r="K89" s="562">
        <f t="shared" ref="K89:K95" si="17">J89/$J$96</f>
        <v>0.95388332829474498</v>
      </c>
      <c r="L89" s="560">
        <f t="shared" ref="L89:L95" si="18">standard_temperature*gas_constant*LN(K89/H89)/G89</f>
        <v>19.72833662876991</v>
      </c>
      <c r="M89" s="560">
        <f t="shared" ref="M89:M95" si="19">L89*$M$10</f>
        <v>1089891297.5927689</v>
      </c>
      <c r="N89" s="563"/>
    </row>
    <row r="90" spans="2:14" ht="15.5">
      <c r="B90" s="555"/>
      <c r="C90" s="539" t="s">
        <v>226</v>
      </c>
      <c r="D90" s="539" t="s">
        <v>1042</v>
      </c>
      <c r="E90" s="557">
        <v>0.08</v>
      </c>
      <c r="F90" s="558">
        <f>VLOOKUP(C90,'Singular Minerals'!C:X,$F$12, FALSE)</f>
        <v>2.5400000000000001E-5</v>
      </c>
      <c r="G90" s="559">
        <f>VLOOKUP(C90,'Singular Minerals'!C:X,$G$12, FALSE)</f>
        <v>398.71</v>
      </c>
      <c r="H90" s="558">
        <v>3.9420799999999997E-3</v>
      </c>
      <c r="I90" s="560">
        <f>VLOOKUP(C90,'Singular Minerals'!C:X,$I$12,FALSE)</f>
        <v>1670198728.119221</v>
      </c>
      <c r="J90" s="561">
        <f t="shared" si="16"/>
        <v>2.0064708685510775E-4</v>
      </c>
      <c r="K90" s="562">
        <f t="shared" si="17"/>
        <v>1.402413208220726E-2</v>
      </c>
      <c r="L90" s="560">
        <f t="shared" si="18"/>
        <v>7.8899390294250722</v>
      </c>
      <c r="M90" s="560">
        <f t="shared" si="19"/>
        <v>435879417.94178998</v>
      </c>
      <c r="N90" s="563"/>
    </row>
    <row r="91" spans="2:14" ht="15.5">
      <c r="B91" s="555"/>
      <c r="C91" s="539" t="s">
        <v>91</v>
      </c>
      <c r="D91" s="539" t="s">
        <v>90</v>
      </c>
      <c r="E91" s="557">
        <v>0.02</v>
      </c>
      <c r="F91" s="558">
        <f>VLOOKUP(C91,'Singular Minerals'!C:X,$F$12, FALSE)</f>
        <v>8.0000000000000007E-5</v>
      </c>
      <c r="G91" s="559">
        <f>VLOOKUP(C91,'Singular Minerals'!C:X,$G$12, FALSE)</f>
        <v>100.09</v>
      </c>
      <c r="H91" s="558">
        <v>1.2416E-2</v>
      </c>
      <c r="I91" s="560">
        <f>VLOOKUP(C91,'Singular Minerals'!C:X,$I$12,FALSE)</f>
        <v>1337380645.9366572</v>
      </c>
      <c r="J91" s="561">
        <f t="shared" si="16"/>
        <v>1.9982016185433109E-4</v>
      </c>
      <c r="K91" s="562">
        <f t="shared" si="17"/>
        <v>1.3966334555142512E-2</v>
      </c>
      <c r="L91" s="560">
        <f t="shared" si="18"/>
        <v>2.9140499958150476</v>
      </c>
      <c r="M91" s="560">
        <f t="shared" si="19"/>
        <v>160986594.61018601</v>
      </c>
      <c r="N91" s="563"/>
    </row>
    <row r="92" spans="2:14" ht="15.5">
      <c r="B92" s="555"/>
      <c r="C92" s="539" t="s">
        <v>108</v>
      </c>
      <c r="D92" s="539" t="s">
        <v>701</v>
      </c>
      <c r="E92" s="557">
        <v>0.02</v>
      </c>
      <c r="F92" s="558">
        <f>VLOOKUP(C92,'Singular Minerals'!C:X,$F$12, FALSE)</f>
        <v>3.2400000000000001E-5</v>
      </c>
      <c r="G92" s="559">
        <f>VLOOKUP(C92,'Singular Minerals'!C:X,$G$12, FALSE)</f>
        <v>258.16000000000003</v>
      </c>
      <c r="H92" s="558">
        <v>5.0284800000000001E-3</v>
      </c>
      <c r="I92" s="560">
        <f>VLOOKUP(C92,'Singular Minerals'!C:X,$I$12,FALSE)</f>
        <v>1743367849.5516024</v>
      </c>
      <c r="J92" s="561">
        <f t="shared" si="16"/>
        <v>7.7471335605825835E-5</v>
      </c>
      <c r="K92" s="562">
        <f t="shared" si="17"/>
        <v>5.41482191518521E-3</v>
      </c>
      <c r="L92" s="560">
        <f t="shared" si="18"/>
        <v>0.71075203320727509</v>
      </c>
      <c r="M92" s="560">
        <f t="shared" si="19"/>
        <v>39265472.316064991</v>
      </c>
      <c r="N92" s="563"/>
    </row>
    <row r="93" spans="2:14" ht="15.5">
      <c r="B93" s="555"/>
      <c r="C93" s="539" t="s">
        <v>220</v>
      </c>
      <c r="D93" s="539" t="s">
        <v>646</v>
      </c>
      <c r="E93" s="557">
        <v>0.03</v>
      </c>
      <c r="F93" s="558">
        <f>VLOOKUP(C93,'Singular Minerals'!C:X,$F$12, FALSE)</f>
        <v>4.2200000000000001E-4</v>
      </c>
      <c r="G93" s="559">
        <f>VLOOKUP(C93,'Singular Minerals'!C:X,$G$12, FALSE)</f>
        <v>278.33</v>
      </c>
      <c r="H93" s="558">
        <v>6.5494399999999994E-2</v>
      </c>
      <c r="I93" s="560">
        <f>VLOOKUP(C93,'Singular Minerals'!C:X,$I$12,FALSE)</f>
        <v>1598328951.8235977</v>
      </c>
      <c r="J93" s="561">
        <f t="shared" si="16"/>
        <v>1.0778572198469443E-4</v>
      </c>
      <c r="K93" s="562">
        <f t="shared" si="17"/>
        <v>7.5336314390698845E-3</v>
      </c>
      <c r="L93" s="560">
        <f t="shared" si="18"/>
        <v>-19.260098039849591</v>
      </c>
      <c r="M93" s="560">
        <f t="shared" si="19"/>
        <v>-1064023472.3997844</v>
      </c>
      <c r="N93" s="563"/>
    </row>
    <row r="94" spans="2:14" ht="15.5">
      <c r="B94" s="555"/>
      <c r="C94" s="539" t="s">
        <v>208</v>
      </c>
      <c r="D94" s="539" t="s">
        <v>209</v>
      </c>
      <c r="E94" s="557">
        <v>0.01</v>
      </c>
      <c r="F94" s="558">
        <f>VLOOKUP(C94,'Singular Minerals'!C:X,$F$12, FALSE)</f>
        <v>9.9000000000000005E-7</v>
      </c>
      <c r="G94" s="559">
        <f>VLOOKUP(C94,'Singular Minerals'!C:X,$G$12, FALSE)</f>
        <v>278.20999999999998</v>
      </c>
      <c r="H94" s="558">
        <v>1.5364799999999999E-4</v>
      </c>
      <c r="I94" s="560">
        <f>VLOOKUP(C94,'Singular Minerals'!C:X,$I$12,FALSE)</f>
        <v>1713614459.7333536</v>
      </c>
      <c r="J94" s="561">
        <f t="shared" si="16"/>
        <v>3.5944071025484349E-5</v>
      </c>
      <c r="K94" s="562">
        <f t="shared" si="17"/>
        <v>2.5122936372240648E-3</v>
      </c>
      <c r="L94" s="560">
        <f t="shared" si="18"/>
        <v>24.896777039325723</v>
      </c>
      <c r="M94" s="560">
        <f t="shared" si="19"/>
        <v>1375421615.3072841</v>
      </c>
      <c r="N94" s="563"/>
    </row>
    <row r="95" spans="2:14" ht="15.5">
      <c r="B95" s="555"/>
      <c r="C95" s="539" t="s">
        <v>213</v>
      </c>
      <c r="D95" s="539" t="s">
        <v>214</v>
      </c>
      <c r="E95" s="557">
        <v>0.01</v>
      </c>
      <c r="F95" s="558">
        <f>VLOOKUP(C95,'Singular Minerals'!C:X,$F$12, FALSE)</f>
        <v>5.1400000000000003E-4</v>
      </c>
      <c r="G95" s="559">
        <f>VLOOKUP(C95,'Singular Minerals'!C:X,$G$12, FALSE)</f>
        <v>262.22329999999999</v>
      </c>
      <c r="H95" s="558">
        <v>7.9772800000000005E-2</v>
      </c>
      <c r="I95" s="560">
        <f>VLOOKUP(C95,'Singular Minerals'!C:X,$I$12,FALSE)</f>
        <v>1674981836.2976291</v>
      </c>
      <c r="J95" s="561">
        <f t="shared" si="16"/>
        <v>3.8135436477231433E-5</v>
      </c>
      <c r="K95" s="562">
        <f t="shared" si="17"/>
        <v>2.6654580764261114E-3</v>
      </c>
      <c r="L95" s="560">
        <f t="shared" si="18"/>
        <v>-32.129207736762481</v>
      </c>
      <c r="M95" s="560">
        <f t="shared" si="19"/>
        <v>-1774977007.4270613</v>
      </c>
      <c r="N95" s="563"/>
    </row>
    <row r="96" spans="2:14" ht="15.5">
      <c r="B96" s="567">
        <v>3006</v>
      </c>
      <c r="C96" s="512" t="s">
        <v>217</v>
      </c>
      <c r="D96" s="528"/>
      <c r="E96" s="531">
        <f>SUM(E89:E95)</f>
        <v>0.99</v>
      </c>
      <c r="F96" s="515">
        <f>SUMPRODUCT(F89:F95,E89:E95)/E96</f>
        <v>3.1780706060606052E-3</v>
      </c>
      <c r="G96" s="529"/>
      <c r="H96" s="528"/>
      <c r="I96" s="515">
        <f>SUMPRODUCT(I89:I95,E89:E95)</f>
        <v>1664097379.4653156</v>
      </c>
      <c r="J96" s="517">
        <f>SUM(J89:J95)</f>
        <v>1.4307273040423894E-2</v>
      </c>
      <c r="K96" s="518"/>
      <c r="L96" s="518"/>
      <c r="M96" s="515">
        <f>SUMPRODUCT(M89:M95,E89:E95)/E96</f>
        <v>905727273.44115889</v>
      </c>
      <c r="N96" s="565">
        <f>MAX(I96,M96)</f>
        <v>1664097379.4653156</v>
      </c>
    </row>
    <row r="97" spans="2:14">
      <c r="C97" t="s">
        <v>1307</v>
      </c>
    </row>
    <row r="100" spans="2:14" ht="23.25" customHeight="1">
      <c r="C100" s="509" t="s">
        <v>1316</v>
      </c>
    </row>
    <row r="101" spans="2:14" ht="47.5">
      <c r="B101" s="553" t="s">
        <v>1729</v>
      </c>
      <c r="C101" s="532" t="s">
        <v>200</v>
      </c>
      <c r="D101" s="532" t="s">
        <v>201</v>
      </c>
      <c r="E101" s="533" t="s">
        <v>202</v>
      </c>
      <c r="F101" s="534" t="s">
        <v>1767</v>
      </c>
      <c r="G101" s="535" t="s">
        <v>1763</v>
      </c>
      <c r="H101" s="536" t="s">
        <v>1737</v>
      </c>
      <c r="I101" s="537" t="s">
        <v>1736</v>
      </c>
      <c r="J101" s="535" t="s">
        <v>1764</v>
      </c>
      <c r="K101" s="536" t="s">
        <v>1765</v>
      </c>
      <c r="L101" s="536" t="s">
        <v>1747</v>
      </c>
      <c r="M101" s="538" t="s">
        <v>1748</v>
      </c>
      <c r="N101" s="554" t="s">
        <v>1766</v>
      </c>
    </row>
    <row r="102" spans="2:14" ht="15.5">
      <c r="B102" s="555"/>
      <c r="C102" s="539" t="s">
        <v>227</v>
      </c>
      <c r="D102" s="539" t="s">
        <v>1028</v>
      </c>
      <c r="E102" s="557">
        <v>0.45</v>
      </c>
      <c r="F102" s="558">
        <f>VLOOKUP(C102,'Singular Minerals'!C:X,$F$12, FALSE)</f>
        <v>7.7299999999999995E-5</v>
      </c>
      <c r="G102" s="559">
        <f>VLOOKUP(C102,'Singular Minerals'!C:X,$G$12, FALSE)</f>
        <v>389.34</v>
      </c>
      <c r="H102" s="558">
        <v>1.1996959999999999E-2</v>
      </c>
      <c r="I102" s="560">
        <f>VLOOKUP(C102,'Singular Minerals'!C:X,$I$12,FALSE)</f>
        <v>1674612675.1327064</v>
      </c>
      <c r="J102" s="561">
        <f t="shared" ref="J102:J110" si="20">E102/G102</f>
        <v>1.1558021266759133E-3</v>
      </c>
      <c r="K102" s="562">
        <f>J102/$J$111</f>
        <v>0.20165693324422404</v>
      </c>
      <c r="L102" s="560">
        <f t="shared" ref="L102:L110" si="21">standard_temperature*gas_constant*LN(K102/H102)/G102</f>
        <v>17.966342672163464</v>
      </c>
      <c r="M102" s="560">
        <f t="shared" ref="M102:M110" si="22">L102*$M$10</f>
        <v>992550000.35862124</v>
      </c>
      <c r="N102" s="563"/>
    </row>
    <row r="103" spans="2:14" ht="15.5">
      <c r="B103" s="555"/>
      <c r="C103" s="539" t="s">
        <v>203</v>
      </c>
      <c r="D103" s="539" t="s">
        <v>161</v>
      </c>
      <c r="E103" s="557">
        <v>0.2</v>
      </c>
      <c r="F103" s="558">
        <f>VLOOKUP(C103,'Singular Minerals'!C:X,$F$12, FALSE)</f>
        <v>3.81E-3</v>
      </c>
      <c r="G103" s="559">
        <f>VLOOKUP(C103,'Singular Minerals'!C:X,$G$12, FALSE)</f>
        <v>60.084400000000002</v>
      </c>
      <c r="H103" s="558">
        <v>0.59131199999999995</v>
      </c>
      <c r="I103" s="560">
        <f>VLOOKUP(C103,'Singular Minerals'!C:X,$I$12,FALSE)</f>
        <v>1691500829.0134084</v>
      </c>
      <c r="J103" s="561">
        <f t="shared" si="20"/>
        <v>3.3286510308832241E-3</v>
      </c>
      <c r="K103" s="562">
        <f t="shared" ref="K103:K110" si="23">J103/$J$111</f>
        <v>0.58076165741158303</v>
      </c>
      <c r="L103" s="560">
        <f t="shared" si="21"/>
        <v>-0.74273944346882159</v>
      </c>
      <c r="M103" s="560">
        <f t="shared" si="22"/>
        <v>-41032615.726713642</v>
      </c>
      <c r="N103" s="563"/>
    </row>
    <row r="104" spans="2:14" ht="15.5">
      <c r="B104" s="555"/>
      <c r="C104" s="539" t="s">
        <v>208</v>
      </c>
      <c r="D104" s="539" t="s">
        <v>209</v>
      </c>
      <c r="E104" s="557">
        <v>0.05</v>
      </c>
      <c r="F104" s="558">
        <f>VLOOKUP(C104,'Singular Minerals'!C:X,$F$12, FALSE)</f>
        <v>9.9000000000000005E-7</v>
      </c>
      <c r="G104" s="559">
        <f>VLOOKUP(C104,'Singular Minerals'!C:X,$G$12, FALSE)</f>
        <v>278.20999999999998</v>
      </c>
      <c r="H104" s="558">
        <v>1.5364799999999999E-4</v>
      </c>
      <c r="I104" s="560">
        <f>VLOOKUP(C104,'Singular Minerals'!C:X,$I$12,FALSE)</f>
        <v>1713614459.7333536</v>
      </c>
      <c r="J104" s="561">
        <f t="shared" si="20"/>
        <v>1.7972035512742177E-4</v>
      </c>
      <c r="K104" s="562">
        <f t="shared" si="23"/>
        <v>3.1356453514054604E-2</v>
      </c>
      <c r="L104" s="560">
        <f t="shared" si="21"/>
        <v>47.387322220071027</v>
      </c>
      <c r="M104" s="560">
        <f t="shared" si="22"/>
        <v>2617911032.020956</v>
      </c>
      <c r="N104" s="563"/>
    </row>
    <row r="105" spans="2:14" ht="15.5">
      <c r="B105" s="555"/>
      <c r="C105" s="539" t="s">
        <v>228</v>
      </c>
      <c r="D105" s="539" t="s">
        <v>1012</v>
      </c>
      <c r="E105" s="557">
        <v>7.0000000000000007E-2</v>
      </c>
      <c r="F105" s="558">
        <f>VLOOKUP(C105,'Singular Minerals'!C:X,$F$12, FALSE)</f>
        <v>7.3300000000000001E-6</v>
      </c>
      <c r="G105" s="559">
        <f>VLOOKUP(C105,'Singular Minerals'!C:X,$G$12, FALSE)</f>
        <v>595.22</v>
      </c>
      <c r="H105" s="558">
        <v>1.1376159999999999E-3</v>
      </c>
      <c r="I105" s="560">
        <f>VLOOKUP(C105,'Singular Minerals'!C:X,$I$12,FALSE)</f>
        <v>1553028835.0423834</v>
      </c>
      <c r="J105" s="561">
        <f t="shared" si="20"/>
        <v>1.1760357514868453E-4</v>
      </c>
      <c r="K105" s="562">
        <f t="shared" si="23"/>
        <v>2.0518716617390517E-2</v>
      </c>
      <c r="L105" s="560">
        <f t="shared" si="21"/>
        <v>12.045534232372059</v>
      </c>
      <c r="M105" s="560">
        <f t="shared" si="22"/>
        <v>665455136.01856422</v>
      </c>
      <c r="N105" s="563"/>
    </row>
    <row r="106" spans="2:14" ht="15.5">
      <c r="B106" s="555"/>
      <c r="C106" s="539" t="s">
        <v>108</v>
      </c>
      <c r="D106" s="539" t="s">
        <v>701</v>
      </c>
      <c r="E106" s="557">
        <v>7.0000000000000007E-2</v>
      </c>
      <c r="F106" s="558">
        <f>VLOOKUP(C106,'Singular Minerals'!C:X,$F$12, FALSE)</f>
        <v>3.2400000000000001E-5</v>
      </c>
      <c r="G106" s="559">
        <f>VLOOKUP(C106,'Singular Minerals'!C:X,$G$12, FALSE)</f>
        <v>258.16000000000003</v>
      </c>
      <c r="H106" s="558">
        <v>5.0284800000000001E-3</v>
      </c>
      <c r="I106" s="560">
        <f>VLOOKUP(C106,'Singular Minerals'!C:X,$I$12,FALSE)</f>
        <v>1743367849.5516024</v>
      </c>
      <c r="J106" s="561">
        <f t="shared" si="20"/>
        <v>2.7114967462039046E-4</v>
      </c>
      <c r="K106" s="562">
        <f t="shared" si="23"/>
        <v>4.7308454078878147E-2</v>
      </c>
      <c r="L106" s="560">
        <f t="shared" si="21"/>
        <v>21.523278804234508</v>
      </c>
      <c r="M106" s="560">
        <f t="shared" si="22"/>
        <v>1189052818.0763676</v>
      </c>
      <c r="N106" s="563"/>
    </row>
    <row r="107" spans="2:14" ht="15.5">
      <c r="B107" s="555"/>
      <c r="C107" s="539" t="s">
        <v>220</v>
      </c>
      <c r="D107" s="539" t="s">
        <v>646</v>
      </c>
      <c r="E107" s="557">
        <v>0.05</v>
      </c>
      <c r="F107" s="558">
        <f>VLOOKUP(C107,'Singular Minerals'!C:X,$F$12, FALSE)</f>
        <v>4.2200000000000001E-4</v>
      </c>
      <c r="G107" s="559">
        <f>VLOOKUP(C107,'Singular Minerals'!C:X,$G$12, FALSE)</f>
        <v>278.33</v>
      </c>
      <c r="H107" s="558">
        <v>6.5494399999999994E-2</v>
      </c>
      <c r="I107" s="560">
        <f>VLOOKUP(C107,'Singular Minerals'!C:X,$I$12,FALSE)</f>
        <v>1598328951.8235977</v>
      </c>
      <c r="J107" s="561">
        <f t="shared" si="20"/>
        <v>1.7964286997449073E-4</v>
      </c>
      <c r="K107" s="562">
        <f t="shared" si="23"/>
        <v>3.1342934402131033E-2</v>
      </c>
      <c r="L107" s="560">
        <f t="shared" si="21"/>
        <v>-6.5635383801293825</v>
      </c>
      <c r="M107" s="560">
        <f t="shared" si="22"/>
        <v>-362602458.40934777</v>
      </c>
      <c r="N107" s="563"/>
    </row>
    <row r="108" spans="2:14" ht="15.5">
      <c r="B108" s="555"/>
      <c r="C108" s="539" t="s">
        <v>213</v>
      </c>
      <c r="D108" s="539" t="s">
        <v>214</v>
      </c>
      <c r="E108" s="557">
        <v>0.05</v>
      </c>
      <c r="F108" s="558">
        <f>VLOOKUP(C108,'Singular Minerals'!C:X,$F$12, FALSE)</f>
        <v>5.1400000000000003E-4</v>
      </c>
      <c r="G108" s="559">
        <f>VLOOKUP(C108,'Singular Minerals'!C:X,$G$12, FALSE)</f>
        <v>262.22329999999999</v>
      </c>
      <c r="H108" s="558">
        <v>7.9772800000000005E-2</v>
      </c>
      <c r="I108" s="560">
        <f>VLOOKUP(C108,'Singular Minerals'!C:X,$I$12,FALSE)</f>
        <v>1674981836.2976291</v>
      </c>
      <c r="J108" s="561">
        <f t="shared" si="20"/>
        <v>1.9067718238615717E-4</v>
      </c>
      <c r="K108" s="562">
        <f t="shared" si="23"/>
        <v>3.3268130376458274E-2</v>
      </c>
      <c r="L108" s="560">
        <f t="shared" si="21"/>
        <v>-8.2675044680783163</v>
      </c>
      <c r="M108" s="560">
        <f t="shared" si="22"/>
        <v>-456738007.97922212</v>
      </c>
      <c r="N108" s="563"/>
    </row>
    <row r="109" spans="2:14" ht="15.5">
      <c r="B109" s="555"/>
      <c r="C109" s="539" t="s">
        <v>154</v>
      </c>
      <c r="D109" s="539" t="s">
        <v>155</v>
      </c>
      <c r="E109" s="557">
        <v>0.02</v>
      </c>
      <c r="F109" s="558">
        <f>VLOOKUP(C109,'Singular Minerals'!C:X,$F$12, FALSE)</f>
        <v>7.6299999999999998E-6</v>
      </c>
      <c r="G109" s="559">
        <f>VLOOKUP(C109,'Singular Minerals'!C:X,$G$12, FALSE)</f>
        <v>184.4</v>
      </c>
      <c r="H109" s="558">
        <v>1.1841759999999999E-3</v>
      </c>
      <c r="I109" s="560">
        <f>VLOOKUP(C109,'Singular Minerals'!C:X,$I$12,FALSE)</f>
        <v>1393895159.499496</v>
      </c>
      <c r="J109" s="561">
        <f t="shared" si="20"/>
        <v>1.0845986984815618E-4</v>
      </c>
      <c r="K109" s="562">
        <f t="shared" si="23"/>
        <v>1.8923381631551259E-2</v>
      </c>
      <c r="L109" s="560">
        <f t="shared" si="21"/>
        <v>37.254219393917197</v>
      </c>
      <c r="M109" s="560">
        <f t="shared" si="22"/>
        <v>2058108105.1116357</v>
      </c>
      <c r="N109" s="563"/>
    </row>
    <row r="110" spans="2:14" ht="15.5">
      <c r="B110" s="555"/>
      <c r="C110" s="539" t="s">
        <v>91</v>
      </c>
      <c r="D110" s="539" t="s">
        <v>90</v>
      </c>
      <c r="E110" s="557">
        <v>0.02</v>
      </c>
      <c r="F110" s="558">
        <f>VLOOKUP(C110,'Singular Minerals'!C:X,$F$12, FALSE)</f>
        <v>8.0000000000000007E-5</v>
      </c>
      <c r="G110" s="559">
        <f>VLOOKUP(C110,'Singular Minerals'!C:X,$G$12, FALSE)</f>
        <v>100.09</v>
      </c>
      <c r="H110" s="558">
        <v>1.2416E-2</v>
      </c>
      <c r="I110" s="560">
        <f>VLOOKUP(C110,'Singular Minerals'!C:X,$I$12,FALSE)</f>
        <v>1337380645.9366572</v>
      </c>
      <c r="J110" s="561">
        <f t="shared" si="20"/>
        <v>1.9982016185433109E-4</v>
      </c>
      <c r="K110" s="562">
        <f t="shared" si="23"/>
        <v>3.4863338723729161E-2</v>
      </c>
      <c r="L110" s="560">
        <f t="shared" si="21"/>
        <v>25.569551415830777</v>
      </c>
      <c r="M110" s="560">
        <f t="shared" si="22"/>
        <v>1412589013.2483227</v>
      </c>
      <c r="N110" s="563"/>
    </row>
    <row r="111" spans="2:14" ht="15.5">
      <c r="B111" s="567">
        <v>3007</v>
      </c>
      <c r="C111" s="512" t="s">
        <v>217</v>
      </c>
      <c r="D111" s="528"/>
      <c r="E111" s="514">
        <f>SUM(E102:E110)</f>
        <v>0.9800000000000002</v>
      </c>
      <c r="F111" s="515">
        <f>SUMPRODUCT(F102:F110,E102:E110)/E111</f>
        <v>8.6547775510204081E-4</v>
      </c>
      <c r="G111" s="516"/>
      <c r="H111" s="513"/>
      <c r="I111" s="515">
        <f>SUMPRODUCT(I102:I110,E102:E110)</f>
        <v>1626595416.0354307</v>
      </c>
      <c r="J111" s="517">
        <f>SUM(J102:J110)</f>
        <v>5.731526846518769E-3</v>
      </c>
      <c r="K111" s="518"/>
      <c r="L111" s="518"/>
      <c r="M111" s="515">
        <f>SUMPRODUCT(M102:M110,E102:E110)/E111</f>
        <v>742447963.72602093</v>
      </c>
      <c r="N111" s="565">
        <f>MAX(I111,M111)</f>
        <v>1626595416.0354307</v>
      </c>
    </row>
    <row r="113" spans="2:14" ht="23.25" customHeight="1">
      <c r="C113" s="509" t="s">
        <v>1317</v>
      </c>
    </row>
    <row r="114" spans="2:14" ht="47.5">
      <c r="B114" s="553" t="s">
        <v>1729</v>
      </c>
      <c r="C114" s="532" t="s">
        <v>200</v>
      </c>
      <c r="D114" s="532" t="s">
        <v>201</v>
      </c>
      <c r="E114" s="533" t="s">
        <v>202</v>
      </c>
      <c r="F114" s="534" t="s">
        <v>1767</v>
      </c>
      <c r="G114" s="535" t="s">
        <v>1763</v>
      </c>
      <c r="H114" s="536" t="s">
        <v>1737</v>
      </c>
      <c r="I114" s="537" t="s">
        <v>1736</v>
      </c>
      <c r="J114" s="535" t="s">
        <v>1764</v>
      </c>
      <c r="K114" s="536" t="s">
        <v>1765</v>
      </c>
      <c r="L114" s="536" t="s">
        <v>1747</v>
      </c>
      <c r="M114" s="538" t="s">
        <v>1748</v>
      </c>
      <c r="N114" s="554" t="s">
        <v>1766</v>
      </c>
    </row>
    <row r="115" spans="2:14" ht="15.5">
      <c r="B115" s="555"/>
      <c r="C115" s="539" t="s">
        <v>884</v>
      </c>
      <c r="D115" s="539" t="s">
        <v>1167</v>
      </c>
      <c r="E115" s="557">
        <v>0.69</v>
      </c>
      <c r="F115" s="570">
        <f>'Multiple Minerals'!E162</f>
        <v>5.9219999999999999E-5</v>
      </c>
      <c r="G115" s="559">
        <f>SUMPRODUCT('Multiple Minerals'!F159:F161,'Multiple Minerals'!I159:I161)</f>
        <v>451.59259271192167</v>
      </c>
      <c r="H115" s="558">
        <v>9.1909439999999995E-3</v>
      </c>
      <c r="I115" s="560">
        <v>1446358108.8324742</v>
      </c>
      <c r="J115" s="561">
        <f>E115/G115</f>
        <v>1.5279258586957433E-3</v>
      </c>
      <c r="K115" s="562">
        <f>J115/$J$119</f>
        <v>0.27897355480892777</v>
      </c>
      <c r="L115" s="560">
        <f>standard_temperature*gas_constant*LN(K115/H115)/G115</f>
        <v>18.733605751556517</v>
      </c>
      <c r="M115" s="560">
        <f>L115*$M$10</f>
        <v>1034937423.5322119</v>
      </c>
      <c r="N115" s="563"/>
    </row>
    <row r="116" spans="2:14" ht="15.5">
      <c r="B116" s="555"/>
      <c r="C116" s="539" t="s">
        <v>203</v>
      </c>
      <c r="D116" s="539" t="s">
        <v>161</v>
      </c>
      <c r="E116" s="557">
        <v>0.15</v>
      </c>
      <c r="F116" s="558">
        <f>VLOOKUP(C116,'Singular Minerals'!C:X,$F$12, FALSE)</f>
        <v>3.81E-3</v>
      </c>
      <c r="G116" s="559">
        <f>VLOOKUP(C116,'Singular Minerals'!C:X,$G$12, FALSE)</f>
        <v>60.084400000000002</v>
      </c>
      <c r="H116" s="558">
        <v>0.59131199999999995</v>
      </c>
      <c r="I116" s="560">
        <f>VLOOKUP(C116,'Singular Minerals'!C:X,$I$12,FALSE)</f>
        <v>1691500829.0134084</v>
      </c>
      <c r="J116" s="561">
        <f>E116/G116</f>
        <v>2.4964882731624179E-3</v>
      </c>
      <c r="K116" s="562">
        <f>J116/$J$119</f>
        <v>0.45581675585844411</v>
      </c>
      <c r="L116" s="560">
        <f>standard_temperature*gas_constant*LN(K116/H116)/G116</f>
        <v>-10.73689522160576</v>
      </c>
      <c r="M116" s="560">
        <f>L116*$M$10</f>
        <v>-593159417.61295581</v>
      </c>
      <c r="N116" s="563"/>
    </row>
    <row r="117" spans="2:14" ht="15.5">
      <c r="B117" s="555"/>
      <c r="C117" s="539" t="s">
        <v>778</v>
      </c>
      <c r="D117" s="539" t="s">
        <v>161</v>
      </c>
      <c r="E117" s="557">
        <v>7.0000000000000007E-2</v>
      </c>
      <c r="F117" s="558">
        <f>VLOOKUP(C117,'Singular Minerals'!C:X,$F$12, FALSE)</f>
        <v>2.0599999999999999E-7</v>
      </c>
      <c r="G117" s="559">
        <f>VLOOKUP(C117,'Singular Minerals'!C:X,$G$12, FALSE)</f>
        <v>60.08</v>
      </c>
      <c r="H117" s="558">
        <v>3.1971199999999996E-5</v>
      </c>
      <c r="I117" s="560">
        <f>VLOOKUP(C117,'Singular Minerals'!C:X,$I$12,FALSE)</f>
        <v>1688269875.222687</v>
      </c>
      <c r="J117" s="561">
        <f>E117/G117</f>
        <v>1.1651131824234355E-3</v>
      </c>
      <c r="K117" s="562">
        <f>J117/$J$119</f>
        <v>0.21273006435853056</v>
      </c>
      <c r="L117" s="560">
        <f>standard_temperature*gas_constant*LN(K117/H117)/G117</f>
        <v>363.19749212191925</v>
      </c>
      <c r="M117" s="560">
        <f>L117*$M$10</f>
        <v>20064833311.589718</v>
      </c>
      <c r="N117" s="563"/>
    </row>
    <row r="118" spans="2:14" ht="15.5">
      <c r="B118" s="555"/>
      <c r="C118" s="539" t="s">
        <v>220</v>
      </c>
      <c r="D118" s="539" t="s">
        <v>646</v>
      </c>
      <c r="E118" s="557">
        <v>0.08</v>
      </c>
      <c r="F118" s="558">
        <f>VLOOKUP(C118,'Singular Minerals'!C:X,$F$12, FALSE)</f>
        <v>4.2200000000000001E-4</v>
      </c>
      <c r="G118" s="559">
        <f>VLOOKUP(C118,'Singular Minerals'!C:X,$G$12, FALSE)</f>
        <v>278.33</v>
      </c>
      <c r="H118" s="558">
        <v>6.5494399999999994E-2</v>
      </c>
      <c r="I118" s="560">
        <f>VLOOKUP(C118,'Singular Minerals'!C:X,$I$12,FALSE)</f>
        <v>1598328951.8235977</v>
      </c>
      <c r="J118" s="561">
        <f>E118/G118</f>
        <v>2.8742859195918517E-4</v>
      </c>
      <c r="K118" s="562">
        <f>J118/$J$119</f>
        <v>5.2479624974097618E-2</v>
      </c>
      <c r="L118" s="560">
        <f>standard_temperature*gas_constant*LN(K118/H118)/G118</f>
        <v>-1.9730417188682348</v>
      </c>
      <c r="M118" s="560">
        <f>L118*$M$10</f>
        <v>-109000623.80555843</v>
      </c>
      <c r="N118" s="563"/>
    </row>
    <row r="119" spans="2:14" ht="15.5">
      <c r="B119" s="567">
        <v>3008</v>
      </c>
      <c r="C119" s="512" t="s">
        <v>217</v>
      </c>
      <c r="D119" s="528"/>
      <c r="E119" s="514">
        <f>SUM(E115:E118)</f>
        <v>0.98999999999999988</v>
      </c>
      <c r="F119" s="515">
        <f>SUMPRODUCT(F110:F118,E110:E118)/E119</f>
        <v>1.5110145656565661E-3</v>
      </c>
      <c r="G119" s="529"/>
      <c r="H119" s="528"/>
      <c r="I119" s="515">
        <f>SUMPRODUCT(I115:I118,E115:E118)</f>
        <v>1497757426.8578944</v>
      </c>
      <c r="J119" s="517">
        <f>SUM(J115:J118)</f>
        <v>5.4769559062407816E-3</v>
      </c>
      <c r="K119" s="518"/>
      <c r="L119" s="518"/>
      <c r="M119" s="515">
        <f>SUMPRODUCT(M115:M118,E115:E118)/E119</f>
        <v>2041364839.9011302</v>
      </c>
      <c r="N119" s="565">
        <f>MAX(I119,M119)</f>
        <v>2041364839.9011302</v>
      </c>
    </row>
    <row r="122" spans="2:14">
      <c r="C122" s="65"/>
    </row>
  </sheetData>
  <mergeCells count="3">
    <mergeCell ref="K2:N7"/>
    <mergeCell ref="C40:D40"/>
    <mergeCell ref="F3:I3"/>
  </mergeCells>
  <phoneticPr fontId="45" type="noConversion"/>
  <pageMargins left="0.7" right="0.7" top="0.75" bottom="0.75" header="0.3" footer="0.3"/>
  <pageSetup orientation="portrait" horizontalDpi="4294967292" verticalDpi="4294967292"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6">
    <tabColor theme="4" tint="0.59999389629810485"/>
  </sheetPr>
  <dimension ref="B2:Q53"/>
  <sheetViews>
    <sheetView topLeftCell="F1" zoomScale="80" zoomScaleNormal="80" zoomScalePageLayoutView="80" workbookViewId="0">
      <selection activeCell="M1" sqref="M1"/>
    </sheetView>
  </sheetViews>
  <sheetFormatPr defaultColWidth="8.81640625" defaultRowHeight="14.5"/>
  <cols>
    <col min="1" max="1" width="5" customWidth="1"/>
    <col min="2" max="2" width="13.36328125" bestFit="1" customWidth="1"/>
    <col min="3" max="3" width="7.453125" bestFit="1" customWidth="1"/>
    <col min="4" max="4" width="14.36328125" customWidth="1"/>
    <col min="5" max="5" width="20.36328125" bestFit="1" customWidth="1"/>
    <col min="6" max="6" width="27.81640625" bestFit="1" customWidth="1"/>
    <col min="7" max="7" width="27" bestFit="1" customWidth="1"/>
    <col min="8" max="8" width="10" bestFit="1" customWidth="1"/>
    <col min="9" max="10" width="12" customWidth="1"/>
    <col min="11" max="11" width="12" style="275" customWidth="1"/>
    <col min="12" max="12" width="12" customWidth="1"/>
    <col min="14" max="14" width="16" bestFit="1" customWidth="1"/>
    <col min="15" max="15" width="13.36328125" customWidth="1"/>
    <col min="16" max="16" width="15.36328125" customWidth="1"/>
    <col min="17" max="17" width="12" bestFit="1" customWidth="1"/>
  </cols>
  <sheetData>
    <row r="2" spans="2:17" ht="18.5">
      <c r="B2" s="842" t="s">
        <v>1410</v>
      </c>
      <c r="C2" s="843"/>
      <c r="D2" s="843"/>
      <c r="E2" s="843"/>
      <c r="F2" s="843"/>
      <c r="G2" s="843"/>
      <c r="H2" s="843"/>
      <c r="I2" s="843"/>
      <c r="J2" s="843"/>
      <c r="K2" s="843"/>
      <c r="L2" s="843"/>
      <c r="N2" s="843" t="s">
        <v>1443</v>
      </c>
      <c r="O2" s="843"/>
      <c r="P2" s="843"/>
      <c r="Q2" s="843"/>
    </row>
    <row r="3" spans="2:17">
      <c r="B3" s="272" t="s">
        <v>233</v>
      </c>
      <c r="C3" s="272" t="s">
        <v>1411</v>
      </c>
      <c r="D3" s="272" t="s">
        <v>1412</v>
      </c>
      <c r="E3" s="272" t="s">
        <v>1413</v>
      </c>
      <c r="F3" s="272" t="s">
        <v>1414</v>
      </c>
      <c r="G3" s="272" t="s">
        <v>1415</v>
      </c>
      <c r="H3" s="272" t="s">
        <v>1416</v>
      </c>
      <c r="I3" s="272" t="s">
        <v>1417</v>
      </c>
      <c r="J3" s="272" t="s">
        <v>0</v>
      </c>
      <c r="K3" s="273" t="s">
        <v>905</v>
      </c>
      <c r="L3" s="272" t="s">
        <v>1</v>
      </c>
      <c r="N3" s="257"/>
      <c r="O3" s="257" t="s">
        <v>993</v>
      </c>
      <c r="P3" s="277" t="s">
        <v>1433</v>
      </c>
      <c r="Q3" s="277" t="s">
        <v>0</v>
      </c>
    </row>
    <row r="4" spans="2:17">
      <c r="B4" t="s">
        <v>386</v>
      </c>
      <c r="C4" t="s">
        <v>111</v>
      </c>
      <c r="D4">
        <v>6.9409999999999998</v>
      </c>
      <c r="E4" s="274">
        <v>26300</v>
      </c>
      <c r="F4" s="274">
        <v>1700</v>
      </c>
      <c r="G4" s="274">
        <v>530000</v>
      </c>
      <c r="H4" s="3">
        <f t="shared" ref="H4:H31" si="0">E4*0.000001*D4*$O$20</f>
        <v>2.35487307E+17</v>
      </c>
      <c r="I4" s="3">
        <f t="shared" ref="I4:I51" si="1">H4/G4</f>
        <v>444315673584.90564</v>
      </c>
      <c r="J4" s="3">
        <f t="shared" ref="J4:J51" si="2">$O$23/I4</f>
        <v>562663022852.43762</v>
      </c>
      <c r="K4" s="275">
        <v>56624.405705229794</v>
      </c>
      <c r="L4" s="3">
        <f>IF(ISNUMBER(K4),J4/K4,"")</f>
        <v>9936758.1141866259</v>
      </c>
      <c r="N4" s="745" t="s">
        <v>1431</v>
      </c>
      <c r="O4" s="743">
        <f>D6+D11</f>
        <v>58.442800000000005</v>
      </c>
      <c r="P4" s="746">
        <f>D6*E6/1000000/1025000*(D6/O4)+(D11/O4)*D11*E11/1000000/1025000</f>
        <v>1.5980906532158723E-2</v>
      </c>
      <c r="Q4" s="746">
        <f>D6/O4*J6+D11/O4*J11</f>
        <v>860115312.84023845</v>
      </c>
    </row>
    <row r="5" spans="2:17">
      <c r="B5" t="s">
        <v>361</v>
      </c>
      <c r="C5" t="s">
        <v>311</v>
      </c>
      <c r="D5">
        <v>10.81</v>
      </c>
      <c r="E5" s="274">
        <v>420000</v>
      </c>
      <c r="F5" s="274">
        <v>1700</v>
      </c>
      <c r="G5" s="274">
        <v>8500000</v>
      </c>
      <c r="H5" s="3">
        <f t="shared" si="0"/>
        <v>5.856858000000001E+18</v>
      </c>
      <c r="I5" s="3">
        <f t="shared" si="1"/>
        <v>689042117647.05896</v>
      </c>
      <c r="J5" s="3">
        <f t="shared" si="2"/>
        <v>362822523612.48975</v>
      </c>
      <c r="K5" s="275">
        <v>58149.861239592967</v>
      </c>
      <c r="L5" s="3">
        <f>IF(ISNUMBER(K5),J5/K5,"")</f>
        <v>6239439.1986175859</v>
      </c>
      <c r="N5" s="745" t="s">
        <v>364</v>
      </c>
      <c r="O5" s="743">
        <f>D26</f>
        <v>79.903999999999996</v>
      </c>
      <c r="P5" s="746">
        <f>D26*E26/1000000/1025000</f>
        <v>6.7041404878048782E-5</v>
      </c>
      <c r="Q5" s="746">
        <f>J26</f>
        <v>335606441448.86609</v>
      </c>
    </row>
    <row r="6" spans="2:17">
      <c r="B6" s="278" t="s">
        <v>389</v>
      </c>
      <c r="C6" s="278" t="s">
        <v>297</v>
      </c>
      <c r="D6" s="278">
        <v>22.989799999999999</v>
      </c>
      <c r="E6" s="279">
        <v>480670000</v>
      </c>
      <c r="F6" s="279">
        <v>315000</v>
      </c>
      <c r="G6" s="279">
        <v>52600000</v>
      </c>
      <c r="H6" s="280">
        <f t="shared" si="0"/>
        <v>1.425515424414E+22</v>
      </c>
      <c r="I6" s="280">
        <f t="shared" si="1"/>
        <v>271010536960836.5</v>
      </c>
      <c r="J6" s="280">
        <f t="shared" si="2"/>
        <v>922473357.69135535</v>
      </c>
      <c r="K6" s="281">
        <v>14646.060426797972</v>
      </c>
      <c r="L6" s="280">
        <f t="shared" ref="L6:L51" si="3">IF(ISNUMBER(K6),J6/K6,"")</f>
        <v>62984.402003661075</v>
      </c>
      <c r="N6" s="745" t="s">
        <v>1432</v>
      </c>
      <c r="O6" s="743">
        <f>D13+2*D11</f>
        <v>110.986</v>
      </c>
      <c r="P6" s="746">
        <f>(D13/O6)*D13*E13/1000000/1025000+(D11*2/O6)*D11*E11/1000000/1025000</f>
        <v>1.2513696988540065E-2</v>
      </c>
      <c r="Q6" s="746">
        <f>J13*D13/O6+D11*2/O6*J11</f>
        <v>688402240.08575165</v>
      </c>
    </row>
    <row r="7" spans="2:17">
      <c r="B7" s="278" t="s">
        <v>232</v>
      </c>
      <c r="C7" s="278" t="s">
        <v>114</v>
      </c>
      <c r="D7" s="278">
        <v>22.305</v>
      </c>
      <c r="E7" s="279">
        <v>54000000</v>
      </c>
      <c r="F7" s="279">
        <v>160000</v>
      </c>
      <c r="G7" s="279">
        <v>11600000</v>
      </c>
      <c r="H7" s="280">
        <f t="shared" si="0"/>
        <v>1.5537663000000001E+21</v>
      </c>
      <c r="I7" s="280">
        <f t="shared" si="1"/>
        <v>133945370689655.19</v>
      </c>
      <c r="J7" s="280">
        <f t="shared" si="2"/>
        <v>1866432551.6649444</v>
      </c>
      <c r="K7" s="281" t="s">
        <v>1420</v>
      </c>
      <c r="L7" s="280" t="str">
        <f t="shared" si="3"/>
        <v/>
      </c>
      <c r="N7" s="745" t="s">
        <v>245</v>
      </c>
      <c r="O7" s="743">
        <f>D32</f>
        <v>126.9</v>
      </c>
      <c r="P7" s="746">
        <f>D32*E32/1000000/1025000</f>
        <v>5.9426341463414636E-8</v>
      </c>
      <c r="Q7" s="746">
        <f>J32</f>
        <v>3352284917399.6997</v>
      </c>
    </row>
    <row r="8" spans="2:17">
      <c r="B8" t="s">
        <v>288</v>
      </c>
      <c r="C8" t="s">
        <v>86</v>
      </c>
      <c r="D8">
        <v>26.9815</v>
      </c>
      <c r="E8" s="274">
        <v>1000</v>
      </c>
      <c r="F8" s="274">
        <v>1900</v>
      </c>
      <c r="G8" s="274">
        <v>20000</v>
      </c>
      <c r="H8" s="3">
        <f t="shared" si="0"/>
        <v>3.4806135000000004E+16</v>
      </c>
      <c r="I8" s="3">
        <f t="shared" si="1"/>
        <v>1740306750000.0002</v>
      </c>
      <c r="J8" s="3">
        <f t="shared" si="2"/>
        <v>143652835915.27756</v>
      </c>
      <c r="K8" s="275" t="s">
        <v>1420</v>
      </c>
      <c r="L8" s="3" t="str">
        <f t="shared" si="3"/>
        <v/>
      </c>
      <c r="N8" s="747" t="s">
        <v>232</v>
      </c>
      <c r="O8" s="744">
        <f>D7</f>
        <v>22.305</v>
      </c>
      <c r="P8" s="748">
        <f>D7*E7/1000000/1025000</f>
        <v>1.1750926829268292E-3</v>
      </c>
      <c r="Q8" s="748">
        <f>J7</f>
        <v>1866432551.6649444</v>
      </c>
    </row>
    <row r="9" spans="2:17">
      <c r="B9" t="s">
        <v>404</v>
      </c>
      <c r="C9" t="s">
        <v>133</v>
      </c>
      <c r="D9">
        <v>28.0855</v>
      </c>
      <c r="E9" s="274">
        <v>84000</v>
      </c>
      <c r="F9" s="274">
        <v>193000</v>
      </c>
      <c r="G9" s="274">
        <v>15000</v>
      </c>
      <c r="H9" s="3">
        <f t="shared" si="0"/>
        <v>3.0433447799999995E+18</v>
      </c>
      <c r="I9" s="3">
        <f t="shared" si="1"/>
        <v>202889651999999.97</v>
      </c>
      <c r="J9" s="3">
        <f t="shared" si="2"/>
        <v>1232196898.8344464</v>
      </c>
      <c r="K9" s="275" t="s">
        <v>1420</v>
      </c>
      <c r="L9" s="3" t="str">
        <f t="shared" si="3"/>
        <v/>
      </c>
    </row>
    <row r="10" spans="2:17" ht="18.5">
      <c r="B10" t="s">
        <v>392</v>
      </c>
      <c r="C10" t="s">
        <v>124</v>
      </c>
      <c r="D10">
        <v>30.973800000000001</v>
      </c>
      <c r="E10" s="274">
        <v>2000</v>
      </c>
      <c r="F10" s="274">
        <v>1300</v>
      </c>
      <c r="G10" s="274">
        <v>53000</v>
      </c>
      <c r="H10" s="3">
        <f t="shared" si="0"/>
        <v>7.9912404E+16</v>
      </c>
      <c r="I10" s="3">
        <f t="shared" si="1"/>
        <v>1507781207547.1699</v>
      </c>
      <c r="J10" s="3">
        <f t="shared" si="2"/>
        <v>165806549881.79306</v>
      </c>
      <c r="K10" s="275">
        <v>27811.246924820331</v>
      </c>
      <c r="L10" s="3">
        <f t="shared" si="3"/>
        <v>5961852.4235897493</v>
      </c>
      <c r="N10" s="843" t="s">
        <v>1422</v>
      </c>
      <c r="O10" s="843"/>
      <c r="P10" s="843"/>
    </row>
    <row r="11" spans="2:17">
      <c r="B11" s="278" t="s">
        <v>369</v>
      </c>
      <c r="C11" s="278" t="s">
        <v>301</v>
      </c>
      <c r="D11" s="278">
        <v>35.453000000000003</v>
      </c>
      <c r="E11" s="279">
        <v>559520000</v>
      </c>
      <c r="F11" s="279">
        <v>230000</v>
      </c>
      <c r="G11" s="279">
        <v>83900000</v>
      </c>
      <c r="H11" s="280">
        <f t="shared" si="0"/>
        <v>2.5589294702400002E+22</v>
      </c>
      <c r="I11" s="280">
        <f t="shared" si="1"/>
        <v>304997553067938.06</v>
      </c>
      <c r="J11" s="280">
        <f t="shared" si="2"/>
        <v>819678707.20691526</v>
      </c>
      <c r="K11" s="281">
        <v>3498.4345471469264</v>
      </c>
      <c r="L11" s="280">
        <f t="shared" si="3"/>
        <v>234298.7116552993</v>
      </c>
      <c r="N11" t="s">
        <v>1423</v>
      </c>
      <c r="O11" s="275">
        <f>'Renewable Earth Flows'!B65</f>
        <v>37288</v>
      </c>
      <c r="P11" t="s">
        <v>15</v>
      </c>
    </row>
    <row r="12" spans="2:17">
      <c r="B12" t="s">
        <v>1421</v>
      </c>
      <c r="C12" t="s">
        <v>299</v>
      </c>
      <c r="D12">
        <v>39.098300000000002</v>
      </c>
      <c r="E12" s="274">
        <v>10500000</v>
      </c>
      <c r="F12" s="274">
        <v>34500</v>
      </c>
      <c r="G12" s="274">
        <v>10500000</v>
      </c>
      <c r="H12" s="3">
        <f t="shared" si="0"/>
        <v>5.2958647349999999E+20</v>
      </c>
      <c r="I12" s="3">
        <f t="shared" si="1"/>
        <v>50436807000000</v>
      </c>
      <c r="J12" s="3">
        <f t="shared" si="2"/>
        <v>4956697595.8648615</v>
      </c>
      <c r="K12" s="275">
        <v>9377.9013409790186</v>
      </c>
      <c r="L12" s="3">
        <f t="shared" si="3"/>
        <v>528550.83623084915</v>
      </c>
      <c r="O12" s="3">
        <f>O11*1000^3</f>
        <v>37288000000000</v>
      </c>
      <c r="P12" t="s">
        <v>1424</v>
      </c>
    </row>
    <row r="13" spans="2:17">
      <c r="B13" t="s">
        <v>366</v>
      </c>
      <c r="C13" t="s">
        <v>298</v>
      </c>
      <c r="D13">
        <v>40.08</v>
      </c>
      <c r="E13" s="274">
        <v>10600000</v>
      </c>
      <c r="F13" s="274">
        <v>364000</v>
      </c>
      <c r="G13" s="274">
        <v>1000000</v>
      </c>
      <c r="H13" s="3">
        <f t="shared" si="0"/>
        <v>5.4805391999999993E+20</v>
      </c>
      <c r="I13" s="3">
        <f t="shared" si="1"/>
        <v>548053919999999.94</v>
      </c>
      <c r="J13" s="3">
        <f t="shared" si="2"/>
        <v>456159496.1313296</v>
      </c>
      <c r="K13" s="275" t="s">
        <v>1420</v>
      </c>
      <c r="L13" s="3" t="str">
        <f t="shared" si="3"/>
        <v/>
      </c>
      <c r="O13" s="3">
        <f>O12*1000</f>
        <v>3.7288E+16</v>
      </c>
      <c r="P13" t="s">
        <v>1425</v>
      </c>
    </row>
    <row r="14" spans="2:17">
      <c r="B14" t="s">
        <v>402</v>
      </c>
      <c r="C14" t="s">
        <v>312</v>
      </c>
      <c r="D14">
        <v>44.9559</v>
      </c>
      <c r="E14">
        <v>0.02</v>
      </c>
      <c r="F14">
        <v>0.09</v>
      </c>
      <c r="G14" s="274">
        <v>8000</v>
      </c>
      <c r="H14" s="3">
        <f t="shared" si="0"/>
        <v>1159862220000</v>
      </c>
      <c r="I14" s="3">
        <f t="shared" si="1"/>
        <v>144982777.5</v>
      </c>
      <c r="J14" s="3">
        <f t="shared" si="2"/>
        <v>1724342741330086.5</v>
      </c>
      <c r="K14" s="275" t="s">
        <v>1420</v>
      </c>
      <c r="L14" s="3" t="str">
        <f t="shared" si="3"/>
        <v/>
      </c>
      <c r="N14" t="s">
        <v>1426</v>
      </c>
      <c r="O14" s="324">
        <v>2</v>
      </c>
      <c r="P14" t="s">
        <v>1427</v>
      </c>
    </row>
    <row r="15" spans="2:17">
      <c r="B15" t="s">
        <v>357</v>
      </c>
      <c r="C15" t="s">
        <v>144</v>
      </c>
      <c r="D15">
        <v>47.88</v>
      </c>
      <c r="E15">
        <v>0.02</v>
      </c>
      <c r="F15">
        <v>200</v>
      </c>
      <c r="G15" s="274">
        <v>4</v>
      </c>
      <c r="H15" s="3">
        <f t="shared" si="0"/>
        <v>1235304000000.0002</v>
      </c>
      <c r="I15" s="3">
        <f t="shared" si="1"/>
        <v>308826000000.00006</v>
      </c>
      <c r="J15" s="3">
        <f t="shared" si="2"/>
        <v>809517333385.14221</v>
      </c>
      <c r="K15" s="275" t="s">
        <v>1420</v>
      </c>
      <c r="L15" s="3" t="str">
        <f t="shared" si="3"/>
        <v/>
      </c>
      <c r="N15" t="s">
        <v>1428</v>
      </c>
      <c r="O15" s="3">
        <f>O13*O14/1000000</f>
        <v>74576000000</v>
      </c>
      <c r="P15" t="s">
        <v>12</v>
      </c>
    </row>
    <row r="16" spans="2:17" ht="18.75" customHeight="1">
      <c r="B16" t="s">
        <v>413</v>
      </c>
      <c r="C16" t="s">
        <v>304</v>
      </c>
      <c r="D16">
        <v>50.941499999999998</v>
      </c>
      <c r="E16">
        <v>20</v>
      </c>
      <c r="F16">
        <v>20</v>
      </c>
      <c r="G16" s="274">
        <v>40000</v>
      </c>
      <c r="H16" s="3">
        <f t="shared" si="0"/>
        <v>1314290699999999.8</v>
      </c>
      <c r="I16" s="3">
        <f t="shared" si="1"/>
        <v>32857267499.999992</v>
      </c>
      <c r="J16" s="3">
        <f t="shared" si="2"/>
        <v>7608666788861.8574</v>
      </c>
      <c r="K16" s="275" t="s">
        <v>1420</v>
      </c>
      <c r="L16" s="3" t="str">
        <f t="shared" si="3"/>
        <v/>
      </c>
      <c r="M16" s="1"/>
      <c r="N16" t="s">
        <v>1429</v>
      </c>
      <c r="O16" s="3">
        <f>H32</f>
        <v>7.857648E+16</v>
      </c>
      <c r="P16" t="s">
        <v>279</v>
      </c>
    </row>
    <row r="17" spans="2:17">
      <c r="B17" t="s">
        <v>371</v>
      </c>
      <c r="C17" t="s">
        <v>305</v>
      </c>
      <c r="D17">
        <v>51.996000000000002</v>
      </c>
      <c r="E17">
        <v>6.5</v>
      </c>
      <c r="F17">
        <v>20</v>
      </c>
      <c r="G17" s="274">
        <v>11000</v>
      </c>
      <c r="H17" s="3">
        <f t="shared" si="0"/>
        <v>435986460000000</v>
      </c>
      <c r="I17" s="3">
        <f t="shared" si="1"/>
        <v>39635132727.272728</v>
      </c>
      <c r="J17" s="3">
        <f t="shared" si="2"/>
        <v>6307535330340.3047</v>
      </c>
      <c r="K17" s="275" t="s">
        <v>1420</v>
      </c>
      <c r="L17" s="3" t="str">
        <f t="shared" si="3"/>
        <v/>
      </c>
      <c r="M17" s="1"/>
      <c r="N17" s="123" t="s">
        <v>1430</v>
      </c>
      <c r="O17" s="276">
        <f>O16/O15</f>
        <v>1053642.9950654367</v>
      </c>
      <c r="P17" s="123" t="s">
        <v>1142</v>
      </c>
    </row>
    <row r="18" spans="2:17">
      <c r="B18" t="s">
        <v>388</v>
      </c>
      <c r="C18" t="s">
        <v>115</v>
      </c>
      <c r="D18">
        <v>54.938000000000002</v>
      </c>
      <c r="E18">
        <v>0.2</v>
      </c>
      <c r="F18">
        <v>150</v>
      </c>
      <c r="G18" s="274">
        <v>50</v>
      </c>
      <c r="H18" s="3">
        <f t="shared" si="0"/>
        <v>14174004000000</v>
      </c>
      <c r="I18" s="3">
        <f t="shared" si="1"/>
        <v>283480080000</v>
      </c>
      <c r="J18" s="3">
        <f t="shared" si="2"/>
        <v>881896181206.10095</v>
      </c>
      <c r="K18" s="275" t="s">
        <v>1420</v>
      </c>
      <c r="L18" s="3" t="str">
        <f t="shared" si="3"/>
        <v/>
      </c>
      <c r="M18" s="1"/>
    </row>
    <row r="19" spans="2:17" ht="18.5">
      <c r="B19" t="s">
        <v>284</v>
      </c>
      <c r="C19" t="s">
        <v>106</v>
      </c>
      <c r="D19">
        <v>55.847000000000001</v>
      </c>
      <c r="E19">
        <v>0.7</v>
      </c>
      <c r="F19">
        <v>700</v>
      </c>
      <c r="G19" s="274">
        <v>40</v>
      </c>
      <c r="H19" s="3">
        <f t="shared" si="0"/>
        <v>50429841000000</v>
      </c>
      <c r="I19" s="3">
        <f t="shared" si="1"/>
        <v>1260746025000</v>
      </c>
      <c r="J19" s="3">
        <f t="shared" si="2"/>
        <v>198295291075.77396</v>
      </c>
      <c r="K19" s="275" t="s">
        <v>1420</v>
      </c>
      <c r="L19" s="3" t="str">
        <f t="shared" si="3"/>
        <v/>
      </c>
      <c r="M19" s="1"/>
      <c r="N19" s="843" t="s">
        <v>1436</v>
      </c>
      <c r="O19" s="843"/>
      <c r="P19" s="843"/>
    </row>
    <row r="20" spans="2:17">
      <c r="B20" t="s">
        <v>370</v>
      </c>
      <c r="C20" t="s">
        <v>310</v>
      </c>
      <c r="D20">
        <v>58.933199999999999</v>
      </c>
      <c r="E20">
        <v>0.03</v>
      </c>
      <c r="F20">
        <v>3</v>
      </c>
      <c r="G20" s="274">
        <v>400</v>
      </c>
      <c r="H20" s="3">
        <f t="shared" si="0"/>
        <v>2280714839999.9995</v>
      </c>
      <c r="I20" s="3">
        <f t="shared" si="1"/>
        <v>5701787099.999999</v>
      </c>
      <c r="J20" s="3">
        <f t="shared" si="2"/>
        <v>43845902278603.148</v>
      </c>
      <c r="K20" s="275" t="s">
        <v>1420</v>
      </c>
      <c r="L20" s="3" t="str">
        <f t="shared" si="3"/>
        <v/>
      </c>
      <c r="M20" s="1"/>
      <c r="N20" t="s">
        <v>1777</v>
      </c>
      <c r="O20" s="3">
        <v>1.29E+18</v>
      </c>
      <c r="P20" t="s">
        <v>53</v>
      </c>
      <c r="Q20" s="3"/>
    </row>
    <row r="21" spans="2:17">
      <c r="B21" t="s">
        <v>268</v>
      </c>
      <c r="C21" t="s">
        <v>120</v>
      </c>
      <c r="D21">
        <v>58.69</v>
      </c>
      <c r="E21">
        <v>8.4</v>
      </c>
      <c r="F21">
        <v>37</v>
      </c>
      <c r="G21" s="274">
        <v>7800</v>
      </c>
      <c r="H21" s="3">
        <f t="shared" si="0"/>
        <v>635964839999999.88</v>
      </c>
      <c r="I21" s="3">
        <f t="shared" si="1"/>
        <v>81533953846.153824</v>
      </c>
      <c r="J21" s="3">
        <f t="shared" si="2"/>
        <v>3066207245042.0381</v>
      </c>
      <c r="K21" s="275">
        <v>3964.9003237348784</v>
      </c>
      <c r="L21" s="3">
        <f t="shared" si="3"/>
        <v>773337787.758991</v>
      </c>
      <c r="M21" s="1"/>
      <c r="N21" t="s">
        <v>1778</v>
      </c>
      <c r="O21">
        <f>COUNT(I4:I51)</f>
        <v>48</v>
      </c>
      <c r="Q21" s="3"/>
    </row>
    <row r="22" spans="2:17">
      <c r="B22" t="s">
        <v>337</v>
      </c>
      <c r="C22" t="s">
        <v>308</v>
      </c>
      <c r="D22">
        <v>63.545999999999999</v>
      </c>
      <c r="E22">
        <v>1.9</v>
      </c>
      <c r="F22">
        <v>160</v>
      </c>
      <c r="G22" s="274">
        <v>410</v>
      </c>
      <c r="H22" s="3">
        <f t="shared" si="0"/>
        <v>155751245999999.97</v>
      </c>
      <c r="I22" s="3">
        <f t="shared" si="1"/>
        <v>379881087804.87799</v>
      </c>
      <c r="J22" s="3">
        <f t="shared" si="2"/>
        <v>658100674199.42188</v>
      </c>
      <c r="K22" s="275">
        <v>2112.6428099329619</v>
      </c>
      <c r="L22" s="3">
        <f t="shared" si="3"/>
        <v>311505887.84116548</v>
      </c>
      <c r="M22" s="1"/>
      <c r="N22" t="s">
        <v>1785</v>
      </c>
      <c r="O22" s="3">
        <f>SUM(H4:H51)</f>
        <v>4.2583190774694512E+22</v>
      </c>
      <c r="P22" t="s">
        <v>279</v>
      </c>
    </row>
    <row r="23" spans="2:17">
      <c r="B23" t="s">
        <v>253</v>
      </c>
      <c r="C23" t="s">
        <v>147</v>
      </c>
      <c r="D23">
        <v>65.39</v>
      </c>
      <c r="E23">
        <v>6.1</v>
      </c>
      <c r="F23">
        <v>500</v>
      </c>
      <c r="G23" s="274">
        <v>420</v>
      </c>
      <c r="H23" s="3">
        <f t="shared" si="0"/>
        <v>514553909999999.94</v>
      </c>
      <c r="I23" s="3">
        <f t="shared" si="1"/>
        <v>1225128357142.8569</v>
      </c>
      <c r="J23" s="3">
        <f t="shared" si="2"/>
        <v>204060250946.30029</v>
      </c>
      <c r="K23" s="275">
        <v>5188.1021562930109</v>
      </c>
      <c r="L23" s="3">
        <f t="shared" si="3"/>
        <v>39332350.211874947</v>
      </c>
      <c r="M23" s="1"/>
      <c r="N23" t="s">
        <v>1418</v>
      </c>
      <c r="O23" s="3">
        <f>GEB/O21</f>
        <v>2.5E+23</v>
      </c>
      <c r="P23" t="s">
        <v>1419</v>
      </c>
    </row>
    <row r="24" spans="2:17">
      <c r="B24" t="s">
        <v>377</v>
      </c>
      <c r="C24" t="s">
        <v>100</v>
      </c>
      <c r="D24">
        <v>69.72</v>
      </c>
      <c r="E24">
        <v>0.2</v>
      </c>
      <c r="F24">
        <v>1.3</v>
      </c>
      <c r="G24" s="274">
        <v>5000</v>
      </c>
      <c r="H24" s="3">
        <f t="shared" si="0"/>
        <v>17987760000000</v>
      </c>
      <c r="I24" s="3">
        <f t="shared" si="1"/>
        <v>3597552000</v>
      </c>
      <c r="J24" s="3">
        <f t="shared" si="2"/>
        <v>69491698799628.188</v>
      </c>
      <c r="K24" s="275" t="s">
        <v>1420</v>
      </c>
      <c r="L24" s="3" t="str">
        <f t="shared" si="3"/>
        <v/>
      </c>
      <c r="M24" s="1"/>
      <c r="N24" s="123" t="s">
        <v>1786</v>
      </c>
      <c r="O24" s="62">
        <f>GEB/O22</f>
        <v>281.80133479173475</v>
      </c>
      <c r="P24" s="123" t="s">
        <v>0</v>
      </c>
    </row>
    <row r="25" spans="2:17">
      <c r="B25" t="s">
        <v>360</v>
      </c>
      <c r="C25" t="s">
        <v>317</v>
      </c>
      <c r="D25">
        <v>74.921599999999998</v>
      </c>
      <c r="E25">
        <v>30</v>
      </c>
      <c r="F25">
        <v>23</v>
      </c>
      <c r="G25" s="274">
        <v>45000</v>
      </c>
      <c r="H25" s="3">
        <f t="shared" si="0"/>
        <v>2899465919999999.5</v>
      </c>
      <c r="I25" s="3">
        <f t="shared" si="1"/>
        <v>64432575999.999992</v>
      </c>
      <c r="J25" s="3">
        <f t="shared" si="2"/>
        <v>3880024911622.3447</v>
      </c>
      <c r="K25" s="275">
        <v>6591.2900952462305</v>
      </c>
      <c r="L25" s="3">
        <f t="shared" si="3"/>
        <v>588659405.9060905</v>
      </c>
      <c r="M25" s="1"/>
      <c r="N25" s="1"/>
      <c r="O25" s="1"/>
    </row>
    <row r="26" spans="2:17">
      <c r="B26" s="278" t="s">
        <v>364</v>
      </c>
      <c r="C26" s="278" t="s">
        <v>89</v>
      </c>
      <c r="D26" s="278">
        <v>79.903999999999996</v>
      </c>
      <c r="E26" s="625">
        <v>860000</v>
      </c>
      <c r="F26" s="278">
        <v>250</v>
      </c>
      <c r="G26" s="279">
        <v>119000000</v>
      </c>
      <c r="H26" s="280">
        <f t="shared" si="0"/>
        <v>8.86454976E+19</v>
      </c>
      <c r="I26" s="280">
        <f t="shared" si="1"/>
        <v>744920147899.15967</v>
      </c>
      <c r="J26" s="280">
        <f t="shared" si="2"/>
        <v>335606441448.86609</v>
      </c>
      <c r="K26" s="281">
        <v>1262.6401682018422</v>
      </c>
      <c r="L26" s="280">
        <f t="shared" si="3"/>
        <v>265797374.34364352</v>
      </c>
      <c r="M26" s="1"/>
      <c r="N26" s="1"/>
      <c r="O26" s="1"/>
    </row>
    <row r="27" spans="2:17">
      <c r="B27" t="s">
        <v>396</v>
      </c>
      <c r="C27" t="s">
        <v>306</v>
      </c>
      <c r="D27">
        <v>85.467799999999997</v>
      </c>
      <c r="E27">
        <v>1490</v>
      </c>
      <c r="F27">
        <v>18</v>
      </c>
      <c r="G27" s="274">
        <v>2900000</v>
      </c>
      <c r="H27" s="3">
        <f t="shared" si="0"/>
        <v>1.6427765838E+17</v>
      </c>
      <c r="I27" s="3">
        <f t="shared" si="1"/>
        <v>56647468406.896553</v>
      </c>
      <c r="J27" s="3">
        <f t="shared" si="2"/>
        <v>4413259886642.4141</v>
      </c>
      <c r="K27" s="275" t="s">
        <v>1420</v>
      </c>
      <c r="L27" s="3" t="str">
        <f t="shared" si="3"/>
        <v/>
      </c>
      <c r="M27" s="1"/>
    </row>
    <row r="28" spans="2:17">
      <c r="B28" t="s">
        <v>406</v>
      </c>
      <c r="C28" t="s">
        <v>302</v>
      </c>
      <c r="D28">
        <v>87.62</v>
      </c>
      <c r="E28">
        <v>81000</v>
      </c>
      <c r="F28">
        <v>700</v>
      </c>
      <c r="G28" s="274">
        <v>4000000</v>
      </c>
      <c r="H28" s="3">
        <f t="shared" si="0"/>
        <v>9.155413800000001E+18</v>
      </c>
      <c r="I28" s="3">
        <f t="shared" si="1"/>
        <v>2288853450000.0005</v>
      </c>
      <c r="J28" s="3">
        <f t="shared" si="2"/>
        <v>109224992102.48692</v>
      </c>
      <c r="K28" s="275" t="s">
        <v>1420</v>
      </c>
      <c r="L28" s="3" t="str">
        <f t="shared" si="3"/>
        <v/>
      </c>
      <c r="M28" s="1"/>
    </row>
    <row r="29" spans="2:17">
      <c r="B29" t="s">
        <v>258</v>
      </c>
      <c r="C29" t="s">
        <v>118</v>
      </c>
      <c r="D29">
        <v>95.94</v>
      </c>
      <c r="E29">
        <v>120</v>
      </c>
      <c r="F29">
        <v>5</v>
      </c>
      <c r="G29" s="274">
        <v>800000</v>
      </c>
      <c r="H29" s="3">
        <f t="shared" si="0"/>
        <v>1.4851511999999998E+16</v>
      </c>
      <c r="I29" s="3">
        <f t="shared" si="1"/>
        <v>18564389999.999996</v>
      </c>
      <c r="J29" s="3">
        <f t="shared" si="2"/>
        <v>13466642318977.357</v>
      </c>
      <c r="K29" s="275">
        <v>7611.7365019804047</v>
      </c>
      <c r="L29" s="3">
        <f t="shared" si="3"/>
        <v>1769194495.2999406</v>
      </c>
      <c r="M29" s="1"/>
    </row>
    <row r="30" spans="2:17">
      <c r="B30" t="s">
        <v>359</v>
      </c>
      <c r="C30" t="s">
        <v>333</v>
      </c>
      <c r="D30">
        <v>107.86799999999999</v>
      </c>
      <c r="E30">
        <v>0.03</v>
      </c>
      <c r="F30">
        <v>3</v>
      </c>
      <c r="G30" s="274">
        <v>400</v>
      </c>
      <c r="H30" s="3">
        <f t="shared" si="0"/>
        <v>4174491599999.999</v>
      </c>
      <c r="I30" s="3">
        <f t="shared" si="1"/>
        <v>10436228999.999998</v>
      </c>
      <c r="J30" s="3">
        <f t="shared" si="2"/>
        <v>23955012869112.016</v>
      </c>
      <c r="K30" s="275">
        <v>647.55071012719247</v>
      </c>
      <c r="L30" s="3">
        <f t="shared" si="3"/>
        <v>36993261677.385468</v>
      </c>
    </row>
    <row r="31" spans="2:17">
      <c r="B31" t="s">
        <v>401</v>
      </c>
      <c r="C31" t="s">
        <v>327</v>
      </c>
      <c r="D31">
        <v>121.75</v>
      </c>
      <c r="E31">
        <v>2</v>
      </c>
      <c r="F31">
        <v>8</v>
      </c>
      <c r="G31" s="274">
        <v>9000</v>
      </c>
      <c r="H31" s="3">
        <f t="shared" si="0"/>
        <v>314115000000000</v>
      </c>
      <c r="I31" s="3">
        <f t="shared" si="1"/>
        <v>34901666666.666664</v>
      </c>
      <c r="J31" s="3">
        <f t="shared" si="2"/>
        <v>7162981710520.0332</v>
      </c>
      <c r="K31" s="275" t="s">
        <v>1420</v>
      </c>
      <c r="L31" s="3" t="str">
        <f t="shared" si="3"/>
        <v/>
      </c>
    </row>
    <row r="32" spans="2:17">
      <c r="B32" s="278" t="s">
        <v>245</v>
      </c>
      <c r="C32" s="278" t="s">
        <v>105</v>
      </c>
      <c r="D32" s="278">
        <v>126.9</v>
      </c>
      <c r="E32" s="278">
        <v>480</v>
      </c>
      <c r="F32" s="278"/>
      <c r="G32" s="279">
        <f>'Ocean Ions'!O17</f>
        <v>1053642.9950654367</v>
      </c>
      <c r="H32" s="280">
        <f>D32*E32*O20/1000000</f>
        <v>7.857648E+16</v>
      </c>
      <c r="I32" s="280">
        <f>'Ocean Ions'!O15</f>
        <v>74576000000</v>
      </c>
      <c r="J32" s="280">
        <f t="shared" si="2"/>
        <v>3352284917399.6997</v>
      </c>
      <c r="K32" s="281">
        <v>1376.9897557131599</v>
      </c>
      <c r="L32" s="280">
        <f t="shared" si="3"/>
        <v>2434502438.0108843</v>
      </c>
    </row>
    <row r="33" spans="2:12">
      <c r="B33" t="s">
        <v>372</v>
      </c>
      <c r="C33" t="s">
        <v>316</v>
      </c>
      <c r="D33">
        <v>132.905</v>
      </c>
      <c r="E33">
        <v>2E-3</v>
      </c>
      <c r="F33">
        <v>0.26</v>
      </c>
      <c r="G33" s="274">
        <v>300</v>
      </c>
      <c r="H33" s="3">
        <f t="shared" ref="H33:H51" si="4">E33*0.000001*D33*$O$20</f>
        <v>342894900000</v>
      </c>
      <c r="I33" s="3">
        <f t="shared" si="1"/>
        <v>1142983000</v>
      </c>
      <c r="J33" s="3">
        <f t="shared" si="2"/>
        <v>218725912808851.91</v>
      </c>
      <c r="K33" s="275">
        <v>3044.1292652646625</v>
      </c>
      <c r="L33" s="3">
        <f t="shared" si="3"/>
        <v>71851716451.283966</v>
      </c>
    </row>
    <row r="34" spans="2:12">
      <c r="B34" t="s">
        <v>362</v>
      </c>
      <c r="C34" t="s">
        <v>300</v>
      </c>
      <c r="D34">
        <v>137.30000000000001</v>
      </c>
      <c r="E34">
        <v>87</v>
      </c>
      <c r="F34">
        <v>400</v>
      </c>
      <c r="G34" s="274">
        <v>8000</v>
      </c>
      <c r="H34" s="3">
        <f t="shared" si="4"/>
        <v>1.5409179000000002E+16</v>
      </c>
      <c r="I34" s="3">
        <f t="shared" si="1"/>
        <v>1926147375000.0002</v>
      </c>
      <c r="J34" s="3">
        <f t="shared" si="2"/>
        <v>129792768323.34804</v>
      </c>
      <c r="K34" s="275" t="s">
        <v>1420</v>
      </c>
      <c r="L34" s="3" t="str">
        <f t="shared" si="3"/>
        <v/>
      </c>
    </row>
    <row r="35" spans="2:12">
      <c r="B35" t="s">
        <v>385</v>
      </c>
      <c r="C35" t="s">
        <v>109</v>
      </c>
      <c r="D35">
        <v>138.90600000000001</v>
      </c>
      <c r="E35">
        <v>0.03</v>
      </c>
      <c r="F35">
        <v>0.4</v>
      </c>
      <c r="G35" s="274">
        <v>3000</v>
      </c>
      <c r="H35" s="3">
        <f t="shared" si="4"/>
        <v>5375662200000</v>
      </c>
      <c r="I35" s="3">
        <f t="shared" si="1"/>
        <v>1791887400</v>
      </c>
      <c r="J35" s="3">
        <f t="shared" si="2"/>
        <v>139517695140888.88</v>
      </c>
      <c r="K35" s="275" t="s">
        <v>1420</v>
      </c>
      <c r="L35" s="3" t="str">
        <f t="shared" si="3"/>
        <v/>
      </c>
    </row>
    <row r="36" spans="2:12">
      <c r="B36" t="s">
        <v>368</v>
      </c>
      <c r="C36" t="s">
        <v>307</v>
      </c>
      <c r="D36">
        <v>140.12</v>
      </c>
      <c r="E36">
        <v>0.03</v>
      </c>
      <c r="F36">
        <v>0.6</v>
      </c>
      <c r="G36" s="274">
        <v>2000</v>
      </c>
      <c r="H36" s="3">
        <f t="shared" si="4"/>
        <v>5422644000000</v>
      </c>
      <c r="I36" s="3">
        <f t="shared" si="1"/>
        <v>2711322000</v>
      </c>
      <c r="J36" s="3">
        <f t="shared" si="2"/>
        <v>92205942341042.484</v>
      </c>
      <c r="K36" s="275" t="s">
        <v>1420</v>
      </c>
      <c r="L36" s="3" t="str">
        <f t="shared" si="3"/>
        <v/>
      </c>
    </row>
    <row r="37" spans="2:12">
      <c r="B37" t="s">
        <v>394</v>
      </c>
      <c r="C37" t="s">
        <v>127</v>
      </c>
      <c r="D37">
        <v>140.90799999999999</v>
      </c>
      <c r="E37">
        <v>4.0000000000000001E-3</v>
      </c>
      <c r="F37">
        <v>0.05</v>
      </c>
      <c r="G37" s="274">
        <v>3000</v>
      </c>
      <c r="H37" s="3">
        <f t="shared" si="4"/>
        <v>727085280000</v>
      </c>
      <c r="I37" s="3">
        <f t="shared" si="1"/>
        <v>242361760</v>
      </c>
      <c r="J37" s="3">
        <f t="shared" si="2"/>
        <v>1031515862898503.5</v>
      </c>
      <c r="K37" s="275" t="s">
        <v>1420</v>
      </c>
      <c r="L37" s="3" t="str">
        <f t="shared" si="3"/>
        <v/>
      </c>
    </row>
    <row r="38" spans="2:12">
      <c r="B38" t="s">
        <v>391</v>
      </c>
      <c r="C38" t="s">
        <v>119</v>
      </c>
      <c r="D38">
        <v>144.24</v>
      </c>
      <c r="E38">
        <v>0.03</v>
      </c>
      <c r="F38">
        <v>0.3</v>
      </c>
      <c r="G38" s="274">
        <v>4000</v>
      </c>
      <c r="H38" s="3">
        <f t="shared" si="4"/>
        <v>5582088000000</v>
      </c>
      <c r="I38" s="3">
        <f t="shared" si="1"/>
        <v>1395522000</v>
      </c>
      <c r="J38" s="3">
        <f t="shared" si="2"/>
        <v>179144434842302.72</v>
      </c>
      <c r="K38" s="275" t="s">
        <v>1420</v>
      </c>
      <c r="L38" s="3" t="str">
        <f t="shared" si="3"/>
        <v/>
      </c>
    </row>
    <row r="39" spans="2:12">
      <c r="B39" t="s">
        <v>405</v>
      </c>
      <c r="C39" t="s">
        <v>132</v>
      </c>
      <c r="D39">
        <v>150.36000000000001</v>
      </c>
      <c r="E39">
        <v>4.0000000000000001E-3</v>
      </c>
      <c r="F39">
        <v>0.05</v>
      </c>
      <c r="G39" s="274">
        <v>3000</v>
      </c>
      <c r="H39" s="3">
        <f t="shared" si="4"/>
        <v>775857600000.00012</v>
      </c>
      <c r="I39" s="3">
        <f t="shared" si="1"/>
        <v>258619200.00000003</v>
      </c>
      <c r="J39" s="3">
        <f t="shared" si="2"/>
        <v>966672234698738.38</v>
      </c>
      <c r="K39" s="275" t="s">
        <v>1420</v>
      </c>
      <c r="L39" s="3" t="str">
        <f t="shared" si="3"/>
        <v/>
      </c>
    </row>
    <row r="40" spans="2:12">
      <c r="B40" t="s">
        <v>375</v>
      </c>
      <c r="C40" t="s">
        <v>95</v>
      </c>
      <c r="D40">
        <v>151.96</v>
      </c>
      <c r="E40">
        <v>1E-3</v>
      </c>
      <c r="F40">
        <v>7.0000000000000001E-3</v>
      </c>
      <c r="G40" s="274">
        <v>5000</v>
      </c>
      <c r="H40" s="3">
        <f t="shared" si="4"/>
        <v>196028400000.00003</v>
      </c>
      <c r="I40" s="3">
        <f t="shared" si="1"/>
        <v>39205680.000000007</v>
      </c>
      <c r="J40" s="3">
        <f t="shared" si="2"/>
        <v>6376627060160669</v>
      </c>
      <c r="K40" s="275" t="s">
        <v>1420</v>
      </c>
      <c r="L40" s="3" t="str">
        <f t="shared" si="3"/>
        <v/>
      </c>
    </row>
    <row r="41" spans="2:12">
      <c r="B41" t="s">
        <v>378</v>
      </c>
      <c r="C41" t="s">
        <v>99</v>
      </c>
      <c r="D41">
        <v>157.25</v>
      </c>
      <c r="E41">
        <v>5.0000000000000001E-3</v>
      </c>
      <c r="F41">
        <v>0.05</v>
      </c>
      <c r="G41" s="274">
        <v>4000</v>
      </c>
      <c r="H41" s="3">
        <f t="shared" si="4"/>
        <v>1014262500000</v>
      </c>
      <c r="I41" s="3">
        <f t="shared" si="1"/>
        <v>253565625</v>
      </c>
      <c r="J41" s="3">
        <f t="shared" si="2"/>
        <v>985938058441478.38</v>
      </c>
      <c r="K41" s="275" t="s">
        <v>1420</v>
      </c>
      <c r="L41" s="3" t="str">
        <f t="shared" si="3"/>
        <v/>
      </c>
    </row>
    <row r="42" spans="2:12">
      <c r="B42" t="s">
        <v>408</v>
      </c>
      <c r="C42" t="s">
        <v>326</v>
      </c>
      <c r="D42">
        <v>158.39250000000001</v>
      </c>
      <c r="E42">
        <v>1E-3</v>
      </c>
      <c r="F42">
        <v>6.0000000000000001E-3</v>
      </c>
      <c r="G42" s="274">
        <v>6000</v>
      </c>
      <c r="H42" s="3">
        <f t="shared" si="4"/>
        <v>204326325000.00003</v>
      </c>
      <c r="I42" s="3">
        <f t="shared" si="1"/>
        <v>34054387.500000007</v>
      </c>
      <c r="J42" s="3">
        <f t="shared" si="2"/>
        <v>7341197958706494</v>
      </c>
      <c r="K42" s="275" t="s">
        <v>1420</v>
      </c>
      <c r="L42" s="3" t="str">
        <f t="shared" si="3"/>
        <v/>
      </c>
    </row>
    <row r="43" spans="2:12">
      <c r="B43" t="s">
        <v>382</v>
      </c>
      <c r="C43" t="s">
        <v>325</v>
      </c>
      <c r="D43">
        <v>164.93</v>
      </c>
      <c r="E43">
        <v>1E-3</v>
      </c>
      <c r="F43">
        <v>6.0000000000000001E-3</v>
      </c>
      <c r="G43" s="274">
        <v>6000</v>
      </c>
      <c r="H43" s="3">
        <f t="shared" si="4"/>
        <v>212759700000</v>
      </c>
      <c r="I43" s="3">
        <f t="shared" si="1"/>
        <v>35459950</v>
      </c>
      <c r="J43" s="3">
        <f t="shared" si="2"/>
        <v>7050207346598063</v>
      </c>
      <c r="K43" s="275" t="s">
        <v>1420</v>
      </c>
      <c r="L43" s="3" t="str">
        <f t="shared" si="3"/>
        <v/>
      </c>
    </row>
    <row r="44" spans="2:12">
      <c r="B44" t="s">
        <v>374</v>
      </c>
      <c r="C44" t="s">
        <v>319</v>
      </c>
      <c r="D44">
        <v>167.26</v>
      </c>
      <c r="E44">
        <v>6.0000000000000001E-3</v>
      </c>
      <c r="F44">
        <v>0.02</v>
      </c>
      <c r="G44" s="274">
        <v>10000</v>
      </c>
      <c r="H44" s="3">
        <f t="shared" si="4"/>
        <v>1294592400000</v>
      </c>
      <c r="I44" s="3">
        <f t="shared" si="1"/>
        <v>129459240</v>
      </c>
      <c r="J44" s="3">
        <f t="shared" si="2"/>
        <v>1931109745430299</v>
      </c>
      <c r="K44" s="275" t="s">
        <v>1420</v>
      </c>
      <c r="L44" s="3" t="str">
        <f t="shared" si="3"/>
        <v/>
      </c>
    </row>
    <row r="45" spans="2:12">
      <c r="B45" t="s">
        <v>412</v>
      </c>
      <c r="C45" t="s">
        <v>329</v>
      </c>
      <c r="D45">
        <v>168.934</v>
      </c>
      <c r="E45">
        <v>1E-3</v>
      </c>
      <c r="F45">
        <v>6.0000000000000001E-3</v>
      </c>
      <c r="G45" s="274">
        <v>6000</v>
      </c>
      <c r="H45" s="3">
        <f t="shared" si="4"/>
        <v>217924860000</v>
      </c>
      <c r="I45" s="3">
        <f t="shared" si="1"/>
        <v>36320810</v>
      </c>
      <c r="J45" s="3">
        <f t="shared" si="2"/>
        <v>6883106406492586</v>
      </c>
      <c r="K45" s="275" t="s">
        <v>1420</v>
      </c>
      <c r="L45" s="3" t="str">
        <f t="shared" si="3"/>
        <v/>
      </c>
    </row>
    <row r="46" spans="2:12">
      <c r="B46" t="s">
        <v>416</v>
      </c>
      <c r="C46" t="s">
        <v>321</v>
      </c>
      <c r="D46">
        <v>173.04</v>
      </c>
      <c r="E46">
        <v>5.0000000000000001E-3</v>
      </c>
      <c r="F46">
        <v>0.02</v>
      </c>
      <c r="G46" s="274">
        <v>9000</v>
      </c>
      <c r="H46" s="3">
        <f t="shared" si="4"/>
        <v>1116108000000</v>
      </c>
      <c r="I46" s="3">
        <f t="shared" si="1"/>
        <v>124012000</v>
      </c>
      <c r="J46" s="3">
        <f t="shared" si="2"/>
        <v>2015933941876592.5</v>
      </c>
      <c r="K46" s="275" t="s">
        <v>1420</v>
      </c>
      <c r="L46" s="3" t="str">
        <f t="shared" si="3"/>
        <v/>
      </c>
    </row>
    <row r="47" spans="2:12">
      <c r="B47" t="s">
        <v>387</v>
      </c>
      <c r="C47" t="s">
        <v>328</v>
      </c>
      <c r="D47">
        <v>174.96700000000001</v>
      </c>
      <c r="E47">
        <v>1E-3</v>
      </c>
      <c r="F47">
        <v>6.0000000000000001E-3</v>
      </c>
      <c r="G47" s="274">
        <v>6000</v>
      </c>
      <c r="H47" s="3">
        <f t="shared" si="4"/>
        <v>225707430000.00003</v>
      </c>
      <c r="I47" s="3">
        <f t="shared" si="1"/>
        <v>37617905.000000007</v>
      </c>
      <c r="J47" s="3">
        <f t="shared" si="2"/>
        <v>6645771475046256</v>
      </c>
      <c r="K47" s="275" t="s">
        <v>1420</v>
      </c>
      <c r="L47" s="3" t="str">
        <f t="shared" si="3"/>
        <v/>
      </c>
    </row>
    <row r="48" spans="2:12">
      <c r="B48" t="s">
        <v>263</v>
      </c>
      <c r="C48" t="s">
        <v>101</v>
      </c>
      <c r="D48">
        <v>196.96700000000001</v>
      </c>
      <c r="E48">
        <v>5.7000000000000002E-2</v>
      </c>
      <c r="F48">
        <v>0.01</v>
      </c>
      <c r="G48" s="274">
        <v>200000</v>
      </c>
      <c r="H48" s="3">
        <f t="shared" si="4"/>
        <v>14482983510000.002</v>
      </c>
      <c r="I48" s="3">
        <f t="shared" si="1"/>
        <v>72414917.550000012</v>
      </c>
      <c r="J48" s="3">
        <f t="shared" si="2"/>
        <v>3452327344395353</v>
      </c>
      <c r="K48" s="275" t="s">
        <v>1420</v>
      </c>
      <c r="L48" s="3" t="str">
        <f t="shared" si="3"/>
        <v/>
      </c>
    </row>
    <row r="49" spans="2:12">
      <c r="B49" t="s">
        <v>347</v>
      </c>
      <c r="C49" t="s">
        <v>110</v>
      </c>
      <c r="D49">
        <v>207.2</v>
      </c>
      <c r="E49">
        <v>5.0000000000000001E-3</v>
      </c>
      <c r="F49">
        <v>5</v>
      </c>
      <c r="G49" s="274">
        <v>40</v>
      </c>
      <c r="H49" s="3">
        <f t="shared" si="4"/>
        <v>1336440000000</v>
      </c>
      <c r="I49" s="3">
        <f t="shared" si="1"/>
        <v>33411000000</v>
      </c>
      <c r="J49" s="3">
        <f t="shared" si="2"/>
        <v>7482565622100.5059</v>
      </c>
      <c r="K49" s="275">
        <v>1121.6216216216217</v>
      </c>
      <c r="L49" s="3">
        <f t="shared" si="3"/>
        <v>6671203084.7643061</v>
      </c>
    </row>
    <row r="50" spans="2:12">
      <c r="B50" t="s">
        <v>410</v>
      </c>
      <c r="C50" t="s">
        <v>314</v>
      </c>
      <c r="D50">
        <v>232.03800000000001</v>
      </c>
      <c r="E50">
        <v>3.0000000000000001E-3</v>
      </c>
      <c r="F50">
        <v>0.4</v>
      </c>
      <c r="G50" s="274">
        <v>300</v>
      </c>
      <c r="H50" s="3">
        <f t="shared" si="4"/>
        <v>897987060000.00012</v>
      </c>
      <c r="I50" s="3">
        <f t="shared" si="1"/>
        <v>2993290200.0000005</v>
      </c>
      <c r="J50" s="3">
        <f t="shared" si="2"/>
        <v>83520134466080.156</v>
      </c>
      <c r="K50" s="275" t="s">
        <v>1420</v>
      </c>
      <c r="L50" s="3" t="str">
        <f t="shared" si="3"/>
        <v/>
      </c>
    </row>
    <row r="51" spans="2:12">
      <c r="B51" s="123" t="s">
        <v>250</v>
      </c>
      <c r="C51" s="123" t="s">
        <v>146</v>
      </c>
      <c r="D51" s="123">
        <v>238.029</v>
      </c>
      <c r="E51" s="123">
        <v>14</v>
      </c>
      <c r="F51" s="123">
        <v>0.17</v>
      </c>
      <c r="G51" s="276">
        <v>2800000</v>
      </c>
      <c r="H51" s="62">
        <f t="shared" si="4"/>
        <v>4298803740000000</v>
      </c>
      <c r="I51" s="62">
        <f t="shared" si="1"/>
        <v>1535287050</v>
      </c>
      <c r="J51" s="62">
        <f t="shared" si="2"/>
        <v>162835998649242.81</v>
      </c>
      <c r="K51" s="276" t="s">
        <v>1420</v>
      </c>
      <c r="L51" s="62" t="str">
        <f t="shared" si="3"/>
        <v/>
      </c>
    </row>
    <row r="52" spans="2:12">
      <c r="H52" s="3"/>
      <c r="I52" s="3"/>
      <c r="J52" s="3"/>
    </row>
    <row r="53" spans="2:12">
      <c r="H53" s="3"/>
      <c r="I53" s="3"/>
    </row>
  </sheetData>
  <mergeCells count="4">
    <mergeCell ref="B2:L2"/>
    <mergeCell ref="N19:P19"/>
    <mergeCell ref="N2:Q2"/>
    <mergeCell ref="N10:P10"/>
  </mergeCells>
  <pageMargins left="0.7" right="0.7" top="0.75" bottom="0.75" header="0.3" footer="0.3"/>
  <pageSetup orientation="portrait" horizontalDpi="0" verticalDpi="0"/>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51">
    <tabColor theme="8" tint="-0.249977111117893"/>
  </sheetPr>
  <dimension ref="B2:Q36"/>
  <sheetViews>
    <sheetView zoomScale="60" zoomScaleNormal="60" workbookViewId="0">
      <selection activeCell="N24" sqref="N24"/>
    </sheetView>
  </sheetViews>
  <sheetFormatPr defaultColWidth="8.81640625" defaultRowHeight="14.5"/>
  <cols>
    <col min="1" max="1" width="4.6328125" customWidth="1"/>
    <col min="2" max="2" width="15.453125" bestFit="1" customWidth="1"/>
    <col min="3" max="3" width="9.453125" customWidth="1"/>
    <col min="4" max="4" width="12.6328125" bestFit="1" customWidth="1"/>
    <col min="5" max="5" width="17.453125" customWidth="1"/>
    <col min="6" max="6" width="13" customWidth="1"/>
    <col min="7" max="7" width="18.453125" bestFit="1" customWidth="1"/>
    <col min="8" max="8" width="12.1796875" bestFit="1" customWidth="1"/>
    <col min="9" max="9" width="9" bestFit="1" customWidth="1"/>
    <col min="10" max="10" width="11.81640625" customWidth="1"/>
    <col min="11" max="11" width="17.36328125" bestFit="1" customWidth="1"/>
    <col min="12" max="12" width="9.1796875" bestFit="1" customWidth="1"/>
    <col min="13" max="13" width="13.453125" bestFit="1" customWidth="1"/>
    <col min="14" max="14" width="13.1796875" bestFit="1" customWidth="1"/>
    <col min="15" max="15" width="8.81640625" bestFit="1" customWidth="1"/>
    <col min="16" max="16" width="13.1796875" bestFit="1" customWidth="1"/>
    <col min="17" max="17" width="8.81640625" bestFit="1" customWidth="1"/>
    <col min="18" max="18" width="8.453125" bestFit="1" customWidth="1"/>
  </cols>
  <sheetData>
    <row r="2" spans="2:17" ht="24" customHeight="1">
      <c r="B2" s="218" t="s">
        <v>1943</v>
      </c>
      <c r="C2" s="193"/>
      <c r="D2" s="193"/>
      <c r="E2" s="193"/>
      <c r="F2" s="193"/>
      <c r="G2" s="193"/>
      <c r="H2" s="193"/>
      <c r="I2" s="193"/>
      <c r="J2" s="193"/>
      <c r="K2" s="193"/>
      <c r="L2" s="193"/>
      <c r="M2" s="193"/>
      <c r="N2" s="193"/>
      <c r="O2" s="193"/>
    </row>
    <row r="3" spans="2:17" ht="33">
      <c r="B3" s="159" t="s">
        <v>177</v>
      </c>
      <c r="C3" s="159" t="s">
        <v>201</v>
      </c>
      <c r="D3" s="159" t="s">
        <v>1885</v>
      </c>
      <c r="E3" s="159" t="s">
        <v>1322</v>
      </c>
      <c r="F3" s="159" t="s">
        <v>1890</v>
      </c>
      <c r="G3" s="159" t="s">
        <v>1886</v>
      </c>
      <c r="H3" s="159" t="s">
        <v>1318</v>
      </c>
      <c r="I3" s="159" t="s">
        <v>1319</v>
      </c>
      <c r="J3" s="159" t="s">
        <v>1891</v>
      </c>
      <c r="K3" s="159" t="s">
        <v>1893</v>
      </c>
      <c r="L3" s="159" t="s">
        <v>1894</v>
      </c>
      <c r="M3" s="159" t="s">
        <v>1320</v>
      </c>
      <c r="N3" s="819" t="s">
        <v>1323</v>
      </c>
      <c r="O3" s="819" t="s">
        <v>1321</v>
      </c>
      <c r="P3" s="773"/>
      <c r="Q3" s="47"/>
    </row>
    <row r="4" spans="2:17">
      <c r="B4" t="s">
        <v>43</v>
      </c>
      <c r="C4" s="1" t="s">
        <v>503</v>
      </c>
      <c r="D4" s="146">
        <v>0.78083999999999998</v>
      </c>
      <c r="E4" s="61">
        <f>(D4/F4)/((D4/F4)+(1-D4)/$F$19)</f>
        <v>0.78702672567921461</v>
      </c>
      <c r="F4" s="7">
        <v>28</v>
      </c>
      <c r="G4" s="4">
        <v>24000000</v>
      </c>
      <c r="H4" s="5">
        <f>D4*$B$26*F4</f>
        <v>3.7734760096651705E+21</v>
      </c>
      <c r="I4" s="5">
        <f>H4/G4</f>
        <v>157228167069382.09</v>
      </c>
      <c r="J4" s="4">
        <f>0.72*1000/F4</f>
        <v>25.714285714285715</v>
      </c>
      <c r="K4" s="770">
        <v>0.6</v>
      </c>
      <c r="L4" s="7">
        <f>(K4/F4)/((1-K4)/$B$24+K4/F4)</f>
        <v>0.60814498635504866</v>
      </c>
      <c r="M4" s="5">
        <f>gas_constant*standard_temperature*LN(L4/E4)/F4</f>
        <v>-22.827169662755328</v>
      </c>
      <c r="N4" s="820">
        <f>IF(J4="","",$O$19/J4)</f>
        <v>791.75507250653584</v>
      </c>
      <c r="O4" s="821" t="str">
        <f>IF(N4="","",IF(M4&lt;0,"",N4*M4))</f>
        <v/>
      </c>
    </row>
    <row r="5" spans="2:17">
      <c r="B5" t="s">
        <v>45</v>
      </c>
      <c r="C5" s="1" t="s">
        <v>46</v>
      </c>
      <c r="D5" s="146">
        <v>0.20948</v>
      </c>
      <c r="E5" s="61">
        <f t="shared" ref="E5:E17" si="0">(D5/F5)/((D5/F5)+(1-D5)/$F$19)</f>
        <v>0.19386850334189432</v>
      </c>
      <c r="F5" s="160">
        <v>32</v>
      </c>
      <c r="G5" s="4">
        <v>4500</v>
      </c>
      <c r="H5" s="5">
        <f>D5*$B$26*F5</f>
        <v>1.1569485674836036E+21</v>
      </c>
      <c r="I5" s="5">
        <f>H5/G5</f>
        <v>2.5709968166302304E+17</v>
      </c>
      <c r="J5" s="4">
        <f>3.97*1000/F5</f>
        <v>124.0625</v>
      </c>
      <c r="K5" s="770">
        <v>0.3</v>
      </c>
      <c r="L5" s="7">
        <f>(K5/F5)/((1-K5)/$B$24+K5/F5)</f>
        <v>0.27953427036763051</v>
      </c>
      <c r="M5" s="5">
        <f>gas_constant*standard_temperature*LN(L5/E5)/F5</f>
        <v>28.347216469644</v>
      </c>
      <c r="N5" s="820">
        <f>IF(J5=0,"",$O$19/J5)</f>
        <v>164.10612513989372</v>
      </c>
      <c r="O5" s="821">
        <f>IF(N5="","",IF(M5&lt;0,"",N5*M5))</f>
        <v>4651.9518533350547</v>
      </c>
    </row>
    <row r="6" spans="2:17">
      <c r="B6" t="s">
        <v>891</v>
      </c>
      <c r="C6" s="1" t="s">
        <v>890</v>
      </c>
      <c r="D6" s="161">
        <v>9.3399999999999993E-3</v>
      </c>
      <c r="E6" s="61">
        <f t="shared" si="0"/>
        <v>6.8070779423381259E-3</v>
      </c>
      <c r="F6" s="1">
        <v>39.950000000000003</v>
      </c>
      <c r="G6" s="1"/>
      <c r="H6" s="1"/>
      <c r="I6" s="1"/>
      <c r="J6" s="4"/>
      <c r="K6" s="771"/>
      <c r="L6" s="7"/>
      <c r="M6" s="5"/>
      <c r="N6" s="7" t="str">
        <f t="shared" ref="N6:N17" si="1">IF(J6=0,"",$O$19/J6)</f>
        <v/>
      </c>
      <c r="O6" s="5" t="str">
        <f t="shared" ref="O6:O17" si="2">IF(N6="","",IF(M6&lt;0,"",N6*M6))</f>
        <v/>
      </c>
    </row>
    <row r="7" spans="2:17">
      <c r="B7" t="s">
        <v>892</v>
      </c>
      <c r="C7" s="1" t="s">
        <v>889</v>
      </c>
      <c r="D7" s="146">
        <f>H7/F7/B26</f>
        <v>4.1523666666666665E-3</v>
      </c>
      <c r="E7" s="61">
        <f t="shared" si="0"/>
        <v>6.6825161622115796E-3</v>
      </c>
      <c r="F7" s="7">
        <v>18</v>
      </c>
      <c r="G7" s="7">
        <f>Water!G25</f>
        <v>2.190280629705681E-2</v>
      </c>
      <c r="H7" s="5">
        <f>I7*G7</f>
        <v>1.29E+19</v>
      </c>
      <c r="I7" s="5">
        <v>5.8896562500000003E+20</v>
      </c>
      <c r="J7" s="2">
        <f>4.75</f>
        <v>4.75</v>
      </c>
      <c r="K7" s="770">
        <v>0.01</v>
      </c>
      <c r="L7" s="7">
        <f>(K7/F7)/((1-K7)/$B$24+K7/F7)</f>
        <v>1.5996951909750024E-2</v>
      </c>
      <c r="M7" s="5">
        <f>gas_constant*standard_temperature*LN(L7/E7)/F7</f>
        <v>120.20945238871597</v>
      </c>
      <c r="N7" s="7">
        <f>IF(J7=0,"",$O$19/J7)</f>
        <v>4286.1928737195922</v>
      </c>
      <c r="O7" s="5">
        <f t="shared" si="2"/>
        <v>515240.89818224899</v>
      </c>
    </row>
    <row r="8" spans="2:17">
      <c r="B8" t="s">
        <v>37</v>
      </c>
      <c r="C8" s="1" t="s">
        <v>38</v>
      </c>
      <c r="D8" s="146">
        <v>3.8499999999999998E-4</v>
      </c>
      <c r="E8" s="61">
        <f>(D8/F8)/((D8/F8)+(1-D8)/$F$19)</f>
        <v>2.5414790976605462E-4</v>
      </c>
      <c r="F8" s="7">
        <v>44</v>
      </c>
      <c r="G8" s="4">
        <v>200</v>
      </c>
      <c r="H8" s="5">
        <f>D8*$B$26*F8</f>
        <v>2.9237141870900931E+18</v>
      </c>
      <c r="I8" s="5">
        <f>H8/G8</f>
        <v>1.4618570935450466E+16</v>
      </c>
      <c r="J8" s="4">
        <f>19.87*1000/F8</f>
        <v>451.59090909090907</v>
      </c>
      <c r="K8" s="770">
        <f>'EmCF Library'!Z129</f>
        <v>0.1</v>
      </c>
      <c r="L8" s="7">
        <f>(K8/F8)/((1-K8)/$B$24+K8/F8)</f>
        <v>6.816951784831872E-2</v>
      </c>
      <c r="M8" s="5">
        <f>gas_constant*standard_temperature*LN(L8/E8)/F8</f>
        <v>315.02615461896772</v>
      </c>
      <c r="N8" s="7">
        <f t="shared" si="1"/>
        <v>45.08375997017589</v>
      </c>
      <c r="O8" s="5">
        <f t="shared" si="2"/>
        <v>14202.563539169058</v>
      </c>
    </row>
    <row r="9" spans="2:17">
      <c r="B9" t="s">
        <v>893</v>
      </c>
      <c r="C9" s="1" t="s">
        <v>894</v>
      </c>
      <c r="D9" s="162">
        <v>1.8179999999999999E-5</v>
      </c>
      <c r="E9" s="61"/>
      <c r="F9" s="1"/>
      <c r="G9" s="1"/>
      <c r="H9" s="1"/>
      <c r="I9" s="1"/>
      <c r="J9" s="4"/>
      <c r="K9" s="771"/>
      <c r="L9" s="7"/>
      <c r="M9" s="5"/>
      <c r="N9" s="7" t="str">
        <f t="shared" si="1"/>
        <v/>
      </c>
      <c r="O9" s="5" t="str">
        <f t="shared" si="2"/>
        <v/>
      </c>
    </row>
    <row r="10" spans="2:17">
      <c r="B10" t="s">
        <v>895</v>
      </c>
      <c r="C10" s="1" t="s">
        <v>103</v>
      </c>
      <c r="D10" s="163">
        <v>5.2399999999999998E-6</v>
      </c>
      <c r="E10" s="61">
        <f t="shared" si="0"/>
        <v>3.8043344648159202E-5</v>
      </c>
      <c r="F10" s="7">
        <v>4</v>
      </c>
      <c r="G10" s="4">
        <v>1000000</v>
      </c>
      <c r="H10" s="5">
        <f>D10*$B$26*F10</f>
        <v>3617535381429064</v>
      </c>
      <c r="I10" s="5">
        <f>H10/G10</f>
        <v>3617535381.4290638</v>
      </c>
      <c r="J10" s="4">
        <f>30.37*1000/F10</f>
        <v>7592.5</v>
      </c>
      <c r="K10" s="770">
        <f>'EmCF Library'!Z214</f>
        <v>0.08</v>
      </c>
      <c r="L10" s="7">
        <f>(K10/F10)/((1-K10)/$B$24+K10/F10)</f>
        <v>0.3864212351607309</v>
      </c>
      <c r="M10" s="5">
        <f>gas_constant*standard_temperature*LN(L10/E10)/F10</f>
        <v>5717.3697170987025</v>
      </c>
      <c r="N10" s="7">
        <f t="shared" si="1"/>
        <v>2.6815167797389616</v>
      </c>
      <c r="O10" s="5">
        <f>IF(N10="","",IF(M10&lt;0,"",N10*M10))</f>
        <v>15331.22283237157</v>
      </c>
    </row>
    <row r="11" spans="2:17">
      <c r="B11" t="s">
        <v>39</v>
      </c>
      <c r="C11" s="1" t="s">
        <v>40</v>
      </c>
      <c r="D11" s="163">
        <v>1.7E-6</v>
      </c>
      <c r="E11" s="61">
        <f t="shared" si="0"/>
        <v>3.0856735627901966E-6</v>
      </c>
      <c r="F11" s="7">
        <v>16</v>
      </c>
      <c r="G11" s="4">
        <v>8</v>
      </c>
      <c r="H11" s="5">
        <f>D11*$B$26*F11</f>
        <v>4694511563686572</v>
      </c>
      <c r="I11" s="5">
        <f>H11/G11</f>
        <v>586813945460821.5</v>
      </c>
      <c r="J11" s="4">
        <f>J8</f>
        <v>451.59090909090907</v>
      </c>
      <c r="K11" s="770">
        <v>1</v>
      </c>
      <c r="L11" s="7">
        <f>(K11/F11)/((1-K11)/$B$24+K11/F11)</f>
        <v>1</v>
      </c>
      <c r="M11" s="5">
        <f>gas_constant*standard_temperature*LN(L11/E11)/F11</f>
        <v>1965.818283037227</v>
      </c>
      <c r="N11" s="7">
        <f t="shared" si="1"/>
        <v>45.08375997017589</v>
      </c>
      <c r="O11" s="5">
        <f t="shared" si="2"/>
        <v>88626.479617433637</v>
      </c>
    </row>
    <row r="12" spans="2:17">
      <c r="B12" t="s">
        <v>41</v>
      </c>
      <c r="C12" s="1" t="s">
        <v>42</v>
      </c>
      <c r="D12" s="146">
        <v>1.1400000000000001E-4</v>
      </c>
      <c r="E12" s="61">
        <f t="shared" si="0"/>
        <v>3.9511652435213801E-5</v>
      </c>
      <c r="F12" s="7">
        <v>83.798000000000002</v>
      </c>
      <c r="G12" s="1" t="s">
        <v>188</v>
      </c>
      <c r="H12" s="1"/>
      <c r="I12" s="1"/>
      <c r="J12" s="4">
        <f>34.36*1000/F12</f>
        <v>410.03365235447149</v>
      </c>
      <c r="K12" s="772">
        <f>'EmCF Library'!Z131</f>
        <v>0.1</v>
      </c>
      <c r="L12" s="7">
        <f>(K12/F12)/((1-K12)/$B$24+K12/F12)</f>
        <v>3.6991541871820535E-2</v>
      </c>
      <c r="M12" s="5">
        <f>gas_constant*standard_temperature*LN(L12/E12)/F12</f>
        <v>202.38795476564152</v>
      </c>
      <c r="N12" s="7">
        <f t="shared" si="1"/>
        <v>49.653037094056558</v>
      </c>
      <c r="O12" s="5">
        <f t="shared" si="2"/>
        <v>10049.17662536864</v>
      </c>
    </row>
    <row r="13" spans="2:17">
      <c r="B13" t="s">
        <v>896</v>
      </c>
      <c r="C13" s="1" t="s">
        <v>897</v>
      </c>
      <c r="D13" s="1"/>
      <c r="E13" s="61"/>
      <c r="F13" s="1"/>
      <c r="G13" s="1"/>
      <c r="H13" s="1"/>
      <c r="I13" s="1"/>
      <c r="J13" s="4"/>
      <c r="K13" s="771"/>
      <c r="L13" s="7"/>
      <c r="M13" s="5"/>
      <c r="N13" s="7" t="str">
        <f t="shared" si="1"/>
        <v/>
      </c>
      <c r="O13" s="5" t="str">
        <f t="shared" si="2"/>
        <v/>
      </c>
    </row>
    <row r="14" spans="2:17">
      <c r="B14" t="s">
        <v>898</v>
      </c>
      <c r="C14" s="1" t="s">
        <v>899</v>
      </c>
      <c r="D14" s="164">
        <v>5.5000000000000003E-7</v>
      </c>
      <c r="E14" s="61">
        <f t="shared" si="0"/>
        <v>7.9864008974319094E-6</v>
      </c>
      <c r="F14" s="1">
        <v>2</v>
      </c>
      <c r="G14" s="1">
        <v>6</v>
      </c>
      <c r="H14" s="5">
        <f>D14*$B$26*F14</f>
        <v>189851570590265.78</v>
      </c>
      <c r="I14" s="5">
        <f>H14/G14</f>
        <v>31641928431710.965</v>
      </c>
      <c r="J14" s="4"/>
      <c r="K14" s="770">
        <v>0.1</v>
      </c>
      <c r="L14" s="7">
        <f>(K14/F14)/((1-K14)/$B$24+K14/F14)</f>
        <v>0.61677666595699387</v>
      </c>
      <c r="M14" s="5">
        <f>gas_constant*standard_temperature*LN(L14/E14)/F14</f>
        <v>13948.962124696023</v>
      </c>
      <c r="N14" s="7" t="str">
        <f t="shared" si="1"/>
        <v/>
      </c>
      <c r="O14" s="5" t="str">
        <f>IF(N14="","",IF(M14&lt;0,"",N14*M14))</f>
        <v/>
      </c>
    </row>
    <row r="15" spans="2:17">
      <c r="B15" t="s">
        <v>900</v>
      </c>
      <c r="C15" s="1" t="s">
        <v>901</v>
      </c>
      <c r="D15" s="164">
        <v>3.3000000000000002E-7</v>
      </c>
      <c r="E15" s="61">
        <f t="shared" si="0"/>
        <v>2.1781257774451951E-7</v>
      </c>
      <c r="F15" s="1">
        <f>44</f>
        <v>44</v>
      </c>
      <c r="G15" s="1">
        <v>102.5</v>
      </c>
      <c r="H15" s="5">
        <f>D15*$B$26*F15</f>
        <v>2506040731791508.5</v>
      </c>
      <c r="I15" s="5">
        <f>H15/G15</f>
        <v>24449177871136.668</v>
      </c>
      <c r="J15" s="4"/>
      <c r="K15" s="770">
        <v>0.1</v>
      </c>
      <c r="L15" s="7">
        <f>(K15/F15)/((1-K15)/$B$24+K15/F15)</f>
        <v>6.816951784831872E-2</v>
      </c>
      <c r="M15" s="5">
        <f>gas_constant*standard_temperature*LN(L15/E15)/F15</f>
        <v>712.87869001348736</v>
      </c>
      <c r="N15" s="7" t="str">
        <f t="shared" si="1"/>
        <v/>
      </c>
      <c r="O15" s="5" t="str">
        <f t="shared" si="2"/>
        <v/>
      </c>
    </row>
    <row r="16" spans="2:17">
      <c r="B16" t="s">
        <v>902</v>
      </c>
      <c r="C16" s="1" t="s">
        <v>903</v>
      </c>
      <c r="D16" s="1">
        <f>0.000025/2</f>
        <v>1.2500000000000001E-5</v>
      </c>
      <c r="E16" s="61">
        <f t="shared" si="0"/>
        <v>1.2965026905876112E-5</v>
      </c>
      <c r="F16" s="1">
        <v>28</v>
      </c>
      <c r="G16" s="7">
        <f>130/365.25</f>
        <v>0.35592060232717315</v>
      </c>
      <c r="H16" s="5">
        <f>D16*$B$26*F16</f>
        <v>6.0407317915084568E+16</v>
      </c>
      <c r="I16" s="5">
        <f>H16/G16</f>
        <v>1.6972132975757414E+17</v>
      </c>
      <c r="J16" s="7"/>
      <c r="K16" s="770">
        <v>0.1</v>
      </c>
      <c r="L16" s="7">
        <f>(K16/F16)/((1-K16)/$B$24+K16/F16)</f>
        <v>0.1031070932839805</v>
      </c>
      <c r="M16" s="5">
        <f>gas_constant*standard_temperature*LN(L16/E16)/F16</f>
        <v>795.10494981171905</v>
      </c>
      <c r="N16" s="7" t="str">
        <f t="shared" si="1"/>
        <v/>
      </c>
      <c r="O16" s="5" t="str">
        <f t="shared" si="2"/>
        <v/>
      </c>
    </row>
    <row r="17" spans="2:15">
      <c r="B17" t="s">
        <v>47</v>
      </c>
      <c r="C17" s="1" t="s">
        <v>48</v>
      </c>
      <c r="D17" s="165">
        <f>0.0000087%</f>
        <v>8.6999999999999998E-8</v>
      </c>
      <c r="E17" s="61">
        <f t="shared" si="0"/>
        <v>1.9244177447193146E-8</v>
      </c>
      <c r="F17" s="1">
        <v>131.29300000000001</v>
      </c>
      <c r="G17" s="7" t="s">
        <v>188</v>
      </c>
      <c r="H17" s="5"/>
      <c r="I17" s="5"/>
      <c r="J17" s="7">
        <f>40.33*1000/F17</f>
        <v>307.17555391376538</v>
      </c>
      <c r="K17" s="770">
        <f>'EmCF Library'!Z134</f>
        <v>0.1</v>
      </c>
      <c r="L17" s="7">
        <f>(K17/F17)/((1-K17)/$B$24+K17/F17)</f>
        <v>2.3930144134306174E-2</v>
      </c>
      <c r="M17" s="5">
        <f>gas_constant*standard_temperature*LN(L17/E17)/F17</f>
        <v>264.95214091111256</v>
      </c>
      <c r="N17" s="7">
        <f t="shared" si="1"/>
        <v>66.279415437739047</v>
      </c>
      <c r="O17" s="5">
        <f t="shared" si="2"/>
        <v>17560.873018566006</v>
      </c>
    </row>
    <row r="18" spans="2:15">
      <c r="D18" s="57"/>
      <c r="E18" s="68"/>
      <c r="G18" s="15"/>
      <c r="H18" s="3"/>
      <c r="I18" s="3"/>
      <c r="J18" s="15"/>
      <c r="K18" s="6"/>
      <c r="L18" s="15"/>
      <c r="M18" s="3"/>
      <c r="N18" s="15"/>
      <c r="O18" s="3"/>
    </row>
    <row r="19" spans="2:15">
      <c r="B19" s="123" t="s">
        <v>1125</v>
      </c>
      <c r="C19" s="123"/>
      <c r="D19" s="166">
        <f>SUM(D4:D16)</f>
        <v>1.0043498666666668</v>
      </c>
      <c r="E19" s="166"/>
      <c r="F19" s="125">
        <f>SUMPRODUCT(F4:F17,D4:D17)</f>
        <v>29.041673774491006</v>
      </c>
      <c r="G19" s="62">
        <f>SUMPRODUCT(G4:G16,D4:D16)</f>
        <v>18741107.977146123</v>
      </c>
      <c r="H19" s="123"/>
      <c r="I19" s="62">
        <f>SUM(I4:I16)</f>
        <v>5.8940786471919242E+20</v>
      </c>
      <c r="J19" s="62"/>
      <c r="K19" s="844" t="s">
        <v>1324</v>
      </c>
      <c r="L19" s="844"/>
      <c r="M19" s="844"/>
      <c r="N19" s="844"/>
      <c r="O19" s="167">
        <f>GEB/I19</f>
        <v>20359.416150168065</v>
      </c>
    </row>
    <row r="20" spans="2:15">
      <c r="B20" t="s">
        <v>1889</v>
      </c>
      <c r="L20" s="3"/>
    </row>
    <row r="21" spans="2:15">
      <c r="B21" t="s">
        <v>1887</v>
      </c>
      <c r="I21" s="3"/>
      <c r="J21" s="1"/>
      <c r="K21" s="1"/>
      <c r="L21" s="3"/>
    </row>
    <row r="22" spans="2:15">
      <c r="B22" s="9" t="s">
        <v>1892</v>
      </c>
      <c r="C22" s="9"/>
      <c r="D22" s="9"/>
      <c r="I22" s="3"/>
      <c r="J22" s="1"/>
      <c r="K22" s="845"/>
      <c r="L22" s="3"/>
    </row>
    <row r="23" spans="2:15">
      <c r="K23" s="845"/>
    </row>
    <row r="24" spans="2:15">
      <c r="B24">
        <f>28.97</f>
        <v>28.97</v>
      </c>
      <c r="C24" t="s">
        <v>504</v>
      </c>
      <c r="K24" s="845"/>
    </row>
    <row r="25" spans="2:15" hidden="1">
      <c r="B25" s="119">
        <f>5E+21</f>
        <v>5E+21</v>
      </c>
      <c r="C25" t="s">
        <v>502</v>
      </c>
      <c r="K25" s="845"/>
    </row>
    <row r="26" spans="2:15" hidden="1">
      <c r="B26" s="119">
        <f>B25/B24</f>
        <v>1.7259233690024162E+20</v>
      </c>
      <c r="C26" t="s">
        <v>505</v>
      </c>
      <c r="K26" s="845"/>
    </row>
    <row r="27" spans="2:15" ht="27" customHeight="1">
      <c r="K27" s="845"/>
    </row>
    <row r="28" spans="2:15" ht="15" customHeight="1">
      <c r="K28" s="845"/>
    </row>
    <row r="30" spans="2:15">
      <c r="B30" s="3"/>
    </row>
    <row r="32" spans="2:15">
      <c r="B32" s="3"/>
    </row>
    <row r="33" spans="2:2">
      <c r="B33" s="3"/>
    </row>
    <row r="36" spans="2:2">
      <c r="B36" s="3"/>
    </row>
  </sheetData>
  <mergeCells count="2">
    <mergeCell ref="K19:N19"/>
    <mergeCell ref="K22:K28"/>
  </mergeCells>
  <pageMargins left="0.7" right="0.7" top="0.75" bottom="0.75" header="0.3" footer="0.3"/>
  <pageSetup orientation="portrait" horizontalDpi="4294967292" verticalDpi="4294967292"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7">
    <tabColor theme="6" tint="0.39997558519241921"/>
  </sheetPr>
  <dimension ref="B1:S114"/>
  <sheetViews>
    <sheetView topLeftCell="B38" zoomScale="80" zoomScaleNormal="80" workbookViewId="0">
      <selection activeCell="I100" sqref="I100"/>
    </sheetView>
  </sheetViews>
  <sheetFormatPr defaultColWidth="8.81640625" defaultRowHeight="14.5"/>
  <cols>
    <col min="2" max="2" width="4.453125" customWidth="1"/>
    <col min="3" max="3" width="45.453125" customWidth="1"/>
    <col min="4" max="4" width="11.1796875" bestFit="1" customWidth="1"/>
    <col min="5" max="5" width="13" customWidth="1"/>
    <col min="6" max="6" width="12.453125" customWidth="1"/>
    <col min="7" max="7" width="10" bestFit="1" customWidth="1"/>
    <col min="8" max="10" width="9.36328125" bestFit="1" customWidth="1"/>
    <col min="11" max="13" width="10.453125" bestFit="1" customWidth="1"/>
    <col min="14" max="14" width="11" bestFit="1" customWidth="1"/>
    <col min="15" max="15" width="12.1796875" bestFit="1" customWidth="1"/>
    <col min="16" max="16" width="10.453125" customWidth="1"/>
    <col min="17" max="17" width="11.81640625" customWidth="1"/>
  </cols>
  <sheetData>
    <row r="1" spans="2:15" ht="15" thickBot="1">
      <c r="B1" s="10"/>
      <c r="C1" s="10"/>
      <c r="D1" s="10"/>
      <c r="E1" s="10"/>
      <c r="F1" s="10"/>
      <c r="G1" s="10"/>
      <c r="H1" s="10"/>
      <c r="I1" s="10"/>
      <c r="J1" s="10"/>
      <c r="K1" s="10"/>
      <c r="L1" s="10"/>
      <c r="M1" s="10"/>
      <c r="N1" s="10"/>
      <c r="O1" s="10"/>
    </row>
    <row r="2" spans="2:15" ht="15.5">
      <c r="B2" s="10"/>
      <c r="C2" s="848" t="s">
        <v>1614</v>
      </c>
      <c r="D2" s="849"/>
      <c r="E2" s="850"/>
      <c r="F2" s="10"/>
      <c r="G2" s="10"/>
      <c r="H2" s="10"/>
      <c r="I2" s="10"/>
      <c r="J2" s="10"/>
      <c r="K2" s="10"/>
      <c r="L2" s="10"/>
      <c r="M2" s="10"/>
      <c r="N2" s="10"/>
      <c r="O2" s="10"/>
    </row>
    <row r="3" spans="2:15">
      <c r="B3" s="10"/>
      <c r="C3" s="359" t="s">
        <v>1615</v>
      </c>
      <c r="D3" s="10">
        <v>1</v>
      </c>
      <c r="E3" s="360" t="s">
        <v>1616</v>
      </c>
      <c r="G3" s="10"/>
      <c r="H3" s="10"/>
      <c r="I3" s="10"/>
      <c r="J3" s="10"/>
      <c r="K3" s="10"/>
      <c r="L3" s="10"/>
      <c r="M3" s="10"/>
      <c r="N3" s="10"/>
      <c r="O3" s="10"/>
    </row>
    <row r="4" spans="2:15">
      <c r="B4" s="10"/>
      <c r="C4" s="359" t="s">
        <v>1617</v>
      </c>
      <c r="D4" s="10">
        <f>deepheat_tr</f>
        <v>4900</v>
      </c>
      <c r="E4" s="360" t="s">
        <v>1616</v>
      </c>
      <c r="G4" s="10"/>
      <c r="H4" s="10"/>
      <c r="I4" s="10"/>
      <c r="J4" s="10"/>
      <c r="K4" s="10"/>
      <c r="L4" s="10"/>
      <c r="M4" s="10"/>
      <c r="N4" s="10"/>
      <c r="O4" s="10"/>
    </row>
    <row r="5" spans="2:15">
      <c r="B5" s="10"/>
      <c r="C5" s="359" t="s">
        <v>11</v>
      </c>
      <c r="D5" s="10">
        <f>tide_tr</f>
        <v>30900</v>
      </c>
      <c r="E5" s="360" t="s">
        <v>1616</v>
      </c>
      <c r="G5" s="10"/>
      <c r="H5" s="10"/>
      <c r="I5" s="10"/>
      <c r="J5" s="10"/>
      <c r="K5" s="10"/>
      <c r="L5" s="10"/>
      <c r="M5" s="10"/>
      <c r="N5" s="10"/>
      <c r="O5" s="10"/>
    </row>
    <row r="6" spans="2:15">
      <c r="B6" s="10"/>
      <c r="C6" s="359" t="s">
        <v>9</v>
      </c>
      <c r="D6" s="10">
        <f>wind_tr</f>
        <v>519.99999999996226</v>
      </c>
      <c r="E6" s="360" t="s">
        <v>1</v>
      </c>
      <c r="G6" s="10"/>
      <c r="H6" s="10"/>
      <c r="I6" s="10"/>
      <c r="J6" s="10"/>
      <c r="K6" s="10"/>
      <c r="L6" s="10"/>
      <c r="M6" s="10"/>
      <c r="N6" s="10"/>
      <c r="O6" s="10"/>
    </row>
    <row r="7" spans="2:15">
      <c r="B7" s="10"/>
      <c r="C7" s="359" t="s">
        <v>1618</v>
      </c>
      <c r="D7" s="742">
        <v>22600</v>
      </c>
      <c r="E7" s="360" t="s">
        <v>1</v>
      </c>
      <c r="G7" s="10"/>
      <c r="H7" s="10"/>
      <c r="I7" s="10"/>
      <c r="J7" s="10"/>
      <c r="K7" s="10"/>
      <c r="L7" s="10"/>
      <c r="M7" s="10"/>
      <c r="N7" s="10"/>
      <c r="O7" s="10"/>
    </row>
    <row r="8" spans="2:15">
      <c r="B8" s="10"/>
      <c r="C8" s="359" t="s">
        <v>1619</v>
      </c>
      <c r="D8" s="742">
        <v>0</v>
      </c>
      <c r="E8" s="360" t="s">
        <v>1</v>
      </c>
      <c r="G8" s="10"/>
      <c r="H8" s="10"/>
      <c r="I8" s="10"/>
      <c r="J8" s="10"/>
      <c r="K8" s="10"/>
      <c r="L8" s="10"/>
      <c r="M8" s="10"/>
      <c r="N8" s="10"/>
      <c r="O8" s="10"/>
    </row>
    <row r="9" spans="2:15">
      <c r="B9" s="10"/>
      <c r="C9" s="359" t="s">
        <v>1620</v>
      </c>
      <c r="D9" s="10">
        <f>runoff_chem_tr</f>
        <v>68300</v>
      </c>
      <c r="E9" s="360" t="s">
        <v>1</v>
      </c>
      <c r="G9" s="10"/>
      <c r="H9" s="10"/>
      <c r="I9" s="10"/>
      <c r="J9" s="10"/>
      <c r="K9" s="10"/>
      <c r="L9" s="10"/>
      <c r="M9" s="10"/>
      <c r="N9" s="10"/>
      <c r="O9" s="10"/>
    </row>
    <row r="10" spans="2:15" ht="15" thickBot="1">
      <c r="B10" s="10"/>
      <c r="C10" s="361" t="s">
        <v>1621</v>
      </c>
      <c r="D10" s="362">
        <f>runoff_geop_tr</f>
        <v>41180</v>
      </c>
      <c r="E10" s="363" t="s">
        <v>1</v>
      </c>
      <c r="G10" s="10"/>
      <c r="H10" s="10"/>
      <c r="I10" s="10"/>
      <c r="J10" s="10"/>
      <c r="K10" s="10"/>
      <c r="L10" s="10"/>
      <c r="M10" s="10"/>
      <c r="N10" s="10"/>
      <c r="O10" s="10"/>
    </row>
    <row r="11" spans="2:15">
      <c r="B11" s="10"/>
      <c r="C11" s="10"/>
      <c r="D11" s="10"/>
      <c r="E11" s="10"/>
      <c r="F11" s="10"/>
      <c r="G11" s="10"/>
      <c r="H11" s="10"/>
      <c r="I11" s="10"/>
      <c r="J11" s="10"/>
      <c r="K11" s="10"/>
      <c r="L11" s="10"/>
      <c r="M11" s="10"/>
      <c r="N11" s="10"/>
    </row>
    <row r="12" spans="2:15" ht="18" thickBot="1">
      <c r="B12" s="724" t="s">
        <v>1622</v>
      </c>
      <c r="C12" s="724"/>
      <c r="D12" s="460"/>
      <c r="E12" s="460"/>
      <c r="F12" s="460"/>
      <c r="G12" s="460"/>
      <c r="H12" s="460"/>
      <c r="I12" s="460"/>
      <c r="J12" s="460"/>
      <c r="K12" s="10"/>
      <c r="L12" s="10"/>
      <c r="M12" s="10"/>
    </row>
    <row r="13" spans="2:15" ht="28">
      <c r="B13" s="10"/>
      <c r="C13" s="851" t="s">
        <v>1623</v>
      </c>
      <c r="D13" s="457" t="s">
        <v>1615</v>
      </c>
      <c r="E13" s="457" t="s">
        <v>1617</v>
      </c>
      <c r="F13" s="457" t="s">
        <v>1624</v>
      </c>
      <c r="G13" s="457" t="s">
        <v>9</v>
      </c>
      <c r="H13" s="457" t="s">
        <v>1625</v>
      </c>
      <c r="I13" s="457" t="s">
        <v>1163</v>
      </c>
      <c r="J13" s="457" t="s">
        <v>1162</v>
      </c>
      <c r="K13" s="364"/>
      <c r="L13" s="364"/>
      <c r="M13" s="10"/>
    </row>
    <row r="14" spans="2:15">
      <c r="B14" s="120"/>
      <c r="C14" s="852"/>
      <c r="D14" s="459" t="s">
        <v>13</v>
      </c>
      <c r="E14" s="459"/>
      <c r="F14" s="459"/>
      <c r="G14" s="459"/>
      <c r="H14" s="459"/>
      <c r="I14" s="459"/>
      <c r="J14" s="459"/>
      <c r="K14" s="364"/>
      <c r="L14" s="364"/>
      <c r="M14" s="10"/>
    </row>
    <row r="15" spans="2:15">
      <c r="B15" s="846" t="s">
        <v>1626</v>
      </c>
      <c r="C15" s="846"/>
      <c r="D15" s="364"/>
      <c r="E15" s="364"/>
      <c r="F15" s="364"/>
      <c r="G15" s="364"/>
      <c r="H15" s="364"/>
      <c r="I15" s="364"/>
      <c r="J15" s="364"/>
      <c r="K15" s="364"/>
      <c r="L15" s="364"/>
      <c r="M15" s="10"/>
    </row>
    <row r="16" spans="2:15">
      <c r="B16" s="10"/>
      <c r="C16" s="10" t="s">
        <v>1627</v>
      </c>
      <c r="D16" s="335">
        <v>1.4782673543656589E+23</v>
      </c>
      <c r="E16" s="335">
        <v>2.6800923648641552E+19</v>
      </c>
      <c r="F16" s="335">
        <v>5.6491599571329069E+17</v>
      </c>
      <c r="G16" s="335">
        <v>1.1530791773028703E+21</v>
      </c>
      <c r="H16" s="335">
        <v>1.9312841820763328E+20</v>
      </c>
      <c r="I16" s="335">
        <v>3.4513535891943716E+18</v>
      </c>
      <c r="J16" s="335">
        <v>1.3405304050010595E+19</v>
      </c>
      <c r="K16" s="10"/>
      <c r="L16" s="10"/>
      <c r="M16" s="10"/>
    </row>
    <row r="17" spans="2:13">
      <c r="B17" s="10"/>
      <c r="C17" s="10" t="s">
        <v>1628</v>
      </c>
      <c r="D17" s="335">
        <v>2.4608951472273171E+22</v>
      </c>
      <c r="E17" s="335">
        <v>4.5115689000194703E+18</v>
      </c>
      <c r="F17" s="335">
        <v>5.6405070460350328E+16</v>
      </c>
      <c r="G17" s="335">
        <v>2.5159309045056655E+20</v>
      </c>
      <c r="H17" s="335">
        <v>1.7054696161850518E+19</v>
      </c>
      <c r="I17" s="335">
        <v>1.0647769891815648E+16</v>
      </c>
      <c r="J17" s="335">
        <v>1.9197153059386621E+17</v>
      </c>
      <c r="K17" s="10"/>
      <c r="L17" s="10"/>
      <c r="M17" s="10"/>
    </row>
    <row r="18" spans="2:13">
      <c r="B18" s="10"/>
      <c r="C18" s="10" t="s">
        <v>1629</v>
      </c>
      <c r="D18" s="335">
        <v>6.2473860615909912E+21</v>
      </c>
      <c r="E18" s="335">
        <v>1.2527322884605514E+18</v>
      </c>
      <c r="F18" s="335">
        <v>1011945936980473.6</v>
      </c>
      <c r="G18" s="335">
        <v>7.2038291307494883E+19</v>
      </c>
      <c r="H18" s="335">
        <v>3.8646056023915843E+18</v>
      </c>
      <c r="I18" s="335">
        <v>171043827986132.34</v>
      </c>
      <c r="J18" s="335">
        <v>256166551393683.28</v>
      </c>
      <c r="K18" s="10"/>
      <c r="L18" s="10"/>
      <c r="M18" s="10"/>
    </row>
    <row r="19" spans="2:13">
      <c r="B19" s="10"/>
      <c r="C19" s="10" t="s">
        <v>1630</v>
      </c>
      <c r="D19" s="335">
        <v>7.3747137944584773E+22</v>
      </c>
      <c r="E19" s="335">
        <v>1.6047393157688254E+19</v>
      </c>
      <c r="F19" s="335">
        <v>8.9587104403700416E+17</v>
      </c>
      <c r="G19" s="335">
        <v>1.2376413926112402E+21</v>
      </c>
      <c r="H19" s="335">
        <v>5.4153114957562397E+19</v>
      </c>
      <c r="I19" s="335">
        <v>4.0700444828325184E+17</v>
      </c>
      <c r="J19" s="335">
        <v>9.4352217860447181E+17</v>
      </c>
      <c r="K19" s="10"/>
      <c r="L19" s="10"/>
      <c r="M19" s="10"/>
    </row>
    <row r="20" spans="2:13">
      <c r="B20" s="10"/>
      <c r="C20" s="10" t="s">
        <v>1631</v>
      </c>
      <c r="D20" s="335">
        <v>2.5463766206332721E+22</v>
      </c>
      <c r="E20" s="335">
        <v>6.7191102888732826E+18</v>
      </c>
      <c r="F20" s="335">
        <v>6.198092919356276E+16</v>
      </c>
      <c r="G20" s="335">
        <v>3.4190809231792616E+20</v>
      </c>
      <c r="H20" s="335">
        <v>1.6868951795612908E+19</v>
      </c>
      <c r="I20" s="335">
        <v>2.102475450929314E+16</v>
      </c>
      <c r="J20" s="335">
        <v>5.7055399699664176E+16</v>
      </c>
      <c r="K20" s="10"/>
      <c r="L20" s="10"/>
      <c r="M20" s="10"/>
    </row>
    <row r="21" spans="2:13">
      <c r="B21" s="10"/>
      <c r="C21" s="10" t="s">
        <v>1632</v>
      </c>
      <c r="D21" s="335">
        <v>6.7934432244760721E+22</v>
      </c>
      <c r="E21" s="335">
        <v>1.7404129974910343E+19</v>
      </c>
      <c r="F21" s="335">
        <v>2.189711641968871E+17</v>
      </c>
      <c r="G21" s="335">
        <v>1.0317466763947248E+21</v>
      </c>
      <c r="H21" s="335">
        <v>3.7634352442821304E+19</v>
      </c>
      <c r="I21" s="335">
        <v>6.4413899506407514E+17</v>
      </c>
      <c r="J21" s="335">
        <v>1.9293410482216141E+18</v>
      </c>
      <c r="K21" s="10"/>
      <c r="L21" s="10"/>
      <c r="M21" s="10"/>
    </row>
    <row r="22" spans="2:13">
      <c r="B22" s="10"/>
      <c r="C22" s="10" t="s">
        <v>1633</v>
      </c>
      <c r="D22" s="335">
        <v>1.7845066045472696E+23</v>
      </c>
      <c r="E22" s="335">
        <v>2.6120647176444236E+19</v>
      </c>
      <c r="F22" s="335">
        <v>2.569703074204136E+17</v>
      </c>
      <c r="G22" s="335">
        <v>1.7424040293794951E+21</v>
      </c>
      <c r="H22" s="335">
        <v>9.0314374864503341E+19</v>
      </c>
      <c r="I22" s="335">
        <v>1.862711993939241E+18</v>
      </c>
      <c r="J22" s="335">
        <v>4.403458203382142E+18</v>
      </c>
      <c r="K22" s="10"/>
      <c r="L22" s="10"/>
      <c r="M22" s="10"/>
    </row>
    <row r="23" spans="2:13">
      <c r="B23" s="10"/>
      <c r="C23" s="10" t="s">
        <v>1634</v>
      </c>
      <c r="D23" s="335">
        <v>6.4759888033148557E+22</v>
      </c>
      <c r="E23" s="335">
        <v>1.2702132204163852E+19</v>
      </c>
      <c r="F23" s="335">
        <v>1.386647814690008E+17</v>
      </c>
      <c r="G23" s="335">
        <v>6.7437481816475972E+20</v>
      </c>
      <c r="H23" s="335">
        <v>2.2164467110457897E+19</v>
      </c>
      <c r="I23" s="335">
        <v>1.5090908175976115E+17</v>
      </c>
      <c r="J23" s="335">
        <v>6.2177339227813908E+18</v>
      </c>
      <c r="K23" s="10"/>
      <c r="L23" s="10"/>
      <c r="M23" s="10"/>
    </row>
    <row r="24" spans="2:13">
      <c r="B24" s="10"/>
      <c r="C24" s="10" t="s">
        <v>1635</v>
      </c>
      <c r="D24" s="335">
        <v>8.1112683843837556E+21</v>
      </c>
      <c r="E24" s="335">
        <v>1.3298785862495181E+18</v>
      </c>
      <c r="F24" s="335">
        <v>9292776622498198</v>
      </c>
      <c r="G24" s="335">
        <v>1.0507960738484722E+20</v>
      </c>
      <c r="H24" s="335">
        <v>3.7887609113603005E+18</v>
      </c>
      <c r="I24" s="335">
        <v>1.2814102793249478E+17</v>
      </c>
      <c r="J24" s="335">
        <v>1.919186165662151E+17</v>
      </c>
      <c r="K24" s="10"/>
      <c r="L24" s="10"/>
      <c r="M24" s="10"/>
    </row>
    <row r="25" spans="2:13">
      <c r="B25" s="10"/>
      <c r="C25" s="10" t="s">
        <v>1636</v>
      </c>
      <c r="D25" s="335">
        <v>4.2803983264145855E+22</v>
      </c>
      <c r="E25" s="335">
        <v>7.6987659680199158E+18</v>
      </c>
      <c r="F25" s="335">
        <v>133574109908195.88</v>
      </c>
      <c r="G25" s="335">
        <v>4.4986098240312515E+20</v>
      </c>
      <c r="H25" s="335">
        <v>1.1980980825067575E+19</v>
      </c>
      <c r="I25" s="335">
        <v>8035986214891527</v>
      </c>
      <c r="J25" s="335">
        <v>3.2113278716648941E+17</v>
      </c>
      <c r="K25" s="10"/>
      <c r="L25" s="10"/>
      <c r="M25" s="10"/>
    </row>
    <row r="26" spans="2:13">
      <c r="B26" s="10"/>
      <c r="C26" s="10" t="s">
        <v>2</v>
      </c>
      <c r="D26" s="335">
        <v>4.569902026431892E+22</v>
      </c>
      <c r="E26" s="335">
        <v>1.678088099172478E+19</v>
      </c>
      <c r="F26" s="335">
        <v>1.1398330598212756E+18</v>
      </c>
      <c r="G26" s="335">
        <v>1.4080549757305731E+21</v>
      </c>
      <c r="H26" s="335">
        <v>1.9265380345608622E+19</v>
      </c>
      <c r="I26" s="335">
        <v>8.4762202444189504E+16</v>
      </c>
      <c r="J26" s="335">
        <v>4.0182550079592915E+17</v>
      </c>
      <c r="K26" s="10"/>
      <c r="L26" s="10"/>
      <c r="M26" s="10"/>
    </row>
    <row r="27" spans="2:13">
      <c r="B27" s="10"/>
      <c r="C27" s="10" t="s">
        <v>1637</v>
      </c>
      <c r="D27" s="335">
        <v>2.4737186773322961E+22</v>
      </c>
      <c r="E27" s="335">
        <v>5.2495898169369539E+18</v>
      </c>
      <c r="F27" s="335">
        <v>6814175223005481</v>
      </c>
      <c r="G27" s="335">
        <v>2.5114421546524272E+20</v>
      </c>
      <c r="H27" s="335">
        <v>7.5399387090129818E+18</v>
      </c>
      <c r="I27" s="335">
        <v>4351813769541329.5</v>
      </c>
      <c r="J27" s="335">
        <v>1.8760588516913098E+17</v>
      </c>
      <c r="K27" s="10"/>
      <c r="L27" s="10"/>
      <c r="M27" s="10"/>
    </row>
    <row r="28" spans="2:13">
      <c r="B28" s="10"/>
      <c r="C28" s="10" t="s">
        <v>1638</v>
      </c>
      <c r="D28" s="335">
        <v>2.41511109090096E+23</v>
      </c>
      <c r="E28" s="335">
        <v>4.0579789416545722E+19</v>
      </c>
      <c r="F28" s="335">
        <v>1.586215627351417E+17</v>
      </c>
      <c r="G28" s="335">
        <v>1.7015487534123642E+21</v>
      </c>
      <c r="H28" s="335">
        <v>2.4522043639609704E+19</v>
      </c>
      <c r="I28" s="335">
        <v>5.1701466166646362E+17</v>
      </c>
      <c r="J28" s="335">
        <v>8.7863928823976691E+17</v>
      </c>
      <c r="K28" s="10"/>
      <c r="L28" s="10"/>
      <c r="M28" s="10"/>
    </row>
    <row r="29" spans="2:13">
      <c r="B29" s="10"/>
      <c r="C29" s="10" t="s">
        <v>1639</v>
      </c>
      <c r="D29" s="335">
        <v>2.4276282142624396E+21</v>
      </c>
      <c r="E29" s="335">
        <v>4.7683722130881856E+17</v>
      </c>
      <c r="F29" s="335">
        <v>1.6344327673374774E+17</v>
      </c>
      <c r="G29" s="335">
        <v>2.2451278826659586E+19</v>
      </c>
      <c r="H29" s="335">
        <v>2.668935610233898E+18</v>
      </c>
      <c r="I29" s="335">
        <v>574355479129511.63</v>
      </c>
      <c r="J29" s="335">
        <v>2.0860040052056197E+18</v>
      </c>
      <c r="K29" s="10"/>
      <c r="L29" s="10"/>
      <c r="M29" s="10"/>
    </row>
    <row r="30" spans="2:13">
      <c r="B30" s="10"/>
      <c r="C30" s="10" t="s">
        <v>1640</v>
      </c>
      <c r="D30" s="335">
        <v>2.3198808175584886E+22</v>
      </c>
      <c r="E30" s="335">
        <v>4.1670676017733985E+18</v>
      </c>
      <c r="F30" s="335">
        <v>4695398047304550</v>
      </c>
      <c r="G30" s="335">
        <v>1.9340651002092578E+20</v>
      </c>
      <c r="H30" s="335">
        <v>1.3350849270687177E+19</v>
      </c>
      <c r="I30" s="335">
        <v>5.7585059442776259E+18</v>
      </c>
      <c r="J30" s="335">
        <v>8.7732638264173036E+19</v>
      </c>
      <c r="K30" s="10"/>
      <c r="L30" s="10"/>
      <c r="M30" s="10"/>
    </row>
    <row r="31" spans="2:13">
      <c r="B31" s="10"/>
      <c r="C31" s="10" t="s">
        <v>1641</v>
      </c>
      <c r="D31" s="335">
        <v>6.5517595930684807E+21</v>
      </c>
      <c r="E31" s="335">
        <v>1.160026457473258E+18</v>
      </c>
      <c r="F31" s="335">
        <v>0</v>
      </c>
      <c r="G31" s="335">
        <v>1.4662673287881322E+19</v>
      </c>
      <c r="H31" s="335">
        <v>2.9084773952041979E+18</v>
      </c>
      <c r="I31" s="335">
        <v>7.9219580816466336E+16</v>
      </c>
      <c r="J31" s="335">
        <v>1.1866328143274374E+17</v>
      </c>
      <c r="K31" s="10"/>
      <c r="L31" s="10"/>
      <c r="M31" s="10"/>
    </row>
    <row r="32" spans="2:13">
      <c r="B32" s="120"/>
      <c r="C32" s="120" t="s">
        <v>1642</v>
      </c>
      <c r="D32" s="365">
        <v>5.6878357333613358E+22</v>
      </c>
      <c r="E32" s="365">
        <v>1.6974099831716626E+19</v>
      </c>
      <c r="F32" s="365">
        <v>5.3440816907520112E+16</v>
      </c>
      <c r="G32" s="365">
        <v>1.8749033545427135E+21</v>
      </c>
      <c r="H32" s="365">
        <v>1.1005701985123066E+19</v>
      </c>
      <c r="I32" s="365">
        <v>4235904603695308</v>
      </c>
      <c r="J32" s="365">
        <v>6343970940882029</v>
      </c>
      <c r="K32" s="10"/>
      <c r="L32" s="10"/>
      <c r="M32" s="10"/>
    </row>
    <row r="33" spans="2:17">
      <c r="B33" s="10"/>
      <c r="C33" s="357" t="s">
        <v>1643</v>
      </c>
      <c r="D33" s="335">
        <f>SUM(D16:D32)</f>
        <v>1.0409580789467806E+24</v>
      </c>
      <c r="E33" s="335">
        <f t="shared" ref="E33:J33" si="0">SUM(E16:E32)</f>
        <v>2.0597557353095057E+20</v>
      </c>
      <c r="F33" s="335">
        <f t="shared" si="0"/>
        <v>3.7310658786278922E+18</v>
      </c>
      <c r="G33" s="335">
        <f t="shared" si="0"/>
        <v>1.2525897919003407E+22</v>
      </c>
      <c r="H33" s="335">
        <f t="shared" si="0"/>
        <v>5.3221404983474074E+20</v>
      </c>
      <c r="I33" s="335">
        <f t="shared" si="0"/>
        <v>1.3132803153674293E+19</v>
      </c>
      <c r="J33" s="335">
        <f t="shared" si="0"/>
        <v>1.1907341409953494E+20</v>
      </c>
      <c r="K33" s="10"/>
      <c r="L33" s="10"/>
      <c r="M33" s="10"/>
    </row>
    <row r="34" spans="2:17">
      <c r="B34" s="847" t="s">
        <v>1644</v>
      </c>
      <c r="C34" s="847"/>
      <c r="D34" s="335"/>
      <c r="E34" s="335"/>
      <c r="F34" s="335"/>
      <c r="G34" s="335"/>
      <c r="H34" s="335"/>
      <c r="I34" s="335"/>
      <c r="J34" s="335"/>
      <c r="K34" s="10"/>
      <c r="L34" s="10"/>
      <c r="M34" s="10"/>
    </row>
    <row r="35" spans="2:17">
      <c r="B35" s="10"/>
      <c r="C35" s="10" t="s">
        <v>1645</v>
      </c>
      <c r="D35" s="335">
        <v>2.2378435876378897E+21</v>
      </c>
      <c r="E35" s="335">
        <v>5.1455077688829414E+17</v>
      </c>
      <c r="F35" s="335">
        <v>1.7870763602028531E+17</v>
      </c>
      <c r="G35" s="335">
        <v>2.1293610731615461E+19</v>
      </c>
      <c r="H35" s="335">
        <v>1.7496681956337106E+18</v>
      </c>
      <c r="I35" s="335">
        <v>1.6790659206347663E+20</v>
      </c>
      <c r="J35" s="335">
        <v>1.6776617415202013E+20</v>
      </c>
      <c r="K35" s="10"/>
      <c r="L35" s="10"/>
      <c r="M35" s="10"/>
    </row>
    <row r="36" spans="2:17" ht="15" thickBot="1">
      <c r="B36" s="726"/>
      <c r="C36" s="726" t="s">
        <v>1646</v>
      </c>
      <c r="D36" s="366">
        <v>2.686803910370812E+24</v>
      </c>
      <c r="E36" s="366">
        <v>7.4550987569348241E+20</v>
      </c>
      <c r="F36" s="366">
        <v>1.1244931547853105E+20</v>
      </c>
      <c r="G36" s="366">
        <v>1.0529731547189729E+22</v>
      </c>
      <c r="H36" s="366">
        <v>1.95E+21</v>
      </c>
      <c r="I36" s="366">
        <v>9.5574379242945696E+16</v>
      </c>
      <c r="J36" s="366">
        <v>1.4580322092443148E+19</v>
      </c>
      <c r="K36" s="10"/>
      <c r="L36" s="10"/>
      <c r="M36" s="10"/>
    </row>
    <row r="37" spans="2:17" ht="15.5" thickTop="1" thickBot="1">
      <c r="B37" s="362"/>
      <c r="C37" s="367" t="s">
        <v>14</v>
      </c>
      <c r="D37" s="368">
        <f t="shared" ref="D37:J37" si="1">D33+D35+D36</f>
        <v>3.7299998329052306E+24</v>
      </c>
      <c r="E37" s="368">
        <f t="shared" si="1"/>
        <v>9.5200000000132121E+20</v>
      </c>
      <c r="F37" s="368">
        <f t="shared" si="1"/>
        <v>1.1635908899317922E+20</v>
      </c>
      <c r="G37" s="368">
        <f t="shared" si="1"/>
        <v>2.3076923076924752E+22</v>
      </c>
      <c r="H37" s="368">
        <f t="shared" si="1"/>
        <v>2.4839637180303745E+21</v>
      </c>
      <c r="I37" s="368">
        <f t="shared" si="1"/>
        <v>1.8113496959639388E+20</v>
      </c>
      <c r="J37" s="368">
        <f t="shared" si="1"/>
        <v>3.0141991034399824E+20</v>
      </c>
      <c r="K37" s="10"/>
      <c r="L37" s="10"/>
      <c r="M37" s="10"/>
    </row>
    <row r="38" spans="2:17">
      <c r="B38" s="10"/>
      <c r="C38" s="341" t="s">
        <v>1648</v>
      </c>
      <c r="D38" s="335"/>
      <c r="E38" s="335"/>
      <c r="F38" s="335"/>
      <c r="G38" s="335"/>
      <c r="H38" s="335"/>
      <c r="I38" s="335"/>
      <c r="J38" s="335"/>
      <c r="K38" s="10"/>
      <c r="L38" s="10"/>
      <c r="M38" s="10"/>
    </row>
    <row r="39" spans="2:17">
      <c r="B39" s="10"/>
      <c r="C39" s="10"/>
      <c r="D39" s="10"/>
      <c r="E39" s="10"/>
      <c r="F39" s="10"/>
      <c r="G39" s="10"/>
      <c r="H39" s="10"/>
      <c r="I39" s="10"/>
      <c r="J39" s="10"/>
      <c r="K39" s="10"/>
      <c r="L39" s="10"/>
      <c r="M39" s="10"/>
    </row>
    <row r="40" spans="2:17" ht="18" thickBot="1">
      <c r="B40" s="723" t="s">
        <v>1649</v>
      </c>
      <c r="C40" s="444"/>
      <c r="D40" s="444"/>
      <c r="E40" s="444"/>
      <c r="F40" s="444"/>
      <c r="G40" s="444"/>
      <c r="H40" s="444"/>
      <c r="I40" s="444"/>
      <c r="J40" s="444"/>
      <c r="K40" s="444"/>
      <c r="L40" s="444"/>
      <c r="M40" s="444"/>
      <c r="P40" s="444"/>
      <c r="Q40" s="444"/>
    </row>
    <row r="41" spans="2:17" ht="28">
      <c r="C41" s="851" t="s">
        <v>1623</v>
      </c>
      <c r="D41" s="457" t="s">
        <v>1615</v>
      </c>
      <c r="E41" s="457" t="s">
        <v>1617</v>
      </c>
      <c r="F41" s="457" t="s">
        <v>1624</v>
      </c>
      <c r="G41" s="457" t="s">
        <v>9</v>
      </c>
      <c r="H41" s="457" t="s">
        <v>1625</v>
      </c>
      <c r="I41" s="457" t="s">
        <v>1163</v>
      </c>
      <c r="J41" s="457" t="s">
        <v>1162</v>
      </c>
      <c r="K41" s="457" t="s">
        <v>1650</v>
      </c>
      <c r="L41" s="458" t="s">
        <v>4</v>
      </c>
      <c r="M41" s="458" t="s">
        <v>1651</v>
      </c>
      <c r="P41" s="458" t="s">
        <v>1651</v>
      </c>
      <c r="Q41" s="458" t="s">
        <v>1651</v>
      </c>
    </row>
    <row r="42" spans="2:17">
      <c r="C42" s="852"/>
      <c r="D42" s="459" t="s">
        <v>10</v>
      </c>
      <c r="E42" s="459"/>
      <c r="F42" s="459"/>
      <c r="G42" s="459"/>
      <c r="H42" s="459"/>
      <c r="I42" s="459"/>
      <c r="J42" s="459"/>
      <c r="K42" s="459"/>
      <c r="L42" s="358" t="s">
        <v>989</v>
      </c>
      <c r="M42" s="358" t="s">
        <v>1652</v>
      </c>
      <c r="P42" s="358" t="s">
        <v>1652</v>
      </c>
      <c r="Q42" s="358" t="s">
        <v>1903</v>
      </c>
    </row>
    <row r="43" spans="2:17">
      <c r="B43" s="846" t="s">
        <v>1626</v>
      </c>
      <c r="C43" s="846"/>
      <c r="D43" s="364"/>
      <c r="E43" s="364"/>
      <c r="F43" s="364"/>
      <c r="G43" s="364"/>
      <c r="H43" s="364"/>
      <c r="I43" s="364"/>
      <c r="J43" s="364"/>
      <c r="K43" s="364"/>
      <c r="L43" s="369"/>
      <c r="M43" s="369"/>
    </row>
    <row r="44" spans="2:17" ht="15">
      <c r="C44" s="10" t="s">
        <v>1627</v>
      </c>
      <c r="D44" s="136">
        <f t="shared" ref="D44:D60" si="2">D16*D$3</f>
        <v>1.4782673543656589E+23</v>
      </c>
      <c r="E44" s="136">
        <f t="shared" ref="E44:E60" si="3">E16*D$4</f>
        <v>1.313245258783436E+23</v>
      </c>
      <c r="F44" s="136">
        <f t="shared" ref="F44:F60" si="4">F16*D$5</f>
        <v>1.7455904267540682E+22</v>
      </c>
      <c r="G44" s="136">
        <f>G16*D$6</f>
        <v>5.9960117219744905E+23</v>
      </c>
      <c r="H44" s="136">
        <f t="shared" ref="H44:H60" si="5">H16*D$7</f>
        <v>4.3647022514925119E+24</v>
      </c>
      <c r="I44" s="136">
        <f t="shared" ref="I44:I60" si="6">I16*D$9</f>
        <v>2.3572745014197557E+23</v>
      </c>
      <c r="J44" s="136">
        <f t="shared" ref="J44:J60" si="7">J16*D$10</f>
        <v>5.520304207794363E+23</v>
      </c>
      <c r="K44" s="370">
        <f>MAX(D44+E44+F44,G44,H44,I44,J44)</f>
        <v>4.3647022514925119E+24</v>
      </c>
      <c r="L44" s="371">
        <v>19085411317783.898</v>
      </c>
      <c r="M44" s="371">
        <f>K44/L44</f>
        <v>228693119515.08514</v>
      </c>
      <c r="O44" s="121" t="s">
        <v>1904</v>
      </c>
      <c r="P44" s="3">
        <f>SUMPRODUCT($L$44:$L$60,$M$44:$M$60)/$L$61</f>
        <v>113808234346.6647</v>
      </c>
      <c r="Q44" s="3">
        <f>P44*10000</f>
        <v>1138082343466647</v>
      </c>
    </row>
    <row r="45" spans="2:17" ht="15">
      <c r="C45" s="10" t="s">
        <v>1628</v>
      </c>
      <c r="D45" s="136">
        <f t="shared" si="2"/>
        <v>2.4608951472273171E+22</v>
      </c>
      <c r="E45" s="136">
        <f t="shared" si="3"/>
        <v>2.2106687610095405E+22</v>
      </c>
      <c r="F45" s="136">
        <f t="shared" si="4"/>
        <v>1.7429166772248251E+21</v>
      </c>
      <c r="G45" s="136">
        <f t="shared" ref="G45:G60" si="8">G17*D$6</f>
        <v>1.3082840703428511E+23</v>
      </c>
      <c r="H45" s="741">
        <f t="shared" si="5"/>
        <v>3.8543613325782172E+23</v>
      </c>
      <c r="I45" s="136">
        <f t="shared" si="6"/>
        <v>7.2724268361100873E+20</v>
      </c>
      <c r="J45" s="136">
        <f t="shared" si="7"/>
        <v>7.90538762985541E+21</v>
      </c>
      <c r="K45" s="370">
        <f>MAX(D45+E45+F45,G45,H45,I45,J45)</f>
        <v>3.8543613325782172E+23</v>
      </c>
      <c r="L45" s="371">
        <v>2891848468055.3955</v>
      </c>
      <c r="M45" s="371">
        <f>K45/L45</f>
        <v>133283654906.37402</v>
      </c>
      <c r="O45" s="121" t="s">
        <v>1810</v>
      </c>
      <c r="P45" s="3">
        <f>SUMPRODUCT($L$44:$L$60,$M$44:$M$60)/$L$61</f>
        <v>113808234346.6647</v>
      </c>
      <c r="Q45" s="3">
        <f>P45*10000</f>
        <v>1138082343466647</v>
      </c>
    </row>
    <row r="46" spans="2:17" ht="15">
      <c r="C46" s="10" t="s">
        <v>1629</v>
      </c>
      <c r="D46" s="136">
        <f t="shared" si="2"/>
        <v>6.2473860615909912E+21</v>
      </c>
      <c r="E46" s="136">
        <f t="shared" si="3"/>
        <v>6.1383882134567015E+21</v>
      </c>
      <c r="F46" s="136">
        <f t="shared" si="4"/>
        <v>3.1269129452696633E+19</v>
      </c>
      <c r="G46" s="136">
        <f t="shared" si="8"/>
        <v>3.7459911479894622E+22</v>
      </c>
      <c r="H46" s="136">
        <f t="shared" si="5"/>
        <v>8.7340086614049799E+22</v>
      </c>
      <c r="I46" s="136">
        <f t="shared" si="6"/>
        <v>1.168229345145284E+19</v>
      </c>
      <c r="J46" s="136">
        <f t="shared" si="7"/>
        <v>1.0548938586391878E+19</v>
      </c>
      <c r="K46" s="370">
        <f t="shared" ref="K46:K60" si="9">MAX(D46+E46+F46,G46,H46,I46,J46)</f>
        <v>8.7340086614049799E+22</v>
      </c>
      <c r="L46" s="371">
        <v>701575471388.89282</v>
      </c>
      <c r="M46" s="371">
        <f t="shared" ref="M46:M60" si="10">K46/L46</f>
        <v>124491362905.18344</v>
      </c>
      <c r="O46" s="121" t="s">
        <v>1897</v>
      </c>
      <c r="P46" s="3">
        <f>SUMPRODUCT($L$44:$L$60,$M$44:$M$60)/$L$61</f>
        <v>113808234346.6647</v>
      </c>
      <c r="Q46" s="3">
        <f>P46*10000</f>
        <v>1138082343466647</v>
      </c>
    </row>
    <row r="47" spans="2:17" ht="15">
      <c r="C47" s="10" t="s">
        <v>1630</v>
      </c>
      <c r="D47" s="136">
        <f t="shared" si="2"/>
        <v>7.3747137944584773E+22</v>
      </c>
      <c r="E47" s="136">
        <f t="shared" si="3"/>
        <v>7.8632226472672444E+22</v>
      </c>
      <c r="F47" s="136">
        <f t="shared" si="4"/>
        <v>2.7682415260743428E+22</v>
      </c>
      <c r="G47" s="136">
        <f t="shared" si="8"/>
        <v>6.4357352415779822E+23</v>
      </c>
      <c r="H47" s="136">
        <f t="shared" si="5"/>
        <v>1.2238603980409101E+24</v>
      </c>
      <c r="I47" s="136">
        <f t="shared" si="6"/>
        <v>2.7798403817746102E+22</v>
      </c>
      <c r="J47" s="136">
        <f t="shared" si="7"/>
        <v>3.8854243314932147E+22</v>
      </c>
      <c r="K47" s="370">
        <f t="shared" si="9"/>
        <v>1.2238603980409101E+24</v>
      </c>
      <c r="L47" s="371">
        <v>12482552144249.854</v>
      </c>
      <c r="M47" s="371">
        <f t="shared" si="10"/>
        <v>98045686803.29425</v>
      </c>
    </row>
    <row r="48" spans="2:17" ht="15">
      <c r="C48" s="10" t="s">
        <v>1631</v>
      </c>
      <c r="D48" s="136">
        <f t="shared" si="2"/>
        <v>2.5463766206332721E+22</v>
      </c>
      <c r="E48" s="136">
        <f t="shared" si="3"/>
        <v>3.2923640415479084E+22</v>
      </c>
      <c r="F48" s="136">
        <f t="shared" si="4"/>
        <v>1.9152107120810892E+21</v>
      </c>
      <c r="G48" s="136">
        <f t="shared" si="8"/>
        <v>1.7779220800530869E+23</v>
      </c>
      <c r="H48" s="136">
        <f t="shared" si="5"/>
        <v>3.8123831058085172E+23</v>
      </c>
      <c r="I48" s="136">
        <f t="shared" si="6"/>
        <v>1.4359907329847213E+21</v>
      </c>
      <c r="J48" s="136">
        <f t="shared" si="7"/>
        <v>2.3495413596321709E+21</v>
      </c>
      <c r="K48" s="370">
        <f t="shared" si="9"/>
        <v>3.8123831058085172E+23</v>
      </c>
      <c r="L48" s="371">
        <v>4018745790721.9292</v>
      </c>
      <c r="M48" s="371">
        <f t="shared" si="10"/>
        <v>94864997796.33136</v>
      </c>
    </row>
    <row r="49" spans="2:14" ht="15">
      <c r="C49" s="10" t="s">
        <v>1632</v>
      </c>
      <c r="D49" s="136">
        <f t="shared" si="2"/>
        <v>6.7934432244760721E+22</v>
      </c>
      <c r="E49" s="136">
        <f t="shared" si="3"/>
        <v>8.5280236877060684E+22</v>
      </c>
      <c r="F49" s="136">
        <f t="shared" si="4"/>
        <v>6.7662089736838112E+21</v>
      </c>
      <c r="G49" s="136">
        <f t="shared" si="8"/>
        <v>5.3650827172521799E+23</v>
      </c>
      <c r="H49" s="136">
        <f t="shared" si="5"/>
        <v>8.5053636520776153E+23</v>
      </c>
      <c r="I49" s="136">
        <f t="shared" si="6"/>
        <v>4.3994693362876334E+22</v>
      </c>
      <c r="J49" s="136">
        <f t="shared" si="7"/>
        <v>7.9450264365766061E+22</v>
      </c>
      <c r="K49" s="370">
        <f t="shared" si="9"/>
        <v>8.5053636520776153E+23</v>
      </c>
      <c r="L49" s="371">
        <v>14774768897557.012</v>
      </c>
      <c r="M49" s="371">
        <f t="shared" si="10"/>
        <v>57566813471.336029</v>
      </c>
    </row>
    <row r="50" spans="2:14" ht="15">
      <c r="C50" s="10" t="s">
        <v>1633</v>
      </c>
      <c r="D50" s="136">
        <f t="shared" si="2"/>
        <v>1.7845066045472696E+23</v>
      </c>
      <c r="E50" s="136">
        <f t="shared" si="3"/>
        <v>1.2799117116457675E+23</v>
      </c>
      <c r="F50" s="136">
        <f t="shared" si="4"/>
        <v>7.9403824992907805E+21</v>
      </c>
      <c r="G50" s="136">
        <f t="shared" si="8"/>
        <v>9.0605009527727166E+23</v>
      </c>
      <c r="H50" s="136">
        <f t="shared" si="5"/>
        <v>2.0411048719377756E+24</v>
      </c>
      <c r="I50" s="136">
        <f t="shared" si="6"/>
        <v>1.2722322918605016E+23</v>
      </c>
      <c r="J50" s="136">
        <f t="shared" si="7"/>
        <v>1.813344088152766E+23</v>
      </c>
      <c r="K50" s="370">
        <f t="shared" si="9"/>
        <v>2.0411048719377756E+24</v>
      </c>
      <c r="L50" s="371">
        <v>19679967250010.098</v>
      </c>
      <c r="M50" s="371">
        <f t="shared" si="10"/>
        <v>103714851046.65143</v>
      </c>
    </row>
    <row r="51" spans="2:14" ht="15">
      <c r="C51" s="10" t="s">
        <v>1634</v>
      </c>
      <c r="D51" s="136">
        <f t="shared" si="2"/>
        <v>6.4759888033148557E+22</v>
      </c>
      <c r="E51" s="136">
        <f t="shared" si="3"/>
        <v>6.2240447800402873E+22</v>
      </c>
      <c r="F51" s="136">
        <f t="shared" si="4"/>
        <v>4.2847417473921246E+21</v>
      </c>
      <c r="G51" s="136">
        <f t="shared" si="8"/>
        <v>3.506749054456496E+23</v>
      </c>
      <c r="H51" s="136">
        <f t="shared" si="5"/>
        <v>5.0091695669634849E+23</v>
      </c>
      <c r="I51" s="136">
        <f t="shared" si="6"/>
        <v>1.0307090284191687E+22</v>
      </c>
      <c r="J51" s="136">
        <f t="shared" si="7"/>
        <v>2.5604628294013766E+23</v>
      </c>
      <c r="K51" s="370">
        <f t="shared" si="9"/>
        <v>5.0091695669634849E+23</v>
      </c>
      <c r="L51" s="371">
        <v>9787334275222.7324</v>
      </c>
      <c r="M51" s="371">
        <f t="shared" si="10"/>
        <v>51180121431.476196</v>
      </c>
    </row>
    <row r="52" spans="2:14" ht="15">
      <c r="C52" s="10" t="s">
        <v>1635</v>
      </c>
      <c r="D52" s="136">
        <f t="shared" si="2"/>
        <v>8.1112683843837556E+21</v>
      </c>
      <c r="E52" s="136">
        <f t="shared" si="3"/>
        <v>6.5164050726226389E+21</v>
      </c>
      <c r="F52" s="136">
        <f t="shared" si="4"/>
        <v>2.8714679763519432E+20</v>
      </c>
      <c r="G52" s="136">
        <f t="shared" si="8"/>
        <v>5.4641395840116593E+22</v>
      </c>
      <c r="H52" s="136">
        <f t="shared" si="5"/>
        <v>8.5625996596742797E+22</v>
      </c>
      <c r="I52" s="136">
        <f t="shared" si="6"/>
        <v>8.7520322077893937E+21</v>
      </c>
      <c r="J52" s="136">
        <f t="shared" si="7"/>
        <v>7.9032086301967385E+21</v>
      </c>
      <c r="K52" s="370">
        <f t="shared" si="9"/>
        <v>8.5625996596742797E+22</v>
      </c>
      <c r="L52" s="371">
        <v>976166525416.68115</v>
      </c>
      <c r="M52" s="371">
        <f t="shared" si="10"/>
        <v>87716587659.255112</v>
      </c>
    </row>
    <row r="53" spans="2:14" ht="15">
      <c r="C53" s="10" t="s">
        <v>1636</v>
      </c>
      <c r="D53" s="136">
        <f t="shared" si="2"/>
        <v>4.2803983264145855E+22</v>
      </c>
      <c r="E53" s="136">
        <f t="shared" si="3"/>
        <v>3.7723953243297587E+22</v>
      </c>
      <c r="F53" s="136">
        <f t="shared" si="4"/>
        <v>4.1274399961632527E+18</v>
      </c>
      <c r="G53" s="136">
        <f t="shared" si="8"/>
        <v>2.339277108496081E+23</v>
      </c>
      <c r="H53" s="136">
        <f t="shared" si="5"/>
        <v>2.7077016664652719E+23</v>
      </c>
      <c r="I53" s="136">
        <f t="shared" si="6"/>
        <v>5.4885785847709132E+20</v>
      </c>
      <c r="J53" s="136">
        <f t="shared" si="7"/>
        <v>1.3224248175516033E+22</v>
      </c>
      <c r="K53" s="370">
        <f t="shared" si="9"/>
        <v>2.7077016664652719E+23</v>
      </c>
      <c r="L53" s="371">
        <v>5155921829971.8457</v>
      </c>
      <c r="M53" s="371">
        <f t="shared" si="10"/>
        <v>52516344424.098022</v>
      </c>
    </row>
    <row r="54" spans="2:14" ht="15">
      <c r="C54" s="10" t="s">
        <v>2</v>
      </c>
      <c r="D54" s="136">
        <f t="shared" si="2"/>
        <v>4.569902026431892E+22</v>
      </c>
      <c r="E54" s="136">
        <f t="shared" si="3"/>
        <v>8.2226316859451418E+22</v>
      </c>
      <c r="F54" s="136">
        <f t="shared" si="4"/>
        <v>3.5220841548477417E+22</v>
      </c>
      <c r="G54" s="136">
        <f t="shared" si="8"/>
        <v>7.3218858737984486E+23</v>
      </c>
      <c r="H54" s="136">
        <f t="shared" si="5"/>
        <v>4.3539759581075485E+23</v>
      </c>
      <c r="I54" s="136">
        <f t="shared" si="6"/>
        <v>5.7892584269381433E+21</v>
      </c>
      <c r="J54" s="136">
        <f t="shared" si="7"/>
        <v>1.6547174122776361E+22</v>
      </c>
      <c r="K54" s="370">
        <f t="shared" si="9"/>
        <v>7.3218858737984486E+23</v>
      </c>
      <c r="L54" s="371">
        <v>11539783252087.795</v>
      </c>
      <c r="M54" s="371">
        <f t="shared" si="10"/>
        <v>63449076242.17086</v>
      </c>
    </row>
    <row r="55" spans="2:14" ht="15">
      <c r="C55" s="10" t="s">
        <v>1637</v>
      </c>
      <c r="D55" s="136">
        <f t="shared" si="2"/>
        <v>2.4737186773322961E+22</v>
      </c>
      <c r="E55" s="136">
        <f t="shared" si="3"/>
        <v>2.5722990102991075E+22</v>
      </c>
      <c r="F55" s="136">
        <f t="shared" si="4"/>
        <v>2.1055801439086936E+20</v>
      </c>
      <c r="G55" s="136">
        <f t="shared" si="8"/>
        <v>1.3059499204191674E+23</v>
      </c>
      <c r="H55" s="136">
        <f t="shared" si="5"/>
        <v>1.704026148236934E+23</v>
      </c>
      <c r="I55" s="136">
        <f t="shared" si="6"/>
        <v>2.9722888045967278E+20</v>
      </c>
      <c r="J55" s="136">
        <f t="shared" si="7"/>
        <v>7.7256103512648135E+21</v>
      </c>
      <c r="K55" s="370">
        <f t="shared" si="9"/>
        <v>1.704026148236934E+23</v>
      </c>
      <c r="L55" s="371">
        <v>3153293908499.9858</v>
      </c>
      <c r="M55" s="371">
        <f t="shared" si="10"/>
        <v>54039559828.012833</v>
      </c>
    </row>
    <row r="56" spans="2:14" ht="15">
      <c r="C56" s="10" t="s">
        <v>1638</v>
      </c>
      <c r="D56" s="136">
        <f t="shared" si="2"/>
        <v>2.41511109090096E+23</v>
      </c>
      <c r="E56" s="136">
        <f t="shared" si="3"/>
        <v>1.9884096814107403E+23</v>
      </c>
      <c r="F56" s="136">
        <f t="shared" si="4"/>
        <v>4.9014062885158781E+21</v>
      </c>
      <c r="G56" s="136">
        <f t="shared" si="8"/>
        <v>8.8480535177436512E+23</v>
      </c>
      <c r="H56" s="136">
        <f t="shared" si="5"/>
        <v>5.5419818625517934E+23</v>
      </c>
      <c r="I56" s="136">
        <f t="shared" si="6"/>
        <v>3.5312101391819463E+22</v>
      </c>
      <c r="J56" s="136">
        <f t="shared" si="7"/>
        <v>3.6182365889713601E+22</v>
      </c>
      <c r="K56" s="370">
        <f t="shared" si="9"/>
        <v>8.8480535177436512E+23</v>
      </c>
      <c r="L56" s="371">
        <v>27170087495921.367</v>
      </c>
      <c r="M56" s="371">
        <f t="shared" si="10"/>
        <v>32565421510.224709</v>
      </c>
    </row>
    <row r="57" spans="2:14" ht="15">
      <c r="C57" s="10" t="s">
        <v>1639</v>
      </c>
      <c r="D57" s="136">
        <f t="shared" si="2"/>
        <v>2.4276282142624396E+21</v>
      </c>
      <c r="E57" s="136">
        <f t="shared" si="3"/>
        <v>2.3365023844132108E+21</v>
      </c>
      <c r="F57" s="136">
        <f t="shared" si="4"/>
        <v>5.0503972510728056E+21</v>
      </c>
      <c r="G57" s="136">
        <f t="shared" si="8"/>
        <v>1.1674664989862138E+22</v>
      </c>
      <c r="H57" s="136">
        <f t="shared" si="5"/>
        <v>6.0317944791286097E+22</v>
      </c>
      <c r="I57" s="136">
        <f t="shared" si="6"/>
        <v>3.922847922454564E+19</v>
      </c>
      <c r="J57" s="136">
        <f t="shared" si="7"/>
        <v>8.5901644934367427E+22</v>
      </c>
      <c r="K57" s="370">
        <f t="shared" si="9"/>
        <v>8.5901644934367427E+22</v>
      </c>
      <c r="L57" s="371">
        <v>296271505000.00104</v>
      </c>
      <c r="M57" s="371">
        <f t="shared" si="10"/>
        <v>289942311307.89014</v>
      </c>
    </row>
    <row r="58" spans="2:14" ht="15">
      <c r="C58" s="10" t="s">
        <v>1640</v>
      </c>
      <c r="D58" s="136">
        <f t="shared" si="2"/>
        <v>2.3198808175584886E+22</v>
      </c>
      <c r="E58" s="136">
        <f t="shared" si="3"/>
        <v>2.0418631248689653E+22</v>
      </c>
      <c r="F58" s="136">
        <f t="shared" si="4"/>
        <v>1.4508779966171059E+20</v>
      </c>
      <c r="G58" s="136">
        <f t="shared" si="8"/>
        <v>1.005713852108741E+23</v>
      </c>
      <c r="H58" s="136">
        <f t="shared" si="5"/>
        <v>3.0172919351753018E+23</v>
      </c>
      <c r="I58" s="136">
        <f t="shared" si="6"/>
        <v>3.9330595599416181E+23</v>
      </c>
      <c r="J58" s="136">
        <f t="shared" si="7"/>
        <v>3.6128300437186458E+24</v>
      </c>
      <c r="K58" s="370">
        <f t="shared" si="9"/>
        <v>3.6128300437186458E+24</v>
      </c>
      <c r="L58" s="371">
        <v>3121687964749.8579</v>
      </c>
      <c r="M58" s="371">
        <f t="shared" si="10"/>
        <v>1157332214018.4319</v>
      </c>
    </row>
    <row r="59" spans="2:14" ht="15">
      <c r="C59" s="10" t="s">
        <v>1641</v>
      </c>
      <c r="D59" s="136">
        <f t="shared" si="2"/>
        <v>6.5517595930684807E+21</v>
      </c>
      <c r="E59" s="136">
        <f t="shared" si="3"/>
        <v>5.6841296416189637E+21</v>
      </c>
      <c r="F59" s="136">
        <f t="shared" si="4"/>
        <v>0</v>
      </c>
      <c r="G59" s="136">
        <f t="shared" si="8"/>
        <v>7.6245901096977338E+21</v>
      </c>
      <c r="H59" s="136">
        <f t="shared" si="5"/>
        <v>6.5731589131614871E+22</v>
      </c>
      <c r="I59" s="136">
        <f t="shared" si="6"/>
        <v>5.4106973697646505E+21</v>
      </c>
      <c r="J59" s="136">
        <f t="shared" si="7"/>
        <v>4.8865539294003871E+21</v>
      </c>
      <c r="K59" s="370">
        <f t="shared" si="9"/>
        <v>6.5731589131614871E+22</v>
      </c>
      <c r="L59" s="371">
        <v>994185526527.78528</v>
      </c>
      <c r="M59" s="371">
        <f t="shared" si="10"/>
        <v>66116018970.00441</v>
      </c>
    </row>
    <row r="60" spans="2:14" ht="15">
      <c r="C60" s="10" t="s">
        <v>1642</v>
      </c>
      <c r="D60" s="372">
        <f t="shared" si="2"/>
        <v>5.6878357333613358E+22</v>
      </c>
      <c r="E60" s="372">
        <f t="shared" si="3"/>
        <v>8.3173089175411473E+22</v>
      </c>
      <c r="F60" s="372">
        <f t="shared" si="4"/>
        <v>1.6513212424423714E+21</v>
      </c>
      <c r="G60" s="372">
        <f t="shared" si="8"/>
        <v>9.7494974436214018E+23</v>
      </c>
      <c r="H60" s="372">
        <f t="shared" si="5"/>
        <v>2.4872886486378129E+23</v>
      </c>
      <c r="I60" s="372">
        <f t="shared" si="6"/>
        <v>2.8931228443238954E+20</v>
      </c>
      <c r="J60" s="372">
        <f t="shared" si="7"/>
        <v>2.6124472334552197E+20</v>
      </c>
      <c r="K60" s="443">
        <f t="shared" si="9"/>
        <v>9.7494974436214018E+23</v>
      </c>
      <c r="L60" s="373">
        <v>11069620644629.615</v>
      </c>
      <c r="M60" s="373">
        <f t="shared" si="10"/>
        <v>88074359154.767731</v>
      </c>
    </row>
    <row r="61" spans="2:14">
      <c r="C61" s="357" t="s">
        <v>1643</v>
      </c>
      <c r="D61" s="374">
        <f t="shared" ref="D61:J61" si="11">SUM(D44:D60)</f>
        <v>1.0409580789467806E+24</v>
      </c>
      <c r="E61" s="374">
        <f t="shared" si="11"/>
        <v>1.0092803103016575E+24</v>
      </c>
      <c r="F61" s="374">
        <f t="shared" si="11"/>
        <v>1.1528993564960183E+23</v>
      </c>
      <c r="G61" s="374">
        <f t="shared" si="11"/>
        <v>6.5134669178813001E+24</v>
      </c>
      <c r="H61" s="374">
        <f t="shared" si="11"/>
        <v>1.2028037526265138E+25</v>
      </c>
      <c r="I61" s="374">
        <f t="shared" si="11"/>
        <v>8.9697045539595401E+23</v>
      </c>
      <c r="J61" s="374">
        <f t="shared" si="11"/>
        <v>4.9034431926188509E+24</v>
      </c>
      <c r="K61" s="375" t="s">
        <v>1647</v>
      </c>
      <c r="L61" s="14">
        <f>SUM(L42:L60)</f>
        <v>146899222267794.75</v>
      </c>
      <c r="M61" s="375" t="s">
        <v>1647</v>
      </c>
    </row>
    <row r="62" spans="2:14">
      <c r="B62" s="847" t="s">
        <v>1644</v>
      </c>
      <c r="C62" s="847"/>
      <c r="D62" s="374"/>
      <c r="E62" s="374"/>
      <c r="F62" s="374"/>
      <c r="G62" s="374"/>
      <c r="H62" s="374"/>
      <c r="I62" s="374"/>
      <c r="J62" s="374"/>
      <c r="K62" s="375"/>
      <c r="L62" s="14"/>
      <c r="M62" s="375"/>
    </row>
    <row r="63" spans="2:14" ht="15">
      <c r="C63" s="10" t="s">
        <v>1645</v>
      </c>
      <c r="D63" s="136">
        <f>D35*D$3</f>
        <v>2.2378435876378897E+21</v>
      </c>
      <c r="E63" s="136">
        <f>E35*D$4</f>
        <v>2.5212988067526413E+21</v>
      </c>
      <c r="F63" s="136">
        <f>F35*D$5</f>
        <v>5.5220659530268158E+21</v>
      </c>
      <c r="G63" s="136">
        <f>G35*D$6</f>
        <v>1.1072677580439235E+22</v>
      </c>
      <c r="H63" s="136">
        <f>H35*D$7</f>
        <v>3.9542501221321861E+22</v>
      </c>
      <c r="I63" s="136">
        <f>I35*D$9</f>
        <v>1.1468020237935454E+25</v>
      </c>
      <c r="J63" s="136">
        <f>J35*D$10</f>
        <v>6.9086110515801889E+24</v>
      </c>
      <c r="K63" s="370">
        <f>MAX(D63+E63+F63,G63,H63,I63,J63)</f>
        <v>1.1468020237935454E+25</v>
      </c>
      <c r="L63" s="371">
        <v>301929709722.22333</v>
      </c>
      <c r="M63" s="371">
        <f>K63/L63</f>
        <v>37982417326489.945</v>
      </c>
      <c r="N63" s="3"/>
    </row>
    <row r="64" spans="2:14" ht="15.5" thickBot="1">
      <c r="C64" s="726" t="s">
        <v>1646</v>
      </c>
      <c r="D64" s="376">
        <f>D36*D$3</f>
        <v>2.686803910370812E+24</v>
      </c>
      <c r="E64" s="376">
        <f>E36*D$4</f>
        <v>3.6529983908980638E+24</v>
      </c>
      <c r="F64" s="376">
        <f>F36*D$5</f>
        <v>3.4746838482866096E+24</v>
      </c>
      <c r="G64" s="376">
        <f>G36*D$6</f>
        <v>5.4754604045382613E+24</v>
      </c>
      <c r="H64" s="376">
        <f>H36*D$8</f>
        <v>0</v>
      </c>
      <c r="I64" s="376">
        <f>I36*D$9</f>
        <v>6.5277301022931907E+21</v>
      </c>
      <c r="J64" s="376">
        <f>J36*D$10</f>
        <v>6.0041766376680885E+23</v>
      </c>
      <c r="K64" s="437">
        <f>MAX(D64+E64+F64,G64,H64,I64,J64)</f>
        <v>9.8144861495554843E+24</v>
      </c>
      <c r="L64" s="377">
        <v>362266480069330.06</v>
      </c>
      <c r="M64" s="377">
        <f>K64/L64</f>
        <v>27091896958.496414</v>
      </c>
    </row>
    <row r="65" spans="2:19" ht="15.5" thickTop="1" thickBot="1">
      <c r="C65" s="367" t="s">
        <v>14</v>
      </c>
      <c r="D65" s="378">
        <f>D61+D63+D64</f>
        <v>3.7299998329052306E+24</v>
      </c>
      <c r="E65" s="378">
        <f t="shared" ref="E65:J65" si="12">E61+E63+E64</f>
        <v>4.6648000000064739E+24</v>
      </c>
      <c r="F65" s="378">
        <f t="shared" si="12"/>
        <v>3.5954958498892383E+24</v>
      </c>
      <c r="G65" s="378">
        <f t="shared" si="12"/>
        <v>1.2000000000000002E+25</v>
      </c>
      <c r="H65" s="378">
        <f t="shared" si="12"/>
        <v>1.2067580027486461E+25</v>
      </c>
      <c r="I65" s="378">
        <f t="shared" si="12"/>
        <v>1.2371518423433701E+25</v>
      </c>
      <c r="J65" s="378">
        <f t="shared" si="12"/>
        <v>1.241247190796585E+25</v>
      </c>
      <c r="K65" s="379" t="s">
        <v>1647</v>
      </c>
      <c r="L65" s="380">
        <f>L61+L63+L64</f>
        <v>509467632046847</v>
      </c>
      <c r="M65" s="379" t="s">
        <v>1647</v>
      </c>
    </row>
    <row r="66" spans="2:19">
      <c r="C66" s="10" t="s">
        <v>1653</v>
      </c>
    </row>
    <row r="67" spans="2:19">
      <c r="C67" s="10" t="s">
        <v>1654</v>
      </c>
      <c r="Q67" s="767"/>
    </row>
    <row r="68" spans="2:19">
      <c r="C68" s="10" t="s">
        <v>1655</v>
      </c>
    </row>
    <row r="70" spans="2:19" ht="18" thickBot="1">
      <c r="B70" s="725" t="s">
        <v>1656</v>
      </c>
      <c r="C70" s="126"/>
      <c r="D70" s="126"/>
      <c r="E70" s="126"/>
      <c r="F70" s="126"/>
      <c r="G70" s="126"/>
      <c r="H70" s="126"/>
      <c r="I70" s="126"/>
      <c r="J70" s="126"/>
      <c r="K70" s="126"/>
      <c r="L70" s="126"/>
      <c r="M70" s="126"/>
      <c r="N70" s="126"/>
      <c r="O70" s="126"/>
      <c r="P70" s="126"/>
      <c r="S70" s="444"/>
    </row>
    <row r="71" spans="2:19" ht="42">
      <c r="B71" s="419"/>
      <c r="C71" s="853" t="s">
        <v>1657</v>
      </c>
      <c r="D71" s="381" t="s">
        <v>1658</v>
      </c>
      <c r="E71" s="381" t="s">
        <v>5</v>
      </c>
      <c r="F71" s="417" t="s">
        <v>1659</v>
      </c>
      <c r="G71" s="381" t="s">
        <v>4</v>
      </c>
      <c r="H71" s="381" t="s">
        <v>1658</v>
      </c>
      <c r="I71" s="381" t="s">
        <v>5</v>
      </c>
      <c r="J71" s="417" t="s">
        <v>1660</v>
      </c>
      <c r="K71" s="418" t="s">
        <v>1661</v>
      </c>
      <c r="L71" s="855" t="s">
        <v>1662</v>
      </c>
      <c r="M71" s="855"/>
      <c r="N71" s="381" t="s">
        <v>1962</v>
      </c>
      <c r="O71" s="381" t="s">
        <v>1663</v>
      </c>
      <c r="P71" s="417" t="s">
        <v>1664</v>
      </c>
      <c r="S71" s="381" t="s">
        <v>1663</v>
      </c>
    </row>
    <row r="72" spans="2:19" ht="16">
      <c r="B72" s="123"/>
      <c r="C72" s="854"/>
      <c r="D72" s="856" t="s">
        <v>1665</v>
      </c>
      <c r="E72" s="856"/>
      <c r="F72" s="382" t="s">
        <v>1666</v>
      </c>
      <c r="G72" s="382" t="s">
        <v>1667</v>
      </c>
      <c r="H72" s="856" t="s">
        <v>1668</v>
      </c>
      <c r="I72" s="856"/>
      <c r="J72" s="382" t="s">
        <v>1669</v>
      </c>
      <c r="K72" s="383" t="s">
        <v>1670</v>
      </c>
      <c r="L72" s="420" t="s">
        <v>1671</v>
      </c>
      <c r="M72" s="420" t="s">
        <v>1672</v>
      </c>
      <c r="N72" s="382" t="s">
        <v>1673</v>
      </c>
      <c r="O72" s="382" t="s">
        <v>1673</v>
      </c>
      <c r="P72" s="382" t="s">
        <v>10</v>
      </c>
      <c r="S72" s="382" t="s">
        <v>1673</v>
      </c>
    </row>
    <row r="73" spans="2:19">
      <c r="B73" s="846" t="s">
        <v>1626</v>
      </c>
      <c r="C73" s="846"/>
      <c r="D73" s="384"/>
      <c r="E73" s="384"/>
      <c r="F73" s="384"/>
      <c r="G73" s="384"/>
      <c r="H73" s="384"/>
      <c r="I73" s="384"/>
      <c r="J73" s="384"/>
      <c r="K73" s="385"/>
      <c r="L73" s="421"/>
      <c r="M73" s="421"/>
      <c r="N73" s="384"/>
      <c r="O73" s="384"/>
      <c r="P73" s="384"/>
    </row>
    <row r="74" spans="2:19">
      <c r="C74" s="386" t="s">
        <v>1627</v>
      </c>
      <c r="D74" s="387">
        <v>4.8469318423102648E+16</v>
      </c>
      <c r="E74" s="387">
        <v>2.022709350632012E+16</v>
      </c>
      <c r="F74" s="387">
        <v>2.2902493581340682E+17</v>
      </c>
      <c r="G74" s="422">
        <v>19028842583061.762</v>
      </c>
      <c r="H74" s="387">
        <f t="shared" ref="H74:H90" si="13">D74/$G74</f>
        <v>2547.1501070825443</v>
      </c>
      <c r="I74" s="387">
        <f t="shared" ref="I74:J89" si="14">E74/$G74</f>
        <v>1062.9702472984334</v>
      </c>
      <c r="J74" s="388">
        <f>F74/$G74</f>
        <v>12035.673468509845</v>
      </c>
      <c r="K74" s="389">
        <v>51.200000000000458</v>
      </c>
      <c r="L74" s="392">
        <f>K74*P74</f>
        <v>2.234727552764186E+26</v>
      </c>
      <c r="M74" s="392">
        <f t="shared" ref="M74:M90" si="15">L74/G74</f>
        <v>11743896366841.539</v>
      </c>
      <c r="N74" s="390">
        <f t="shared" ref="N74:N90" si="16">P74/E74</f>
        <v>215784944.59071568</v>
      </c>
      <c r="O74" s="391">
        <f>L74/F74</f>
        <v>975757309.9310385</v>
      </c>
      <c r="P74" s="392">
        <f t="shared" ref="P74:P90" si="17">K44</f>
        <v>4.3647022514925119E+24</v>
      </c>
      <c r="Q74" s="3"/>
      <c r="R74" s="121" t="s">
        <v>1904</v>
      </c>
      <c r="S74" s="3">
        <f>SUMPRODUCT(O74:O90,F74:F90)/F91</f>
        <v>1010281881.5697173</v>
      </c>
    </row>
    <row r="75" spans="2:19">
      <c r="C75" s="386" t="s">
        <v>1628</v>
      </c>
      <c r="D75" s="387">
        <v>5827238996448327</v>
      </c>
      <c r="E75" s="387">
        <v>2275128449071992</v>
      </c>
      <c r="F75" s="387">
        <v>1.7351090808332374E+16</v>
      </c>
      <c r="G75" s="422">
        <v>2884208877777.6182</v>
      </c>
      <c r="H75" s="387">
        <f t="shared" si="13"/>
        <v>2020.3942375138984</v>
      </c>
      <c r="I75" s="387">
        <f t="shared" si="14"/>
        <v>788.82235839488033</v>
      </c>
      <c r="J75" s="388">
        <f t="shared" si="14"/>
        <v>6015.8925873988655</v>
      </c>
      <c r="K75" s="389">
        <v>37.100000000000257</v>
      </c>
      <c r="L75" s="392">
        <f t="shared" ref="L75:L90" si="18">K75*P75</f>
        <v>1.4299680543865286E+25</v>
      </c>
      <c r="M75" s="392">
        <f t="shared" si="15"/>
        <v>4957921270557.7969</v>
      </c>
      <c r="N75" s="390">
        <f t="shared" si="16"/>
        <v>169412910.91280505</v>
      </c>
      <c r="O75" s="391">
        <f t="shared" ref="O75:O90" si="19">L75/F75</f>
        <v>824137266.17108512</v>
      </c>
      <c r="P75" s="392">
        <f t="shared" si="17"/>
        <v>3.8543613325782172E+23</v>
      </c>
    </row>
    <row r="76" spans="2:19">
      <c r="C76" s="386" t="s">
        <v>1629</v>
      </c>
      <c r="D76" s="387">
        <v>920034855602018.63</v>
      </c>
      <c r="E76" s="387">
        <v>419795327937974.94</v>
      </c>
      <c r="F76" s="387">
        <v>8418905656666714</v>
      </c>
      <c r="G76" s="422">
        <v>701575471388.89282</v>
      </c>
      <c r="H76" s="387">
        <f t="shared" si="13"/>
        <v>1311.3840108757604</v>
      </c>
      <c r="I76" s="387">
        <f t="shared" si="14"/>
        <v>598.3608963792816</v>
      </c>
      <c r="J76" s="388">
        <f t="shared" si="14"/>
        <v>12000</v>
      </c>
      <c r="K76" s="389">
        <v>84.39999999999948</v>
      </c>
      <c r="L76" s="392">
        <f>K76*P76</f>
        <v>7.3715033102257576E+24</v>
      </c>
      <c r="M76" s="392">
        <f t="shared" si="15"/>
        <v>10507071029197.418</v>
      </c>
      <c r="N76" s="390">
        <f t="shared" si="16"/>
        <v>208053974.88119343</v>
      </c>
      <c r="O76" s="391">
        <f>L76/F76</f>
        <v>875589252.4331181</v>
      </c>
      <c r="P76" s="392">
        <f t="shared" si="17"/>
        <v>8.7340086614049799E+22</v>
      </c>
    </row>
    <row r="77" spans="2:19">
      <c r="C77" s="386" t="s">
        <v>1630</v>
      </c>
      <c r="D77" s="387">
        <v>1.5914419228237162E+16</v>
      </c>
      <c r="E77" s="387">
        <v>8668358933408174</v>
      </c>
      <c r="F77" s="387">
        <v>1.1234296929824869E+17</v>
      </c>
      <c r="G77" s="422">
        <v>12470914629638.768</v>
      </c>
      <c r="H77" s="387">
        <f t="shared" si="13"/>
        <v>1276.1228587367966</v>
      </c>
      <c r="I77" s="387">
        <f t="shared" si="14"/>
        <v>695.08606151522201</v>
      </c>
      <c r="J77" s="388">
        <f t="shared" si="14"/>
        <v>9008.3985525208282</v>
      </c>
      <c r="K77" s="389">
        <v>60.100000000000584</v>
      </c>
      <c r="L77" s="392">
        <f>K77*P77</f>
        <v>7.3554009922259412E+25</v>
      </c>
      <c r="M77" s="392">
        <f t="shared" si="15"/>
        <v>5898044538565.6514</v>
      </c>
      <c r="N77" s="390">
        <f>P77/E77</f>
        <v>141187092.90222248</v>
      </c>
      <c r="O77" s="391">
        <f>L77/F77</f>
        <v>654727308.54200459</v>
      </c>
      <c r="P77" s="392">
        <f>K47</f>
        <v>1.2238603980409101E+24</v>
      </c>
    </row>
    <row r="78" spans="2:19">
      <c r="C78" s="386" t="s">
        <v>1631</v>
      </c>
      <c r="D78" s="387">
        <v>3457621804933241</v>
      </c>
      <c r="E78" s="387">
        <v>1915224202595984.3</v>
      </c>
      <c r="F78" s="387">
        <v>5.224369527938508E+16</v>
      </c>
      <c r="G78" s="422">
        <v>4015749038249.7085</v>
      </c>
      <c r="H78" s="387">
        <f t="shared" si="13"/>
        <v>861.01541007658909</v>
      </c>
      <c r="I78" s="387">
        <f t="shared" si="14"/>
        <v>476.92826029555567</v>
      </c>
      <c r="J78" s="388">
        <f t="shared" si="14"/>
        <v>13009.701249198542</v>
      </c>
      <c r="K78" s="389">
        <v>120.59999999999742</v>
      </c>
      <c r="L78" s="392">
        <f t="shared" si="18"/>
        <v>4.5977340256049731E+25</v>
      </c>
      <c r="M78" s="392">
        <f t="shared" si="15"/>
        <v>11449256369887.414</v>
      </c>
      <c r="N78" s="390">
        <f t="shared" si="16"/>
        <v>199056752.76247215</v>
      </c>
      <c r="O78" s="391">
        <f t="shared" si="19"/>
        <v>880055287.24902427</v>
      </c>
      <c r="P78" s="392">
        <f t="shared" si="17"/>
        <v>3.8123831058085172E+23</v>
      </c>
    </row>
    <row r="79" spans="2:19">
      <c r="C79" s="386" t="s">
        <v>1632</v>
      </c>
      <c r="D79" s="387">
        <v>8593372541727474</v>
      </c>
      <c r="E79" s="387">
        <v>4977790492187954</v>
      </c>
      <c r="F79" s="387">
        <v>1.0342338228289909E+17</v>
      </c>
      <c r="G79" s="422">
        <v>14772928638723.678</v>
      </c>
      <c r="H79" s="387">
        <f t="shared" si="13"/>
        <v>581.69728913480401</v>
      </c>
      <c r="I79" s="387">
        <f t="shared" si="14"/>
        <v>336.95353263535532</v>
      </c>
      <c r="J79" s="388">
        <f t="shared" si="14"/>
        <v>7000.8719876842551</v>
      </c>
      <c r="K79" s="389">
        <v>101.09999999999853</v>
      </c>
      <c r="L79" s="392">
        <f t="shared" si="18"/>
        <v>8.5989226522503433E+25</v>
      </c>
      <c r="M79" s="392">
        <f t="shared" si="15"/>
        <v>5820729838029.7705</v>
      </c>
      <c r="N79" s="390">
        <f t="shared" si="16"/>
        <v>170866244.07808575</v>
      </c>
      <c r="O79" s="391">
        <f t="shared" si="19"/>
        <v>831429263.13599813</v>
      </c>
      <c r="P79" s="392">
        <f t="shared" si="17"/>
        <v>8.5053636520776153E+23</v>
      </c>
    </row>
    <row r="80" spans="2:19">
      <c r="C80" s="386" t="s">
        <v>1633</v>
      </c>
      <c r="D80" s="387">
        <v>2.2310599772474276E+16</v>
      </c>
      <c r="E80" s="387">
        <v>9958492553047184</v>
      </c>
      <c r="F80" s="387">
        <v>1.7711970525009088E+16</v>
      </c>
      <c r="G80" s="422">
        <v>19675915816398.965</v>
      </c>
      <c r="H80" s="387">
        <f t="shared" si="13"/>
        <v>1133.904006332423</v>
      </c>
      <c r="I80" s="387">
        <f t="shared" si="14"/>
        <v>506.12599921510343</v>
      </c>
      <c r="J80" s="388">
        <f t="shared" si="14"/>
        <v>900.18531743498215</v>
      </c>
      <c r="K80" s="389">
        <v>10.999999999999977</v>
      </c>
      <c r="L80" s="392">
        <f t="shared" si="18"/>
        <v>2.2452153591315485E+25</v>
      </c>
      <c r="M80" s="392">
        <f t="shared" si="15"/>
        <v>1141098274704.0752</v>
      </c>
      <c r="N80" s="390">
        <f t="shared" si="16"/>
        <v>204961228.92748672</v>
      </c>
      <c r="O80" s="393">
        <f t="shared" si="19"/>
        <v>1267625957.2368481</v>
      </c>
      <c r="P80" s="392">
        <f t="shared" si="17"/>
        <v>2.0411048719377756E+24</v>
      </c>
    </row>
    <row r="81" spans="2:16">
      <c r="C81" s="386" t="s">
        <v>1634</v>
      </c>
      <c r="D81" s="387">
        <v>3696995155555159.5</v>
      </c>
      <c r="E81" s="387">
        <v>2115807287765019</v>
      </c>
      <c r="F81" s="387">
        <v>8808600847700459</v>
      </c>
      <c r="G81" s="422">
        <v>9783232534722.7305</v>
      </c>
      <c r="H81" s="387">
        <f t="shared" si="13"/>
        <v>377.890962157319</v>
      </c>
      <c r="I81" s="387">
        <f t="shared" si="14"/>
        <v>216.26873124558557</v>
      </c>
      <c r="J81" s="388">
        <f t="shared" si="14"/>
        <v>900.37733606319784</v>
      </c>
      <c r="K81" s="389">
        <v>18.29999999999999</v>
      </c>
      <c r="L81" s="392">
        <f t="shared" si="18"/>
        <v>9.1667803075431721E+24</v>
      </c>
      <c r="M81" s="392">
        <f t="shared" si="15"/>
        <v>936988901675.22437</v>
      </c>
      <c r="N81" s="390">
        <f t="shared" si="16"/>
        <v>236749802.11712939</v>
      </c>
      <c r="O81" s="391">
        <f t="shared" si="19"/>
        <v>1040662469.1066821</v>
      </c>
      <c r="P81" s="392">
        <f t="shared" si="17"/>
        <v>5.0091695669634849E+23</v>
      </c>
    </row>
    <row r="82" spans="2:16">
      <c r="C82" s="386" t="s">
        <v>1635</v>
      </c>
      <c r="D82" s="387">
        <v>1088339243666245.9</v>
      </c>
      <c r="E82" s="387">
        <v>469792767936525.81</v>
      </c>
      <c r="F82" s="387">
        <v>1952333050833362.3</v>
      </c>
      <c r="G82" s="422">
        <v>975873200694.45886</v>
      </c>
      <c r="H82" s="387">
        <f t="shared" si="13"/>
        <v>1115.2465739316881</v>
      </c>
      <c r="I82" s="387">
        <f t="shared" si="14"/>
        <v>481.40759230011446</v>
      </c>
      <c r="J82" s="388">
        <f t="shared" si="14"/>
        <v>2000.6011533506885</v>
      </c>
      <c r="K82" s="389">
        <v>25.800000000000097</v>
      </c>
      <c r="L82" s="392">
        <f t="shared" si="18"/>
        <v>2.2091507121959724E+24</v>
      </c>
      <c r="M82" s="392">
        <f t="shared" si="15"/>
        <v>2263768193064.3022</v>
      </c>
      <c r="N82" s="390">
        <f t="shared" si="16"/>
        <v>182263334.90155348</v>
      </c>
      <c r="O82" s="391">
        <f t="shared" si="19"/>
        <v>1131543980.8043952</v>
      </c>
      <c r="P82" s="392">
        <f t="shared" si="17"/>
        <v>8.5625996596742797E+22</v>
      </c>
    </row>
    <row r="83" spans="2:16">
      <c r="C83" s="386" t="s">
        <v>1636</v>
      </c>
      <c r="D83" s="387">
        <v>1067482950812498.4</v>
      </c>
      <c r="E83" s="387">
        <v>654363639900266.88</v>
      </c>
      <c r="F83" s="387">
        <v>4640329646974661</v>
      </c>
      <c r="G83" s="422">
        <v>5155921829971.8457</v>
      </c>
      <c r="H83" s="387">
        <f t="shared" si="13"/>
        <v>207.04017361301374</v>
      </c>
      <c r="I83" s="387">
        <f t="shared" si="14"/>
        <v>126.91496525342784</v>
      </c>
      <c r="J83" s="388">
        <f t="shared" si="14"/>
        <v>900</v>
      </c>
      <c r="K83" s="389">
        <v>44.100000000000357</v>
      </c>
      <c r="L83" s="392">
        <f t="shared" si="18"/>
        <v>1.1940964349111947E+25</v>
      </c>
      <c r="M83" s="392">
        <f t="shared" si="15"/>
        <v>2315970789102.7417</v>
      </c>
      <c r="N83" s="390">
        <f t="shared" si="16"/>
        <v>413791583.35844564</v>
      </c>
      <c r="O83" s="393">
        <f t="shared" si="19"/>
        <v>2573300876.7808242</v>
      </c>
      <c r="P83" s="392">
        <f t="shared" si="17"/>
        <v>2.7077016664652719E+23</v>
      </c>
    </row>
    <row r="84" spans="2:16">
      <c r="C84" s="386" t="s">
        <v>2</v>
      </c>
      <c r="D84" s="387">
        <v>2578604058518054</v>
      </c>
      <c r="E84" s="387">
        <v>1610946806281486.3</v>
      </c>
      <c r="F84" s="387">
        <v>5769891626043897</v>
      </c>
      <c r="G84" s="422">
        <v>11535135539837.83</v>
      </c>
      <c r="H84" s="387">
        <f t="shared" si="13"/>
        <v>223.54345552443382</v>
      </c>
      <c r="I84" s="387">
        <f t="shared" si="14"/>
        <v>139.65564606656838</v>
      </c>
      <c r="J84" s="388">
        <f t="shared" si="14"/>
        <v>500.20145893535073</v>
      </c>
      <c r="K84" s="389">
        <v>28.700000000000138</v>
      </c>
      <c r="L84" s="392">
        <f t="shared" si="18"/>
        <v>2.1013812457801649E+25</v>
      </c>
      <c r="M84" s="392">
        <f t="shared" si="15"/>
        <v>1821722196954.5298</v>
      </c>
      <c r="N84" s="390">
        <f t="shared" si="16"/>
        <v>454508233.62066185</v>
      </c>
      <c r="O84" s="393">
        <f t="shared" si="19"/>
        <v>3641976976.3006248</v>
      </c>
      <c r="P84" s="392">
        <f t="shared" si="17"/>
        <v>7.3218858737984486E+23</v>
      </c>
    </row>
    <row r="85" spans="2:16">
      <c r="C85" s="386" t="s">
        <v>1637</v>
      </c>
      <c r="D85" s="387">
        <v>2225840558567237.5</v>
      </c>
      <c r="E85" s="387">
        <v>1318149275660488.5</v>
      </c>
      <c r="F85" s="387">
        <v>9459881725499958</v>
      </c>
      <c r="G85" s="422">
        <v>3151193469527.7651</v>
      </c>
      <c r="H85" s="387">
        <f t="shared" si="13"/>
        <v>706.3484296001667</v>
      </c>
      <c r="I85" s="387">
        <f t="shared" si="14"/>
        <v>418.3016017287016</v>
      </c>
      <c r="J85" s="388">
        <f t="shared" si="14"/>
        <v>3001.9996604390039</v>
      </c>
      <c r="K85" s="389">
        <v>44.600000000000364</v>
      </c>
      <c r="L85" s="392">
        <f t="shared" si="18"/>
        <v>7.5999566211367878E+24</v>
      </c>
      <c r="M85" s="392">
        <f t="shared" si="15"/>
        <v>2411770871775.6738</v>
      </c>
      <c r="N85" s="390">
        <f t="shared" si="16"/>
        <v>129274140.6228891</v>
      </c>
      <c r="O85" s="391">
        <f t="shared" si="19"/>
        <v>803388122.77646399</v>
      </c>
      <c r="P85" s="392">
        <f t="shared" si="17"/>
        <v>1.704026148236934E+23</v>
      </c>
    </row>
    <row r="86" spans="2:16">
      <c r="C86" s="394" t="s">
        <v>1638</v>
      </c>
      <c r="D86" s="387">
        <v>3255672684117710.5</v>
      </c>
      <c r="E86" s="387">
        <v>1417916449363509.5</v>
      </c>
      <c r="F86" s="387">
        <v>8151026248776410</v>
      </c>
      <c r="G86" s="422">
        <v>27169110601476.922</v>
      </c>
      <c r="H86" s="387">
        <f t="shared" si="13"/>
        <v>119.82993230336848</v>
      </c>
      <c r="I86" s="387">
        <f t="shared" si="14"/>
        <v>52.188548611761739</v>
      </c>
      <c r="J86" s="388">
        <f t="shared" si="14"/>
        <v>300.01078682102008</v>
      </c>
      <c r="K86" s="389">
        <v>46.000000000000384</v>
      </c>
      <c r="L86" s="392">
        <f t="shared" si="18"/>
        <v>4.0701046181621137E+25</v>
      </c>
      <c r="M86" s="392">
        <f t="shared" si="15"/>
        <v>1498063252000.918</v>
      </c>
      <c r="N86" s="390">
        <f t="shared" si="16"/>
        <v>624017975.22805142</v>
      </c>
      <c r="O86" s="393">
        <f t="shared" si="19"/>
        <v>4993364631.567831</v>
      </c>
      <c r="P86" s="392">
        <f t="shared" si="17"/>
        <v>8.8480535177436512E+23</v>
      </c>
    </row>
    <row r="87" spans="2:16">
      <c r="C87" s="386" t="s">
        <v>1639</v>
      </c>
      <c r="D87" s="387">
        <v>461792649828378.5</v>
      </c>
      <c r="E87" s="387">
        <v>193298263388876.69</v>
      </c>
      <c r="F87" s="387">
        <v>3555258060000012.5</v>
      </c>
      <c r="G87" s="422">
        <v>275169109722.22278</v>
      </c>
      <c r="H87" s="387">
        <f t="shared" si="13"/>
        <v>1678.2139910055607</v>
      </c>
      <c r="I87" s="387">
        <f t="shared" si="14"/>
        <v>702.47079544650592</v>
      </c>
      <c r="J87" s="388">
        <f t="shared" si="14"/>
        <v>12920.265881548143</v>
      </c>
      <c r="K87" s="389">
        <v>89.49999999999919</v>
      </c>
      <c r="L87" s="392">
        <f t="shared" si="18"/>
        <v>7.6881972216258153E+24</v>
      </c>
      <c r="M87" s="392">
        <f t="shared" si="15"/>
        <v>27939899320046.801</v>
      </c>
      <c r="N87" s="390">
        <f t="shared" si="16"/>
        <v>444399465.51175594</v>
      </c>
      <c r="O87" s="391">
        <f t="shared" si="19"/>
        <v>2162486405.1713276</v>
      </c>
      <c r="P87" s="392">
        <f t="shared" si="17"/>
        <v>8.5901644934367427E+22</v>
      </c>
    </row>
    <row r="88" spans="2:16">
      <c r="C88" s="395" t="s">
        <v>1640</v>
      </c>
      <c r="D88" s="387">
        <v>1962081722994358.5</v>
      </c>
      <c r="E88" s="387">
        <v>924414395045200.13</v>
      </c>
      <c r="F88" s="387">
        <v>31216879647498.578</v>
      </c>
      <c r="G88" s="422">
        <v>3121687964749.8579</v>
      </c>
      <c r="H88" s="387">
        <f t="shared" si="13"/>
        <v>628.53230212314986</v>
      </c>
      <c r="I88" s="387">
        <f t="shared" si="14"/>
        <v>296.12645641835434</v>
      </c>
      <c r="J88" s="388">
        <f t="shared" si="14"/>
        <v>10</v>
      </c>
      <c r="K88" s="389">
        <v>0.6</v>
      </c>
      <c r="L88" s="392">
        <f t="shared" si="18"/>
        <v>2.1676980262311874E+24</v>
      </c>
      <c r="M88" s="392">
        <f t="shared" si="15"/>
        <v>694399328411.05908</v>
      </c>
      <c r="N88" s="390">
        <f t="shared" si="16"/>
        <v>3908236460.9239917</v>
      </c>
      <c r="O88" s="391">
        <f t="shared" si="19"/>
        <v>69439932841.105911</v>
      </c>
      <c r="P88" s="392">
        <f t="shared" si="17"/>
        <v>3.6128300437186458E+24</v>
      </c>
    </row>
    <row r="89" spans="2:16">
      <c r="C89" s="395" t="s">
        <v>1641</v>
      </c>
      <c r="D89" s="387">
        <v>808954068976855.88</v>
      </c>
      <c r="E89" s="387">
        <v>449437022685469</v>
      </c>
      <c r="F89" s="387">
        <v>9941855265277.8535</v>
      </c>
      <c r="G89" s="422">
        <v>994185526527.78528</v>
      </c>
      <c r="H89" s="387">
        <f t="shared" si="13"/>
        <v>813.68522010388313</v>
      </c>
      <c r="I89" s="387">
        <f t="shared" si="14"/>
        <v>452.06554580927934</v>
      </c>
      <c r="J89" s="388">
        <f t="shared" si="14"/>
        <v>10</v>
      </c>
      <c r="K89" s="389">
        <v>0.6</v>
      </c>
      <c r="L89" s="392">
        <f t="shared" si="18"/>
        <v>3.9438953478968924E+22</v>
      </c>
      <c r="M89" s="392">
        <f t="shared" si="15"/>
        <v>39669611382.002647</v>
      </c>
      <c r="N89" s="390">
        <f t="shared" si="16"/>
        <v>146253169.66291854</v>
      </c>
      <c r="O89" s="391">
        <f t="shared" si="19"/>
        <v>3966961138.2002645</v>
      </c>
      <c r="P89" s="392">
        <f t="shared" si="17"/>
        <v>6.5731589131614871E+22</v>
      </c>
    </row>
    <row r="90" spans="2:16">
      <c r="C90" s="728" t="s">
        <v>1642</v>
      </c>
      <c r="D90" s="396">
        <v>19449433432756.348</v>
      </c>
      <c r="E90" s="396">
        <v>11113076887995.877</v>
      </c>
      <c r="F90" s="396">
        <v>110696206446296.16</v>
      </c>
      <c r="G90" s="423">
        <v>11069620644629.615</v>
      </c>
      <c r="H90" s="396">
        <f t="shared" si="13"/>
        <v>1.7570099335059117</v>
      </c>
      <c r="I90" s="396">
        <f>E90/$G90</f>
        <v>1.0039257211029489</v>
      </c>
      <c r="J90" s="426">
        <f>F90/$G90</f>
        <v>10</v>
      </c>
      <c r="K90" s="427">
        <v>13.699999999999967</v>
      </c>
      <c r="L90" s="398">
        <f t="shared" si="18"/>
        <v>1.335681149776129E+25</v>
      </c>
      <c r="M90" s="398">
        <f t="shared" si="15"/>
        <v>1206618720420.3152</v>
      </c>
      <c r="N90" s="428">
        <f t="shared" si="16"/>
        <v>87729955815.860626</v>
      </c>
      <c r="O90" s="429">
        <f t="shared" si="19"/>
        <v>120661872042.03151</v>
      </c>
      <c r="P90" s="398">
        <f t="shared" si="17"/>
        <v>9.7494974436214018E+23</v>
      </c>
    </row>
    <row r="91" spans="2:16">
      <c r="C91" s="357" t="s">
        <v>1643</v>
      </c>
      <c r="D91" s="374">
        <f>SUM(D74:D90)</f>
        <v>1.2265781814899435E+17</v>
      </c>
      <c r="E91" s="374">
        <f>SUM(E74:E90)</f>
        <v>5.7607122449484224E+16</v>
      </c>
      <c r="F91" s="374">
        <f>SUM(F74:F90)</f>
        <v>5.8300612581113574E+17</v>
      </c>
      <c r="G91" s="374">
        <f>SUM(G74:G90)</f>
        <v>146781265477100.41</v>
      </c>
      <c r="H91" s="399" t="s">
        <v>1647</v>
      </c>
      <c r="I91" s="399" t="s">
        <v>1647</v>
      </c>
      <c r="J91" s="399" t="s">
        <v>1647</v>
      </c>
      <c r="K91" s="399" t="s">
        <v>1647</v>
      </c>
      <c r="L91" s="374">
        <f>SUM(L74:L90)</f>
        <v>5.8900052575114555E+26</v>
      </c>
      <c r="M91" s="399" t="s">
        <v>1647</v>
      </c>
      <c r="N91" s="399" t="s">
        <v>1647</v>
      </c>
      <c r="O91" s="399" t="s">
        <v>1647</v>
      </c>
      <c r="P91" s="374">
        <f>SUM(P74:P90)</f>
        <v>1.671834111319597E+25</v>
      </c>
    </row>
    <row r="92" spans="2:16">
      <c r="B92" s="847" t="s">
        <v>1644</v>
      </c>
      <c r="C92" s="847"/>
      <c r="D92" s="387"/>
      <c r="E92" s="387"/>
      <c r="F92" s="387"/>
      <c r="G92" s="422"/>
      <c r="H92" s="387"/>
      <c r="I92" s="387"/>
      <c r="J92" s="388"/>
      <c r="K92" s="389"/>
      <c r="L92" s="392"/>
      <c r="M92" s="392"/>
      <c r="N92" s="397"/>
      <c r="O92" s="400"/>
      <c r="P92" s="401" t="s">
        <v>1647</v>
      </c>
    </row>
    <row r="93" spans="2:16">
      <c r="C93" s="395" t="s">
        <v>1645</v>
      </c>
      <c r="D93" s="387">
        <f>H93*G93</f>
        <v>1251993366583340.8</v>
      </c>
      <c r="E93" s="387">
        <f>I93*G93</f>
        <v>625996683291670.38</v>
      </c>
      <c r="F93" s="387">
        <f>J93*G93</f>
        <v>417331122194446.88</v>
      </c>
      <c r="G93" s="422">
        <v>834662244388.8938</v>
      </c>
      <c r="H93" s="387">
        <v>1500</v>
      </c>
      <c r="I93" s="387">
        <f>H93/2</f>
        <v>750</v>
      </c>
      <c r="J93" s="388">
        <v>500</v>
      </c>
      <c r="K93" s="389">
        <v>6.3999999999999932</v>
      </c>
      <c r="L93" s="392">
        <f>K93*P93</f>
        <v>7.3395329522786831E+25</v>
      </c>
      <c r="M93" s="392">
        <f>L93/G93</f>
        <v>87934167402676.688</v>
      </c>
      <c r="N93" s="402">
        <f>P93/E93</f>
        <v>18319618208.890995</v>
      </c>
      <c r="O93" s="400">
        <f>L93/F93</f>
        <v>175868334805.35339</v>
      </c>
      <c r="P93" s="392">
        <f>K63</f>
        <v>1.1468020237935454E+25</v>
      </c>
    </row>
    <row r="94" spans="2:16" ht="15" thickBot="1">
      <c r="C94" s="727" t="s">
        <v>1646</v>
      </c>
      <c r="D94" s="387">
        <f>H94*G94</f>
        <v>4.7040721562295984E+16</v>
      </c>
      <c r="E94" s="387">
        <f>I94*G94</f>
        <v>2.3520360781147992E+16</v>
      </c>
      <c r="F94" s="387">
        <f>J94*G94</f>
        <v>1085555112976061.3</v>
      </c>
      <c r="G94" s="422">
        <v>361851704325353.75</v>
      </c>
      <c r="H94" s="431">
        <v>130</v>
      </c>
      <c r="I94" s="431">
        <f>H94/2</f>
        <v>65</v>
      </c>
      <c r="J94" s="432">
        <v>3</v>
      </c>
      <c r="K94" s="433">
        <v>3.1000000000000014</v>
      </c>
      <c r="L94" s="434">
        <f>K94*P94</f>
        <v>3.0424907063622013E+25</v>
      </c>
      <c r="M94" s="434">
        <f>L94/G94</f>
        <v>84081148989.879837</v>
      </c>
      <c r="N94" s="435">
        <f>P94/E94</f>
        <v>417276173.64704621</v>
      </c>
      <c r="O94" s="436">
        <f>L94/F94</f>
        <v>28027049663.293278</v>
      </c>
      <c r="P94" s="434">
        <f>K64</f>
        <v>9.8144861495554843E+24</v>
      </c>
    </row>
    <row r="95" spans="2:16" ht="15.5" thickTop="1" thickBot="1">
      <c r="B95" s="424"/>
      <c r="C95" s="367" t="s">
        <v>14</v>
      </c>
      <c r="D95" s="378">
        <f>D91+D93+D94</f>
        <v>1.7095053307787366E+17</v>
      </c>
      <c r="E95" s="378">
        <f>E91+E93+E94</f>
        <v>8.1753479913923888E+16</v>
      </c>
      <c r="F95" s="378">
        <f>F91+F93+F94</f>
        <v>5.8450901204630618E+17</v>
      </c>
      <c r="G95" s="378">
        <f>G91+G93+G94</f>
        <v>509467632046843.06</v>
      </c>
      <c r="H95" s="403" t="s">
        <v>1647</v>
      </c>
      <c r="I95" s="403" t="s">
        <v>1647</v>
      </c>
      <c r="J95" s="403" t="s">
        <v>1647</v>
      </c>
      <c r="K95" s="403" t="s">
        <v>1647</v>
      </c>
      <c r="L95" s="430">
        <f>L91+L93+L94</f>
        <v>6.9282076233755445E+26</v>
      </c>
      <c r="M95" s="425"/>
      <c r="N95" s="404"/>
      <c r="O95" s="404"/>
      <c r="P95" s="430">
        <f>P91+P93+P94</f>
        <v>3.8000847500686909E+25</v>
      </c>
    </row>
    <row r="97" spans="3:15" ht="18" thickBot="1">
      <c r="C97" s="723" t="s">
        <v>1967</v>
      </c>
      <c r="D97" s="444"/>
      <c r="E97" s="444"/>
      <c r="F97" s="444"/>
      <c r="G97" s="444"/>
      <c r="H97" s="444"/>
      <c r="I97" s="444"/>
      <c r="J97" s="444"/>
      <c r="M97" s="444"/>
      <c r="N97" s="444"/>
      <c r="O97" s="444"/>
    </row>
    <row r="98" spans="3:15" ht="42.5">
      <c r="C98" s="851" t="s">
        <v>1623</v>
      </c>
      <c r="D98" s="852" t="s">
        <v>1674</v>
      </c>
      <c r="E98" s="852"/>
      <c r="F98" s="441" t="s">
        <v>1664</v>
      </c>
      <c r="G98" s="405" t="s">
        <v>4</v>
      </c>
      <c r="H98" s="442" t="s">
        <v>1675</v>
      </c>
      <c r="I98" s="405" t="s">
        <v>1676</v>
      </c>
      <c r="J98" s="814" t="s">
        <v>1677</v>
      </c>
      <c r="M98" s="356" t="s">
        <v>1677</v>
      </c>
      <c r="N98" s="442" t="s">
        <v>1675</v>
      </c>
      <c r="O98" s="442" t="s">
        <v>1674</v>
      </c>
    </row>
    <row r="99" spans="3:15" ht="16">
      <c r="C99" s="852"/>
      <c r="D99" s="405" t="s">
        <v>1678</v>
      </c>
      <c r="E99" s="405" t="s">
        <v>1679</v>
      </c>
      <c r="F99" s="405" t="s">
        <v>1680</v>
      </c>
      <c r="G99" s="405" t="s">
        <v>1681</v>
      </c>
      <c r="H99" s="405" t="s">
        <v>1670</v>
      </c>
      <c r="I99" s="405" t="s">
        <v>1682</v>
      </c>
      <c r="J99" s="405" t="s">
        <v>1683</v>
      </c>
      <c r="M99" s="382" t="s">
        <v>1673</v>
      </c>
      <c r="N99" s="405" t="s">
        <v>1670</v>
      </c>
      <c r="O99" s="405" t="s">
        <v>1679</v>
      </c>
    </row>
    <row r="100" spans="3:15" ht="15.5">
      <c r="C100" s="291" t="s">
        <v>1627</v>
      </c>
      <c r="D100" s="406">
        <v>223820601655572.44</v>
      </c>
      <c r="E100" s="407">
        <f>D100/G100</f>
        <v>11.762176321475431</v>
      </c>
      <c r="F100" s="408">
        <f t="shared" ref="F100:F113" si="20">P74</f>
        <v>4.3647022514925119E+24</v>
      </c>
      <c r="G100" s="406">
        <f t="shared" ref="G100:G113" si="21">G74</f>
        <v>19028842583061.762</v>
      </c>
      <c r="H100" s="409">
        <v>38</v>
      </c>
      <c r="I100" s="406">
        <f>H100*F100</f>
        <v>1.6585868555671547E+26</v>
      </c>
      <c r="J100" s="406">
        <f>I100/(D100*1000)</f>
        <v>741034043.9167794</v>
      </c>
      <c r="L100" s="121" t="s">
        <v>1904</v>
      </c>
      <c r="M100" s="3">
        <f>SUMPRODUCT(J100:J113,D100:D113)/D114</f>
        <v>569285231.56600964</v>
      </c>
      <c r="N100" s="324">
        <f>SUMPRODUCT(H100:H113,D100:D113)/D114</f>
        <v>98.667856647248627</v>
      </c>
      <c r="O100" s="324">
        <f>SUMPRODUCT(E100:E113,G100:G113)/G114</f>
        <v>11.457504773529674</v>
      </c>
    </row>
    <row r="101" spans="3:15" ht="16.5">
      <c r="C101" s="291" t="s">
        <v>1628</v>
      </c>
      <c r="D101" s="406">
        <v>31647408734407.98</v>
      </c>
      <c r="E101" s="407">
        <f t="shared" ref="E101:E113" si="22">D101/G101</f>
        <v>10.972647986158822</v>
      </c>
      <c r="F101" s="408">
        <f t="shared" si="20"/>
        <v>3.8543613325782172E+23</v>
      </c>
      <c r="G101" s="406">
        <f t="shared" si="21"/>
        <v>2884208877777.6182</v>
      </c>
      <c r="H101" s="409">
        <v>38</v>
      </c>
      <c r="I101" s="406">
        <f t="shared" ref="I101:I113" si="23">H101*F101</f>
        <v>1.4646573063797226E+25</v>
      </c>
      <c r="J101" s="406">
        <f t="shared" ref="J101:J113" si="24">I101/(D101*1000)</f>
        <v>462804812.44813728</v>
      </c>
      <c r="L101" s="121" t="s">
        <v>1909</v>
      </c>
      <c r="M101" s="62">
        <f>P44*N101/O101/1000</f>
        <v>108635132.78545268</v>
      </c>
      <c r="N101" s="123">
        <v>21</v>
      </c>
      <c r="O101" s="123">
        <v>22</v>
      </c>
    </row>
    <row r="102" spans="3:15" ht="15.5">
      <c r="C102" s="291" t="s">
        <v>1629</v>
      </c>
      <c r="D102" s="406">
        <v>9158357377078.3711</v>
      </c>
      <c r="E102" s="407">
        <f t="shared" si="22"/>
        <v>13.053987419126528</v>
      </c>
      <c r="F102" s="408">
        <f t="shared" si="20"/>
        <v>8.7340086614049799E+22</v>
      </c>
      <c r="G102" s="406">
        <f t="shared" si="21"/>
        <v>701575471388.89282</v>
      </c>
      <c r="H102" s="409">
        <v>38</v>
      </c>
      <c r="I102" s="406">
        <f t="shared" si="23"/>
        <v>3.3189232913338924E+24</v>
      </c>
      <c r="J102" s="406">
        <f t="shared" si="24"/>
        <v>362392856.56623608</v>
      </c>
      <c r="M102" t="s">
        <v>1910</v>
      </c>
    </row>
    <row r="103" spans="3:15" ht="15.5">
      <c r="C103" s="291" t="s">
        <v>1630</v>
      </c>
      <c r="D103" s="406">
        <v>161727215208152.16</v>
      </c>
      <c r="E103" s="407">
        <f t="shared" si="22"/>
        <v>12.96835236316879</v>
      </c>
      <c r="F103" s="408">
        <f t="shared" si="20"/>
        <v>1.2238603980409101E+24</v>
      </c>
      <c r="G103" s="406">
        <f t="shared" si="21"/>
        <v>12470914629638.768</v>
      </c>
      <c r="H103" s="409">
        <v>29</v>
      </c>
      <c r="I103" s="406">
        <f t="shared" si="23"/>
        <v>3.5491951543186392E+25</v>
      </c>
      <c r="J103" s="406">
        <f t="shared" si="24"/>
        <v>219455652.51653051</v>
      </c>
    </row>
    <row r="104" spans="3:15" ht="15.5">
      <c r="C104" s="291" t="s">
        <v>1631</v>
      </c>
      <c r="D104" s="406">
        <v>54555325938977.469</v>
      </c>
      <c r="E104" s="407">
        <f t="shared" si="22"/>
        <v>13.585342465214355</v>
      </c>
      <c r="F104" s="408">
        <f t="shared" si="20"/>
        <v>3.8123831058085172E+23</v>
      </c>
      <c r="G104" s="406">
        <f t="shared" si="21"/>
        <v>4015749038249.7085</v>
      </c>
      <c r="H104" s="409">
        <v>29</v>
      </c>
      <c r="I104" s="406">
        <f t="shared" si="23"/>
        <v>1.1055911006844701E+25</v>
      </c>
      <c r="J104" s="406">
        <f t="shared" si="24"/>
        <v>202655026.18774971</v>
      </c>
    </row>
    <row r="105" spans="3:15" ht="15.5">
      <c r="C105" s="291" t="s">
        <v>1632</v>
      </c>
      <c r="D105" s="406">
        <v>347862970166335</v>
      </c>
      <c r="E105" s="407">
        <f t="shared" si="22"/>
        <v>23.547326239327788</v>
      </c>
      <c r="F105" s="408">
        <f t="shared" si="20"/>
        <v>8.5053636520776153E+23</v>
      </c>
      <c r="G105" s="406">
        <f t="shared" si="21"/>
        <v>14772928638723.678</v>
      </c>
      <c r="H105" s="409">
        <v>91</v>
      </c>
      <c r="I105" s="406">
        <f t="shared" si="23"/>
        <v>7.73988092339063E+25</v>
      </c>
      <c r="J105" s="406">
        <f t="shared" si="24"/>
        <v>222497983.03308082</v>
      </c>
    </row>
    <row r="106" spans="3:15" ht="15.5">
      <c r="C106" s="291" t="s">
        <v>1633</v>
      </c>
      <c r="D106" s="406">
        <v>166194248324012.84</v>
      </c>
      <c r="E106" s="407">
        <f t="shared" si="22"/>
        <v>8.4465826076312869</v>
      </c>
      <c r="F106" s="408">
        <f t="shared" si="20"/>
        <v>2.0411048719377756E+24</v>
      </c>
      <c r="G106" s="406">
        <f t="shared" si="21"/>
        <v>19675915816398.965</v>
      </c>
      <c r="H106" s="409">
        <v>10</v>
      </c>
      <c r="I106" s="406">
        <f t="shared" si="23"/>
        <v>2.0411048719377755E+25</v>
      </c>
      <c r="J106" s="406">
        <f t="shared" si="24"/>
        <v>122814410.99925618</v>
      </c>
    </row>
    <row r="107" spans="3:15" ht="15.5">
      <c r="C107" s="291" t="s">
        <v>1634</v>
      </c>
      <c r="D107" s="406">
        <v>110471897640525.25</v>
      </c>
      <c r="E107" s="407">
        <f t="shared" si="22"/>
        <v>11.291962779013733</v>
      </c>
      <c r="F107" s="408">
        <f t="shared" si="20"/>
        <v>5.0091695669634849E+23</v>
      </c>
      <c r="G107" s="406">
        <f t="shared" si="21"/>
        <v>9783232534722.7305</v>
      </c>
      <c r="H107" s="409">
        <v>61</v>
      </c>
      <c r="I107" s="406">
        <f t="shared" si="23"/>
        <v>3.0555934358477258E+25</v>
      </c>
      <c r="J107" s="406">
        <f t="shared" si="24"/>
        <v>276594636.38350856</v>
      </c>
    </row>
    <row r="108" spans="3:15" ht="15.5">
      <c r="C108" s="291" t="s">
        <v>1635</v>
      </c>
      <c r="D108" s="406">
        <v>12330813103028.666</v>
      </c>
      <c r="E108" s="407">
        <f t="shared" si="22"/>
        <v>12.635671411258873</v>
      </c>
      <c r="F108" s="408">
        <f t="shared" si="20"/>
        <v>8.5625996596742797E+22</v>
      </c>
      <c r="G108" s="406">
        <f t="shared" si="21"/>
        <v>975873200694.45886</v>
      </c>
      <c r="H108" s="409">
        <v>520</v>
      </c>
      <c r="I108" s="406">
        <f t="shared" si="23"/>
        <v>4.4525518230306257E+25</v>
      </c>
      <c r="J108" s="406">
        <f t="shared" si="24"/>
        <v>3610915019.0079517</v>
      </c>
    </row>
    <row r="109" spans="3:15" ht="15.5">
      <c r="C109" s="291" t="s">
        <v>1636</v>
      </c>
      <c r="D109" s="406">
        <v>51487019544349.641</v>
      </c>
      <c r="E109" s="407">
        <f t="shared" si="22"/>
        <v>9.985996925913593</v>
      </c>
      <c r="F109" s="408">
        <f t="shared" si="20"/>
        <v>2.7077016664652719E+23</v>
      </c>
      <c r="G109" s="406">
        <f t="shared" si="21"/>
        <v>5155921829971.8457</v>
      </c>
      <c r="H109" s="409">
        <v>61</v>
      </c>
      <c r="I109" s="406">
        <f t="shared" si="23"/>
        <v>1.6516980165438158E+25</v>
      </c>
      <c r="J109" s="406">
        <f t="shared" si="24"/>
        <v>320798918.0886814</v>
      </c>
    </row>
    <row r="110" spans="3:15" ht="15.5">
      <c r="C110" s="291" t="s">
        <v>2</v>
      </c>
      <c r="D110" s="406">
        <v>150446748916569.5</v>
      </c>
      <c r="E110" s="407">
        <f t="shared" si="22"/>
        <v>13.042477775574071</v>
      </c>
      <c r="F110" s="408">
        <f t="shared" si="20"/>
        <v>7.3218858737984486E+23</v>
      </c>
      <c r="G110" s="406">
        <f t="shared" si="21"/>
        <v>11535135539837.83</v>
      </c>
      <c r="H110" s="409">
        <v>490</v>
      </c>
      <c r="I110" s="406">
        <f t="shared" si="23"/>
        <v>3.5877240781612397E+26</v>
      </c>
      <c r="J110" s="406">
        <f t="shared" si="24"/>
        <v>2384713597.3345747</v>
      </c>
    </row>
    <row r="111" spans="3:15" ht="15.5">
      <c r="C111" s="291" t="s">
        <v>1637</v>
      </c>
      <c r="D111" s="406">
        <v>30130092873141.285</v>
      </c>
      <c r="E111" s="407">
        <f t="shared" si="22"/>
        <v>9.5614862002289414</v>
      </c>
      <c r="F111" s="408">
        <f t="shared" si="20"/>
        <v>1.704026148236934E+23</v>
      </c>
      <c r="G111" s="406">
        <f t="shared" si="21"/>
        <v>3151193469527.7651</v>
      </c>
      <c r="H111" s="409">
        <v>14</v>
      </c>
      <c r="I111" s="406">
        <f t="shared" si="23"/>
        <v>2.3856366075317076E+24</v>
      </c>
      <c r="J111" s="406">
        <f t="shared" si="24"/>
        <v>79177871.02668786</v>
      </c>
    </row>
    <row r="112" spans="3:15" ht="15.5">
      <c r="C112" s="291" t="s">
        <v>1638</v>
      </c>
      <c r="D112" s="406">
        <v>152033366455055.25</v>
      </c>
      <c r="E112" s="407">
        <f t="shared" si="22"/>
        <v>5.5958168335032159</v>
      </c>
      <c r="F112" s="408">
        <f t="shared" si="20"/>
        <v>8.8480535177436512E+23</v>
      </c>
      <c r="G112" s="406">
        <f t="shared" si="21"/>
        <v>27169110601476.922</v>
      </c>
      <c r="H112" s="409">
        <v>37</v>
      </c>
      <c r="I112" s="406">
        <f t="shared" si="23"/>
        <v>3.273779801565151E+25</v>
      </c>
      <c r="J112" s="406">
        <f t="shared" si="24"/>
        <v>215332981.03564388</v>
      </c>
    </row>
    <row r="113" spans="3:10" ht="15.5">
      <c r="C113" s="729" t="s">
        <v>1639</v>
      </c>
      <c r="D113" s="410">
        <v>5893112380834.1875</v>
      </c>
      <c r="E113" s="438">
        <f t="shared" si="22"/>
        <v>21.416329713691905</v>
      </c>
      <c r="F113" s="439">
        <f t="shared" si="20"/>
        <v>8.5901644934367427E+22</v>
      </c>
      <c r="G113" s="410">
        <f t="shared" si="21"/>
        <v>275169109722.22278</v>
      </c>
      <c r="H113" s="440">
        <v>520</v>
      </c>
      <c r="I113" s="410">
        <f t="shared" si="23"/>
        <v>4.4668855365871064E+25</v>
      </c>
      <c r="J113" s="410">
        <f t="shared" si="24"/>
        <v>7579841088.9201555</v>
      </c>
    </row>
    <row r="114" spans="3:10" ht="15" thickBot="1">
      <c r="C114" s="411" t="s">
        <v>14</v>
      </c>
      <c r="D114" s="412">
        <f>SUM(D100:D113)</f>
        <v>1507759178318040</v>
      </c>
      <c r="E114" s="413"/>
      <c r="F114" s="414"/>
      <c r="G114" s="415">
        <f>SUM(G100:G113)</f>
        <v>131595771341193.16</v>
      </c>
      <c r="H114" s="413"/>
      <c r="I114" s="416"/>
      <c r="J114" s="413"/>
    </row>
  </sheetData>
  <mergeCells count="15">
    <mergeCell ref="C98:C99"/>
    <mergeCell ref="D98:E98"/>
    <mergeCell ref="C71:C72"/>
    <mergeCell ref="L71:M71"/>
    <mergeCell ref="D72:E72"/>
    <mergeCell ref="H72:I72"/>
    <mergeCell ref="B73:C73"/>
    <mergeCell ref="B92:C92"/>
    <mergeCell ref="B43:C43"/>
    <mergeCell ref="B62:C62"/>
    <mergeCell ref="C2:E2"/>
    <mergeCell ref="C13:C14"/>
    <mergeCell ref="B15:C15"/>
    <mergeCell ref="B34:C34"/>
    <mergeCell ref="C41:C42"/>
  </mergeCells>
  <phoneticPr fontId="45" type="noConversion"/>
  <conditionalFormatting sqref="G63">
    <cfRule type="colorScale" priority="2">
      <colorScale>
        <cfvo type="min"/>
        <cfvo type="max"/>
        <color rgb="FFFCFCFF"/>
        <color rgb="FF63BE7B"/>
      </colorScale>
    </cfRule>
  </conditionalFormatting>
  <conditionalFormatting sqref="D44:J60">
    <cfRule type="colorScale" priority="7">
      <colorScale>
        <cfvo type="min"/>
        <cfvo type="max"/>
        <color rgb="FFFCFCFF"/>
        <color rgb="FF63BE7B"/>
      </colorScale>
    </cfRule>
  </conditionalFormatting>
  <conditionalFormatting sqref="G64">
    <cfRule type="colorScale" priority="1">
      <colorScale>
        <cfvo type="min"/>
        <cfvo type="max"/>
        <color rgb="FFFCFCFF"/>
        <color rgb="FF63BE7B"/>
      </colorScale>
    </cfRule>
  </conditionalFormatting>
  <pageMargins left="0.7" right="0.7" top="0.75" bottom="0.75" header="0.3" footer="0.3"/>
  <pageSetup orientation="portrait" horizontalDpi="300" verticalDpi="30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9">
    <tabColor theme="2" tint="-0.749992370372631"/>
  </sheetPr>
  <dimension ref="A1:L116"/>
  <sheetViews>
    <sheetView topLeftCell="A17" zoomScaleNormal="100" workbookViewId="0">
      <selection activeCell="F8" sqref="F8"/>
    </sheetView>
  </sheetViews>
  <sheetFormatPr defaultColWidth="8.81640625" defaultRowHeight="14.5"/>
  <cols>
    <col min="1" max="1" width="8" customWidth="1"/>
    <col min="2" max="2" width="33.453125" customWidth="1"/>
    <col min="3" max="3" width="13.1796875" customWidth="1"/>
    <col min="4" max="4" width="22.6328125" bestFit="1" customWidth="1"/>
    <col min="5" max="5" width="25.81640625" customWidth="1"/>
    <col min="6" max="6" width="17.36328125" bestFit="1" customWidth="1"/>
    <col min="7" max="7" width="17.36328125" customWidth="1"/>
    <col min="8" max="8" width="16" bestFit="1" customWidth="1"/>
    <col min="10" max="10" width="11.1796875" bestFit="1" customWidth="1"/>
    <col min="14" max="14" width="18.453125" bestFit="1" customWidth="1"/>
    <col min="15" max="15" width="12" bestFit="1" customWidth="1"/>
    <col min="16" max="16" width="11.1796875" bestFit="1" customWidth="1"/>
    <col min="17" max="17" width="4.81640625" bestFit="1" customWidth="1"/>
  </cols>
  <sheetData>
    <row r="1" spans="1:10" s="786" customFormat="1" ht="18.5">
      <c r="A1" s="816"/>
      <c r="B1" s="817"/>
      <c r="C1" s="817"/>
    </row>
    <row r="2" spans="1:10" ht="24" customHeight="1">
      <c r="B2" s="282" t="s">
        <v>1265</v>
      </c>
      <c r="C2" s="101"/>
      <c r="D2" s="101"/>
      <c r="E2" s="101"/>
      <c r="G2" s="785"/>
      <c r="H2" s="786"/>
      <c r="I2" s="786"/>
      <c r="J2" s="786"/>
    </row>
    <row r="3" spans="1:10" ht="31" customHeight="1">
      <c r="B3" s="128" t="s">
        <v>1072</v>
      </c>
      <c r="C3" s="818" t="s">
        <v>1964</v>
      </c>
      <c r="D3" s="818" t="s">
        <v>1965</v>
      </c>
      <c r="E3" s="128" t="s">
        <v>1273</v>
      </c>
      <c r="H3" s="132" t="s">
        <v>1266</v>
      </c>
      <c r="I3" s="134"/>
      <c r="J3" s="134"/>
    </row>
    <row r="4" spans="1:10" ht="17.5">
      <c r="B4" t="s">
        <v>1073</v>
      </c>
      <c r="C4" s="1"/>
      <c r="D4" s="5">
        <f>E22</f>
        <v>234999969858.80432</v>
      </c>
      <c r="E4" s="1"/>
      <c r="H4" s="130" t="s">
        <v>1267</v>
      </c>
      <c r="I4" s="131">
        <v>35.314700000000002</v>
      </c>
      <c r="J4" s="129" t="s">
        <v>1268</v>
      </c>
    </row>
    <row r="5" spans="1:10">
      <c r="B5" t="s">
        <v>1074</v>
      </c>
      <c r="C5" s="4">
        <f>E33</f>
        <v>2394.4806988645987</v>
      </c>
      <c r="D5" s="5">
        <f>E34</f>
        <v>39932812082.501678</v>
      </c>
      <c r="E5" s="5">
        <f>E35</f>
        <v>24345598567112.719</v>
      </c>
      <c r="H5" s="133" t="s">
        <v>1269</v>
      </c>
      <c r="I5" s="125">
        <v>2.2046199999999998</v>
      </c>
      <c r="J5" s="123" t="s">
        <v>1270</v>
      </c>
    </row>
    <row r="6" spans="1:10">
      <c r="B6" t="s">
        <v>1075</v>
      </c>
      <c r="C6" s="4">
        <f>E46</f>
        <v>1778.8582943340255</v>
      </c>
      <c r="D6" s="5">
        <f>E47</f>
        <v>31631885883.70932</v>
      </c>
      <c r="E6" s="5">
        <f>E48</f>
        <v>17075631122854.453</v>
      </c>
    </row>
    <row r="7" spans="1:10">
      <c r="B7" t="s">
        <v>1076</v>
      </c>
      <c r="C7" s="1"/>
      <c r="D7" s="136">
        <f>E60</f>
        <v>101304727488.22762</v>
      </c>
      <c r="E7" s="1"/>
      <c r="H7" s="123" t="s">
        <v>1900</v>
      </c>
      <c r="I7" s="123"/>
      <c r="J7" s="123"/>
    </row>
    <row r="8" spans="1:10">
      <c r="B8" t="s">
        <v>1084</v>
      </c>
      <c r="C8" s="4">
        <f>E72</f>
        <v>8382.3892098240849</v>
      </c>
      <c r="D8" s="136">
        <f>E73</f>
        <v>336931810766.72101</v>
      </c>
      <c r="E8" s="1"/>
      <c r="H8" s="121" t="s">
        <v>1871</v>
      </c>
      <c r="I8" s="737">
        <f>'Renewable Earth Flows'!B62</f>
        <v>4.7229771720067255</v>
      </c>
      <c r="J8" s="10" t="s">
        <v>905</v>
      </c>
    </row>
    <row r="9" spans="1:10">
      <c r="B9" t="s">
        <v>1077</v>
      </c>
      <c r="C9" s="4">
        <f>E88</f>
        <v>37143.586112438286</v>
      </c>
      <c r="D9" s="5">
        <f>E89</f>
        <v>544190680133.33331</v>
      </c>
      <c r="E9" s="1"/>
    </row>
    <row r="10" spans="1:10">
      <c r="B10" t="s">
        <v>1078</v>
      </c>
      <c r="C10" s="1"/>
      <c r="D10" s="5">
        <f>E103</f>
        <v>1767940855860.2922</v>
      </c>
      <c r="E10" s="1"/>
    </row>
    <row r="11" spans="1:10">
      <c r="B11" s="123" t="s">
        <v>1079</v>
      </c>
      <c r="C11" s="124"/>
      <c r="D11" s="137">
        <f>E116</f>
        <v>4647922297297.2969</v>
      </c>
      <c r="E11" s="124"/>
    </row>
    <row r="13" spans="1:10" ht="14.25" customHeight="1"/>
    <row r="14" spans="1:10" ht="47" customHeight="1">
      <c r="B14" s="858" t="s">
        <v>1271</v>
      </c>
      <c r="C14" s="858"/>
      <c r="D14" s="858"/>
      <c r="E14" s="858"/>
      <c r="F14" s="858"/>
      <c r="G14" s="261"/>
      <c r="H14" s="138"/>
    </row>
    <row r="15" spans="1:10" ht="22" customHeight="1">
      <c r="B15" s="135" t="s">
        <v>177</v>
      </c>
      <c r="C15" s="128" t="s">
        <v>181</v>
      </c>
      <c r="D15" s="128" t="s">
        <v>179</v>
      </c>
      <c r="E15" s="128" t="s">
        <v>178</v>
      </c>
      <c r="F15" s="128" t="s">
        <v>182</v>
      </c>
      <c r="G15" s="735"/>
    </row>
    <row r="16" spans="1:10">
      <c r="B16" t="s">
        <v>8</v>
      </c>
      <c r="C16" s="1" t="s">
        <v>180</v>
      </c>
      <c r="D16" s="5">
        <v>25700000000000</v>
      </c>
      <c r="E16" s="1">
        <v>1</v>
      </c>
      <c r="F16" s="5">
        <f>D16*E16</f>
        <v>25700000000000</v>
      </c>
      <c r="G16" s="5"/>
    </row>
    <row r="17" spans="2:8">
      <c r="B17" t="s">
        <v>9</v>
      </c>
      <c r="C17" s="1" t="s">
        <v>180</v>
      </c>
      <c r="D17" s="5">
        <v>87300000000</v>
      </c>
      <c r="E17" s="4">
        <f>wind_tr</f>
        <v>519.99999999996226</v>
      </c>
      <c r="F17" s="5">
        <f>D17*E17</f>
        <v>45395999999996.703</v>
      </c>
      <c r="G17" s="5"/>
    </row>
    <row r="18" spans="2:8">
      <c r="B18" t="s">
        <v>1901</v>
      </c>
      <c r="C18" s="1" t="s">
        <v>180</v>
      </c>
      <c r="D18" s="5">
        <f>19500000000*(I8/4.94)/0.75</f>
        <v>24857774589.509079</v>
      </c>
      <c r="E18" s="4">
        <f>rain_land_tr</f>
        <v>22500</v>
      </c>
      <c r="F18" s="5">
        <f>D18*E18</f>
        <v>559299928263954.25</v>
      </c>
      <c r="G18" s="5"/>
    </row>
    <row r="19" spans="2:8">
      <c r="C19" s="1"/>
      <c r="D19" s="1"/>
      <c r="E19" s="1"/>
      <c r="F19" s="5">
        <f>MAX(F16:F18)</f>
        <v>559299928263954.25</v>
      </c>
      <c r="G19" s="5"/>
    </row>
    <row r="21" spans="2:8">
      <c r="B21" s="18" t="s">
        <v>1082</v>
      </c>
    </row>
    <row r="22" spans="2:8">
      <c r="B22" s="123"/>
      <c r="C22" s="123" t="s">
        <v>1081</v>
      </c>
      <c r="D22" s="123">
        <f>5.6*425</f>
        <v>2380</v>
      </c>
      <c r="E22" s="766">
        <f>F19/D22</f>
        <v>234999969858.80432</v>
      </c>
      <c r="F22" s="284" t="s">
        <v>975</v>
      </c>
    </row>
    <row r="25" spans="2:8" ht="24" customHeight="1">
      <c r="B25" s="836" t="s">
        <v>1272</v>
      </c>
      <c r="C25" s="836"/>
      <c r="D25" s="836"/>
      <c r="E25" s="836"/>
      <c r="F25" s="836"/>
      <c r="G25" s="261"/>
      <c r="H25" s="138"/>
    </row>
    <row r="26" spans="2:8" ht="25" customHeight="1">
      <c r="B26" s="128" t="s">
        <v>177</v>
      </c>
      <c r="C26" s="128" t="s">
        <v>181</v>
      </c>
      <c r="D26" s="128" t="s">
        <v>179</v>
      </c>
      <c r="E26" s="128" t="s">
        <v>178</v>
      </c>
      <c r="F26" s="128" t="s">
        <v>182</v>
      </c>
      <c r="G26" s="735"/>
    </row>
    <row r="27" spans="2:8">
      <c r="B27" t="s">
        <v>8</v>
      </c>
      <c r="C27" s="1" t="s">
        <v>180</v>
      </c>
      <c r="D27" s="5">
        <v>42000000000000</v>
      </c>
      <c r="E27" s="4">
        <v>1</v>
      </c>
      <c r="F27" s="5">
        <f>D27*E27</f>
        <v>42000000000000</v>
      </c>
      <c r="G27" s="5"/>
    </row>
    <row r="28" spans="2:8">
      <c r="B28" t="s">
        <v>9</v>
      </c>
      <c r="C28" s="1" t="s">
        <v>180</v>
      </c>
      <c r="D28" s="5">
        <v>2500000000</v>
      </c>
      <c r="E28" s="4">
        <f>wind_tr</f>
        <v>519.99999999996226</v>
      </c>
      <c r="F28" s="5">
        <f>D28*E28</f>
        <v>1299999999999.9058</v>
      </c>
      <c r="G28" s="5"/>
    </row>
    <row r="29" spans="2:8">
      <c r="B29" t="s">
        <v>971</v>
      </c>
      <c r="C29" s="1" t="s">
        <v>180</v>
      </c>
      <c r="D29" s="5">
        <v>220000000</v>
      </c>
      <c r="E29" s="4">
        <f>runoff_geop_tr</f>
        <v>41180</v>
      </c>
      <c r="F29" s="5">
        <f>D29*E29</f>
        <v>9059600000000</v>
      </c>
      <c r="G29" s="5"/>
    </row>
    <row r="30" spans="2:8">
      <c r="B30" t="s">
        <v>1901</v>
      </c>
      <c r="C30" s="1" t="s">
        <v>180</v>
      </c>
      <c r="D30" s="5">
        <f>26000000000*(I8/4.94)/0.75</f>
        <v>33143699452.678772</v>
      </c>
      <c r="E30" s="4">
        <f>rain_land_tr</f>
        <v>22500</v>
      </c>
      <c r="F30" s="5">
        <f>D30*E30</f>
        <v>745733237685272.38</v>
      </c>
      <c r="G30" s="5"/>
    </row>
    <row r="31" spans="2:8">
      <c r="C31" s="1"/>
      <c r="D31" s="1"/>
      <c r="E31" s="1"/>
      <c r="F31" s="1"/>
      <c r="G31" s="1"/>
    </row>
    <row r="32" spans="2:8">
      <c r="B32" t="s">
        <v>921</v>
      </c>
      <c r="C32" s="1"/>
      <c r="D32" s="1"/>
      <c r="E32" s="1"/>
      <c r="F32" s="1"/>
      <c r="G32" s="1"/>
    </row>
    <row r="33" spans="2:9">
      <c r="B33" t="s">
        <v>920</v>
      </c>
      <c r="C33" s="1" t="s">
        <v>180</v>
      </c>
      <c r="D33" s="5">
        <f>9.3*1000000*8*4186</f>
        <v>311438400000</v>
      </c>
      <c r="E33" s="4">
        <f>F33/D33</f>
        <v>2394.4806988645987</v>
      </c>
      <c r="F33" s="5">
        <f>MAX(F27:F30)</f>
        <v>745733237685272.38</v>
      </c>
      <c r="G33" s="5"/>
      <c r="H33" s="3"/>
      <c r="I33" s="3"/>
    </row>
    <row r="34" spans="2:9">
      <c r="B34" t="s">
        <v>973</v>
      </c>
      <c r="C34" s="121" t="s">
        <v>1081</v>
      </c>
      <c r="D34" s="5">
        <f>(9.3*1000/0.498)</f>
        <v>18674.698795180724</v>
      </c>
      <c r="E34" s="106">
        <f>F33/D34</f>
        <v>39932812082.501678</v>
      </c>
      <c r="F34" s="285" t="s">
        <v>970</v>
      </c>
      <c r="G34" s="736"/>
      <c r="I34" s="3"/>
    </row>
    <row r="35" spans="2:9">
      <c r="B35" s="133"/>
      <c r="C35" s="133" t="s">
        <v>1080</v>
      </c>
      <c r="D35" s="137">
        <f>I5*D34/38.06/I4</f>
        <v>30.631131768214029</v>
      </c>
      <c r="E35" s="62">
        <f>F33/D35</f>
        <v>24345598567112.719</v>
      </c>
      <c r="F35" s="123" t="s">
        <v>1274</v>
      </c>
    </row>
    <row r="36" spans="2:9">
      <c r="B36" s="121"/>
      <c r="C36" s="121"/>
      <c r="D36" s="5"/>
      <c r="E36" s="3"/>
    </row>
    <row r="38" spans="2:9" ht="25" customHeight="1">
      <c r="B38" s="859" t="s">
        <v>1278</v>
      </c>
      <c r="C38" s="859"/>
      <c r="D38" s="859"/>
      <c r="E38" s="859"/>
      <c r="F38" s="859"/>
      <c r="G38" s="261"/>
      <c r="H38" s="138"/>
    </row>
    <row r="39" spans="2:9" ht="25" customHeight="1">
      <c r="B39" s="128" t="s">
        <v>177</v>
      </c>
      <c r="C39" s="128" t="s">
        <v>181</v>
      </c>
      <c r="D39" s="128" t="s">
        <v>179</v>
      </c>
      <c r="E39" s="128" t="s">
        <v>178</v>
      </c>
      <c r="F39" s="128" t="s">
        <v>182</v>
      </c>
      <c r="G39" s="735"/>
    </row>
    <row r="40" spans="2:9">
      <c r="B40" t="s">
        <v>8</v>
      </c>
      <c r="C40" s="1" t="s">
        <v>180</v>
      </c>
      <c r="D40" s="5">
        <v>42000000000000</v>
      </c>
      <c r="E40" s="4">
        <v>1</v>
      </c>
      <c r="F40" s="5">
        <f>D40*E40</f>
        <v>42000000000000</v>
      </c>
      <c r="G40" s="5"/>
    </row>
    <row r="41" spans="2:9">
      <c r="B41" t="s">
        <v>9</v>
      </c>
      <c r="C41" s="1" t="s">
        <v>180</v>
      </c>
      <c r="D41" s="5">
        <v>2500000000</v>
      </c>
      <c r="E41" s="4">
        <f>wind_tr</f>
        <v>519.99999999996226</v>
      </c>
      <c r="F41" s="5">
        <f>D41*E41</f>
        <v>1299999999999.9058</v>
      </c>
      <c r="G41" s="5"/>
    </row>
    <row r="42" spans="2:9">
      <c r="B42" t="s">
        <v>971</v>
      </c>
      <c r="C42" s="1" t="s">
        <v>180</v>
      </c>
      <c r="D42" s="5">
        <v>220000000</v>
      </c>
      <c r="E42" s="4">
        <f>runoff_geop_tr</f>
        <v>41180</v>
      </c>
      <c r="F42" s="5">
        <f>D42*E42</f>
        <v>9059600000000</v>
      </c>
      <c r="G42" s="5"/>
    </row>
    <row r="43" spans="2:9">
      <c r="B43" t="s">
        <v>1901</v>
      </c>
      <c r="C43" s="1" t="s">
        <v>180</v>
      </c>
      <c r="D43" s="5">
        <f>27000000000*(I8/4.94)/0.75</f>
        <v>34418457123.935646</v>
      </c>
      <c r="E43" s="4">
        <f>rain_land_tr</f>
        <v>22500</v>
      </c>
      <c r="F43" s="5">
        <f>D43*E43</f>
        <v>774415285288552</v>
      </c>
      <c r="G43" s="5"/>
    </row>
    <row r="44" spans="2:9">
      <c r="C44" s="1"/>
      <c r="D44" s="1"/>
      <c r="E44" s="1"/>
      <c r="F44" s="1"/>
      <c r="G44" s="1"/>
    </row>
    <row r="45" spans="2:9">
      <c r="B45" t="s">
        <v>922</v>
      </c>
      <c r="C45" s="1"/>
      <c r="D45" s="80"/>
      <c r="E45" s="1"/>
      <c r="F45" s="1"/>
      <c r="G45" s="1"/>
    </row>
    <row r="46" spans="2:9">
      <c r="B46" t="s">
        <v>920</v>
      </c>
      <c r="C46" s="1" t="s">
        <v>180</v>
      </c>
      <c r="D46" s="5">
        <f>13*1000000*8*4186</f>
        <v>435344000000</v>
      </c>
      <c r="E46" s="4">
        <f>F46/D46</f>
        <v>1778.8582943340255</v>
      </c>
      <c r="F46" s="5">
        <f>MAX(F40:F43)</f>
        <v>774415285288552</v>
      </c>
      <c r="G46" s="5"/>
    </row>
    <row r="47" spans="2:9">
      <c r="B47" t="s">
        <v>974</v>
      </c>
      <c r="C47" t="s">
        <v>1081</v>
      </c>
      <c r="D47" s="5">
        <f>13000/0.531</f>
        <v>24482.109227871937</v>
      </c>
      <c r="E47" s="106">
        <f>F46/D47</f>
        <v>31631885883.70932</v>
      </c>
      <c r="F47" s="286" t="s">
        <v>1275</v>
      </c>
      <c r="G47" s="16"/>
    </row>
    <row r="48" spans="2:9">
      <c r="B48" s="123"/>
      <c r="C48" s="123" t="s">
        <v>1080</v>
      </c>
      <c r="D48" s="137">
        <f>D47*I5/33.7/I4</f>
        <v>45.352073941914519</v>
      </c>
      <c r="E48" s="62">
        <f>F46/D48</f>
        <v>17075631122854.453</v>
      </c>
      <c r="F48" s="62" t="s">
        <v>1276</v>
      </c>
      <c r="G48" s="3"/>
      <c r="H48" s="16"/>
    </row>
    <row r="49" spans="2:8">
      <c r="D49" s="5"/>
      <c r="E49" s="3"/>
      <c r="F49" s="3"/>
      <c r="G49" s="3"/>
      <c r="H49" s="16"/>
    </row>
    <row r="51" spans="2:8" ht="25" customHeight="1">
      <c r="B51" s="836" t="s">
        <v>1279</v>
      </c>
      <c r="C51" s="836"/>
      <c r="D51" s="836"/>
      <c r="E51" s="836"/>
      <c r="F51" s="836"/>
      <c r="G51" s="261"/>
      <c r="H51" s="139"/>
    </row>
    <row r="52" spans="2:8" ht="25" customHeight="1">
      <c r="B52" s="128" t="s">
        <v>177</v>
      </c>
      <c r="C52" s="128" t="s">
        <v>181</v>
      </c>
      <c r="D52" s="128" t="s">
        <v>179</v>
      </c>
      <c r="E52" s="128" t="s">
        <v>178</v>
      </c>
      <c r="F52" s="128" t="s">
        <v>182</v>
      </c>
      <c r="G52" s="735"/>
    </row>
    <row r="53" spans="2:8">
      <c r="B53" t="s">
        <v>8</v>
      </c>
      <c r="C53" s="1" t="s">
        <v>180</v>
      </c>
      <c r="D53" s="5">
        <f>11300000*10000*365.25</f>
        <v>41273250000000</v>
      </c>
      <c r="E53" s="4">
        <v>1</v>
      </c>
      <c r="F53" s="5">
        <f>D53*E53</f>
        <v>41273250000000</v>
      </c>
      <c r="G53" s="5"/>
    </row>
    <row r="54" spans="2:8">
      <c r="B54" t="s">
        <v>9</v>
      </c>
      <c r="C54" s="1" t="s">
        <v>180</v>
      </c>
      <c r="D54" s="5">
        <f>2030000*365.25</f>
        <v>741457500</v>
      </c>
      <c r="E54" s="4">
        <f>wind_tr</f>
        <v>519.99999999996226</v>
      </c>
      <c r="F54" s="5">
        <f>D54*E54</f>
        <v>385557899999.97198</v>
      </c>
      <c r="G54" s="5"/>
    </row>
    <row r="55" spans="2:8">
      <c r="B55" t="s">
        <v>1901</v>
      </c>
      <c r="C55" s="1" t="s">
        <v>180</v>
      </c>
      <c r="D55" s="5">
        <f>868*I8*10000*365.25/0.75</f>
        <v>19964780182.419949</v>
      </c>
      <c r="E55" s="4">
        <f>rain_land_tr</f>
        <v>22500</v>
      </c>
      <c r="F55" s="5">
        <f>D55*E55</f>
        <v>449207554104448.81</v>
      </c>
      <c r="G55" s="5"/>
    </row>
    <row r="56" spans="2:8">
      <c r="B56" t="s">
        <v>923</v>
      </c>
      <c r="C56" s="1" t="s">
        <v>279</v>
      </c>
      <c r="D56" s="5">
        <f>150*10000*0.78</f>
        <v>1170000</v>
      </c>
      <c r="E56" s="5">
        <f>AVERAGE('Land, Biomass &amp; Soil'!O74:O76)</f>
        <v>891827942.84508073</v>
      </c>
      <c r="F56" s="5">
        <f>D56*E56</f>
        <v>1043438693128744.5</v>
      </c>
      <c r="G56" s="5"/>
    </row>
    <row r="57" spans="2:8">
      <c r="C57" s="1"/>
      <c r="D57" s="1"/>
      <c r="E57" s="1"/>
      <c r="F57" s="1"/>
      <c r="G57" s="1"/>
    </row>
    <row r="58" spans="2:8">
      <c r="B58" t="s">
        <v>976</v>
      </c>
      <c r="C58" s="1"/>
      <c r="D58" s="1"/>
      <c r="E58" s="1"/>
      <c r="F58" s="5">
        <f>MAX(F53:F56)</f>
        <v>1043438693128744.5</v>
      </c>
      <c r="G58" s="5"/>
    </row>
    <row r="59" spans="2:8">
      <c r="B59" t="s">
        <v>1083</v>
      </c>
    </row>
    <row r="60" spans="2:8">
      <c r="B60" s="123"/>
      <c r="C60" s="123" t="s">
        <v>1081</v>
      </c>
      <c r="D60" s="137">
        <f>25750*0.4</f>
        <v>10300</v>
      </c>
      <c r="E60" s="287">
        <f>F58/D60</f>
        <v>101304727488.22762</v>
      </c>
      <c r="F60" s="284" t="s">
        <v>970</v>
      </c>
    </row>
    <row r="61" spans="2:8">
      <c r="D61" s="3"/>
      <c r="E61" s="140"/>
    </row>
    <row r="63" spans="2:8" ht="25" customHeight="1">
      <c r="B63" s="836" t="s">
        <v>1280</v>
      </c>
      <c r="C63" s="836"/>
      <c r="D63" s="836"/>
      <c r="E63" s="836"/>
      <c r="F63" s="836"/>
      <c r="G63" s="261"/>
      <c r="H63" s="139"/>
    </row>
    <row r="64" spans="2:8" ht="25" customHeight="1">
      <c r="B64" s="128" t="s">
        <v>177</v>
      </c>
      <c r="C64" s="128" t="s">
        <v>181</v>
      </c>
      <c r="D64" s="128" t="s">
        <v>179</v>
      </c>
      <c r="E64" s="128" t="s">
        <v>178</v>
      </c>
      <c r="F64" s="128" t="s">
        <v>182</v>
      </c>
      <c r="G64" s="735"/>
    </row>
    <row r="65" spans="2:12">
      <c r="B65" t="s">
        <v>8</v>
      </c>
      <c r="C65" s="1" t="s">
        <v>180</v>
      </c>
      <c r="D65" s="5">
        <v>41900000000000</v>
      </c>
      <c r="E65" s="4">
        <v>1</v>
      </c>
      <c r="F65" s="5">
        <f>D65*E65</f>
        <v>41900000000000</v>
      </c>
      <c r="G65" s="5"/>
    </row>
    <row r="66" spans="2:12">
      <c r="B66" t="s">
        <v>9</v>
      </c>
      <c r="C66" s="1" t="s">
        <v>180</v>
      </c>
      <c r="D66" s="5">
        <v>3150000000</v>
      </c>
      <c r="E66" s="4">
        <f>wind_tr</f>
        <v>519.99999999996226</v>
      </c>
      <c r="F66" s="5">
        <f>D66*E66</f>
        <v>1637999999999.8811</v>
      </c>
      <c r="G66" s="5"/>
    </row>
    <row r="67" spans="2:12">
      <c r="B67" t="s">
        <v>924</v>
      </c>
      <c r="C67" s="1" t="s">
        <v>180</v>
      </c>
      <c r="D67" s="5">
        <v>25200000000</v>
      </c>
      <c r="E67" s="4">
        <f>runoff_chem_tr</f>
        <v>68300</v>
      </c>
      <c r="F67" s="5">
        <f>D67*E67</f>
        <v>1721160000000000</v>
      </c>
      <c r="G67" s="5"/>
    </row>
    <row r="68" spans="2:12">
      <c r="B68" t="s">
        <v>925</v>
      </c>
      <c r="C68" s="1" t="s">
        <v>279</v>
      </c>
      <c r="D68" s="5">
        <f>0.0000212*550*gravity</f>
        <v>0.1143846</v>
      </c>
      <c r="E68" s="5">
        <f>'Aggregate Minerals'!N19</f>
        <v>5926382251.1680193</v>
      </c>
      <c r="F68" s="5">
        <f>D68*E68</f>
        <v>677886863.24695349</v>
      </c>
      <c r="G68" s="5"/>
      <c r="I68" s="3"/>
      <c r="L68" s="3"/>
    </row>
    <row r="69" spans="2:12">
      <c r="B69" t="s">
        <v>1902</v>
      </c>
      <c r="C69" s="1" t="s">
        <v>180</v>
      </c>
      <c r="D69" s="5">
        <f>38000000000*(I8/4.94)/0.75</f>
        <v>48440791507.761284</v>
      </c>
      <c r="E69" s="4">
        <f>rain_land_tr</f>
        <v>22500</v>
      </c>
      <c r="F69" s="5">
        <f>D69*E69</f>
        <v>1089917808924628.9</v>
      </c>
      <c r="G69" s="5"/>
      <c r="I69" s="3"/>
    </row>
    <row r="70" spans="2:12">
      <c r="I70" s="3"/>
      <c r="L70" s="3"/>
    </row>
    <row r="71" spans="2:12">
      <c r="B71" t="s">
        <v>926</v>
      </c>
      <c r="I71" s="3"/>
      <c r="L71" s="3"/>
    </row>
    <row r="72" spans="2:12">
      <c r="B72" t="s">
        <v>978</v>
      </c>
      <c r="C72" s="121" t="s">
        <v>180</v>
      </c>
      <c r="D72" s="5">
        <f>6.13*1000000*8*4187</f>
        <v>205330480000</v>
      </c>
      <c r="E72" s="3">
        <f>F72/D72</f>
        <v>8382.3892098240849</v>
      </c>
      <c r="F72" s="3">
        <f>MAX(F65:F69)</f>
        <v>1721160000000000</v>
      </c>
      <c r="G72" s="3"/>
      <c r="L72" s="3"/>
    </row>
    <row r="73" spans="2:12">
      <c r="B73" s="123" t="s">
        <v>979</v>
      </c>
      <c r="C73" s="133" t="s">
        <v>972</v>
      </c>
      <c r="D73" s="137">
        <f>6.13*1000/0.48*0.4</f>
        <v>5108.3333333333339</v>
      </c>
      <c r="E73" s="283">
        <f>F72/D73</f>
        <v>336931810766.72101</v>
      </c>
      <c r="F73" s="283" t="s">
        <v>970</v>
      </c>
      <c r="G73" s="3"/>
      <c r="L73" s="3"/>
    </row>
    <row r="74" spans="2:12">
      <c r="L74" s="3"/>
    </row>
    <row r="75" spans="2:12">
      <c r="L75" s="3"/>
    </row>
    <row r="76" spans="2:12" ht="25" customHeight="1">
      <c r="B76" s="836" t="s">
        <v>1281</v>
      </c>
      <c r="C76" s="836"/>
      <c r="D76" s="836"/>
      <c r="E76" s="836"/>
      <c r="F76" s="836"/>
      <c r="G76" s="836"/>
      <c r="H76" s="836"/>
      <c r="L76" s="3"/>
    </row>
    <row r="77" spans="2:12">
      <c r="L77" s="3"/>
    </row>
    <row r="78" spans="2:12" ht="25" customHeight="1">
      <c r="B78" s="128" t="s">
        <v>177</v>
      </c>
      <c r="C78" s="128" t="s">
        <v>181</v>
      </c>
      <c r="D78" s="128" t="s">
        <v>179</v>
      </c>
      <c r="E78" s="128" t="s">
        <v>178</v>
      </c>
      <c r="F78" s="128" t="s">
        <v>182</v>
      </c>
      <c r="G78" s="128"/>
      <c r="H78" s="128" t="s">
        <v>980</v>
      </c>
    </row>
    <row r="79" spans="2:12">
      <c r="B79" t="s">
        <v>927</v>
      </c>
      <c r="C79" t="s">
        <v>180</v>
      </c>
      <c r="D79">
        <f>50200000000000</f>
        <v>50200000000000</v>
      </c>
      <c r="E79">
        <v>1</v>
      </c>
      <c r="F79" s="3">
        <f t="shared" ref="F79:F85" si="0">D79*E79</f>
        <v>50200000000000</v>
      </c>
      <c r="G79" s="3"/>
      <c r="H79" s="3">
        <f>F79+F84</f>
        <v>118800000000000</v>
      </c>
    </row>
    <row r="80" spans="2:12">
      <c r="B80" t="s">
        <v>9</v>
      </c>
      <c r="C80" t="s">
        <v>180</v>
      </c>
      <c r="D80" s="3">
        <v>152000000000</v>
      </c>
      <c r="E80" s="16">
        <f>wind_tr</f>
        <v>519.99999999996226</v>
      </c>
      <c r="F80" s="3">
        <f t="shared" si="0"/>
        <v>79039999999994.266</v>
      </c>
      <c r="G80" s="3"/>
    </row>
    <row r="81" spans="2:8">
      <c r="B81" t="s">
        <v>971</v>
      </c>
      <c r="C81" t="s">
        <v>180</v>
      </c>
      <c r="D81" s="3">
        <f>1.423*10000*1000*9.8*(1318-920)</f>
        <v>55502692000</v>
      </c>
      <c r="E81" s="16">
        <f>runoff_geop_tr</f>
        <v>41180</v>
      </c>
      <c r="F81" s="3">
        <f t="shared" si="0"/>
        <v>2285600856560000</v>
      </c>
      <c r="G81" s="3"/>
    </row>
    <row r="82" spans="2:8">
      <c r="B82" t="s">
        <v>928</v>
      </c>
      <c r="C82" t="s">
        <v>180</v>
      </c>
      <c r="D82" s="3">
        <v>52000000000</v>
      </c>
      <c r="E82" s="16">
        <v>10000</v>
      </c>
      <c r="F82" s="3">
        <f t="shared" si="0"/>
        <v>520000000000000</v>
      </c>
      <c r="G82" s="3"/>
    </row>
    <row r="83" spans="2:8">
      <c r="B83" t="s">
        <v>929</v>
      </c>
      <c r="C83" t="s">
        <v>180</v>
      </c>
      <c r="D83" s="3">
        <f>1.961*10000*1000000*I8</f>
        <v>92617582343.05188</v>
      </c>
      <c r="E83" s="16">
        <f>rain_land_tr</f>
        <v>22500</v>
      </c>
      <c r="F83" s="3">
        <f t="shared" si="0"/>
        <v>2083895602718667.3</v>
      </c>
      <c r="G83" s="3"/>
    </row>
    <row r="84" spans="2:8">
      <c r="B84" t="s">
        <v>930</v>
      </c>
      <c r="C84" t="s">
        <v>180</v>
      </c>
      <c r="D84" s="3">
        <v>14000000000</v>
      </c>
      <c r="E84" s="16">
        <f>deepheat_tr</f>
        <v>4900</v>
      </c>
      <c r="F84" s="3">
        <f t="shared" si="0"/>
        <v>68600000000000</v>
      </c>
      <c r="G84" s="3"/>
    </row>
    <row r="85" spans="2:8">
      <c r="B85" t="s">
        <v>931</v>
      </c>
      <c r="C85" t="s">
        <v>279</v>
      </c>
      <c r="D85" s="3">
        <v>30000</v>
      </c>
      <c r="E85" s="3">
        <f>ave_crust_specific_emergy</f>
        <v>1382488479.2626727</v>
      </c>
      <c r="F85" s="3">
        <f t="shared" si="0"/>
        <v>41474654377880.18</v>
      </c>
      <c r="G85" s="3"/>
    </row>
    <row r="87" spans="2:8">
      <c r="B87" t="s">
        <v>932</v>
      </c>
    </row>
    <row r="88" spans="2:8">
      <c r="B88" t="s">
        <v>933</v>
      </c>
      <c r="C88" t="s">
        <v>180</v>
      </c>
      <c r="D88" s="3">
        <f>4200*1000*3.5*4186</f>
        <v>61534200000</v>
      </c>
      <c r="E88" s="3">
        <f>F88/D88</f>
        <v>37143.586112438286</v>
      </c>
      <c r="F88" s="3">
        <f>MAX(H79,F80:F82,F85)</f>
        <v>2285600856560000</v>
      </c>
      <c r="G88" s="3"/>
    </row>
    <row r="89" spans="2:8">
      <c r="B89" s="123" t="s">
        <v>933</v>
      </c>
      <c r="C89" s="123" t="s">
        <v>36</v>
      </c>
      <c r="D89" s="62">
        <f>4200</f>
        <v>4200</v>
      </c>
      <c r="E89" s="283">
        <f>F88/D89</f>
        <v>544190680133.33331</v>
      </c>
      <c r="F89" s="283" t="s">
        <v>970</v>
      </c>
      <c r="G89" s="62"/>
      <c r="H89" s="123"/>
    </row>
    <row r="92" spans="2:8" ht="25" customHeight="1">
      <c r="B92" s="857" t="s">
        <v>1282</v>
      </c>
      <c r="C92" s="857"/>
      <c r="D92" s="857"/>
      <c r="E92" s="857"/>
      <c r="F92" s="857"/>
      <c r="G92" s="857"/>
      <c r="H92" s="857"/>
    </row>
    <row r="93" spans="2:8" ht="25" customHeight="1">
      <c r="B93" s="128" t="s">
        <v>177</v>
      </c>
      <c r="C93" s="128" t="s">
        <v>941</v>
      </c>
      <c r="D93" s="128" t="s">
        <v>179</v>
      </c>
      <c r="E93" s="128" t="s">
        <v>178</v>
      </c>
      <c r="F93" s="128" t="s">
        <v>942</v>
      </c>
      <c r="G93" s="128"/>
      <c r="H93" s="128" t="s">
        <v>182</v>
      </c>
    </row>
    <row r="94" spans="2:8">
      <c r="B94" t="s">
        <v>8</v>
      </c>
      <c r="C94" t="s">
        <v>180</v>
      </c>
      <c r="D94" s="3">
        <v>1130000000</v>
      </c>
      <c r="E94">
        <v>1</v>
      </c>
      <c r="F94" s="3">
        <f>E94*D94</f>
        <v>1130000000</v>
      </c>
      <c r="G94" s="3"/>
      <c r="H94" s="3">
        <f>F94*10000</f>
        <v>11300000000000</v>
      </c>
    </row>
    <row r="95" spans="2:8">
      <c r="B95" t="s">
        <v>9</v>
      </c>
      <c r="C95" t="s">
        <v>180</v>
      </c>
      <c r="D95" s="3">
        <v>200</v>
      </c>
      <c r="E95" s="3">
        <f>wind_tr</f>
        <v>519.99999999996226</v>
      </c>
      <c r="F95" s="3">
        <f>E95*D95</f>
        <v>103999.99999999245</v>
      </c>
      <c r="G95" s="3"/>
      <c r="H95" s="3">
        <f>F95*10000</f>
        <v>1039999999.9999244</v>
      </c>
    </row>
    <row r="96" spans="2:8">
      <c r="B96" t="s">
        <v>1902</v>
      </c>
      <c r="C96" t="s">
        <v>180</v>
      </c>
      <c r="D96" s="3">
        <f>4290/0.75</f>
        <v>5720</v>
      </c>
      <c r="E96" s="3">
        <f>rain_land_tr</f>
        <v>22500</v>
      </c>
      <c r="F96" s="3">
        <f>E96*D96</f>
        <v>128700000</v>
      </c>
      <c r="G96" s="3"/>
      <c r="H96" s="3">
        <f>F96*10000</f>
        <v>1287000000000</v>
      </c>
    </row>
    <row r="97" spans="2:12">
      <c r="B97" t="s">
        <v>944</v>
      </c>
      <c r="C97" t="s">
        <v>279</v>
      </c>
      <c r="D97" s="3">
        <v>150</v>
      </c>
      <c r="E97" s="3">
        <f>AVERAGE('Land, Biomass &amp; Soil'!O74:O76)</f>
        <v>891827942.84508073</v>
      </c>
      <c r="F97" s="3">
        <f>E97*D97</f>
        <v>133774191426.76212</v>
      </c>
      <c r="G97" s="3"/>
      <c r="H97" s="3">
        <f>F97*10000</f>
        <v>1337741914267621.3</v>
      </c>
      <c r="J97" s="3"/>
    </row>
    <row r="99" spans="2:12">
      <c r="B99" t="s">
        <v>956</v>
      </c>
      <c r="L99" s="63"/>
    </row>
    <row r="100" spans="2:12">
      <c r="B100" t="s">
        <v>958</v>
      </c>
      <c r="E100">
        <f>227*0.4*1000</f>
        <v>90800.000000000015</v>
      </c>
      <c r="F100" t="s">
        <v>946</v>
      </c>
    </row>
    <row r="101" spans="2:12">
      <c r="B101" t="s">
        <v>945</v>
      </c>
      <c r="E101" s="64">
        <f>E100/120</f>
        <v>756.66666666666674</v>
      </c>
      <c r="F101" t="s">
        <v>947</v>
      </c>
    </row>
    <row r="103" spans="2:12">
      <c r="B103" s="123"/>
      <c r="C103" s="123"/>
      <c r="D103" s="123"/>
      <c r="E103" s="283">
        <f>MAX(H94:H97)/E101</f>
        <v>1767940855860.2922</v>
      </c>
      <c r="F103" s="284" t="s">
        <v>1277</v>
      </c>
      <c r="G103" s="123"/>
      <c r="H103" s="123"/>
    </row>
    <row r="104" spans="2:12">
      <c r="E104" s="3"/>
    </row>
    <row r="106" spans="2:12" ht="25" customHeight="1">
      <c r="B106" s="857" t="s">
        <v>1283</v>
      </c>
      <c r="C106" s="857"/>
      <c r="D106" s="857"/>
      <c r="E106" s="857"/>
      <c r="F106" s="857"/>
      <c r="G106" s="857"/>
      <c r="H106" s="857"/>
    </row>
    <row r="107" spans="2:12" ht="25" customHeight="1">
      <c r="B107" s="128" t="s">
        <v>177</v>
      </c>
      <c r="C107" s="128" t="s">
        <v>941</v>
      </c>
      <c r="D107" s="141" t="s">
        <v>179</v>
      </c>
      <c r="E107" s="141" t="s">
        <v>178</v>
      </c>
      <c r="F107" s="141" t="s">
        <v>942</v>
      </c>
      <c r="G107" s="141"/>
      <c r="H107" s="141" t="s">
        <v>182</v>
      </c>
    </row>
    <row r="108" spans="2:12">
      <c r="B108" t="s">
        <v>940</v>
      </c>
      <c r="C108" s="1" t="s">
        <v>180</v>
      </c>
      <c r="D108" s="5">
        <f>195*10000*4184</f>
        <v>8158800000</v>
      </c>
      <c r="E108" s="1">
        <v>1</v>
      </c>
      <c r="F108" s="5">
        <f>E108*D108</f>
        <v>8158800000</v>
      </c>
      <c r="G108" s="5"/>
      <c r="H108" s="5">
        <f>F108*10000</f>
        <v>81588000000000</v>
      </c>
    </row>
    <row r="109" spans="2:12">
      <c r="B109" t="s">
        <v>943</v>
      </c>
      <c r="C109" s="1" t="s">
        <v>180</v>
      </c>
      <c r="D109" s="5">
        <f>2.58*0.75*1000000*4.74/0.75</f>
        <v>12229200</v>
      </c>
      <c r="E109" s="4">
        <f>rain_land_tr</f>
        <v>22500</v>
      </c>
      <c r="F109" s="5">
        <f>E109*D109</f>
        <v>275157000000</v>
      </c>
      <c r="G109" s="5"/>
      <c r="H109" s="5">
        <f>F109*10000</f>
        <v>2751570000000000</v>
      </c>
    </row>
    <row r="110" spans="2:12">
      <c r="B110" t="s">
        <v>9</v>
      </c>
      <c r="C110" s="1" t="s">
        <v>180</v>
      </c>
      <c r="D110" s="5">
        <f>1.23*0.0001*((3.5/0.58)-3.5)^3*1*31500000</f>
        <v>63078.838633707885</v>
      </c>
      <c r="E110" s="4">
        <f>wind_tr</f>
        <v>519.99999999996226</v>
      </c>
      <c r="F110" s="5">
        <f>E110*D110</f>
        <v>32800996.089525718</v>
      </c>
      <c r="G110" s="5"/>
      <c r="H110" s="5">
        <f>F110*10000</f>
        <v>328009960895.2572</v>
      </c>
    </row>
    <row r="112" spans="2:12">
      <c r="C112" t="s">
        <v>982</v>
      </c>
    </row>
    <row r="113" spans="2:11">
      <c r="C113" t="s">
        <v>957</v>
      </c>
      <c r="E113">
        <f>370*0.4*1000</f>
        <v>148000</v>
      </c>
      <c r="F113" t="s">
        <v>981</v>
      </c>
      <c r="K113" s="63"/>
    </row>
    <row r="114" spans="2:11">
      <c r="C114" t="s">
        <v>948</v>
      </c>
      <c r="E114" s="64">
        <f>E113/250</f>
        <v>592</v>
      </c>
      <c r="F114" t="s">
        <v>947</v>
      </c>
    </row>
    <row r="116" spans="2:11">
      <c r="B116" s="123"/>
      <c r="C116" s="123"/>
      <c r="D116" s="123"/>
      <c r="E116" s="283">
        <f>MAX(H108:H110)/E114</f>
        <v>4647922297297.2969</v>
      </c>
      <c r="F116" s="284" t="s">
        <v>1275</v>
      </c>
      <c r="G116" s="123"/>
      <c r="H116" s="123"/>
    </row>
  </sheetData>
  <mergeCells count="8">
    <mergeCell ref="B92:H92"/>
    <mergeCell ref="B106:H106"/>
    <mergeCell ref="B76:H76"/>
    <mergeCell ref="B14:F14"/>
    <mergeCell ref="B25:F25"/>
    <mergeCell ref="B38:F38"/>
    <mergeCell ref="B51:F51"/>
    <mergeCell ref="B63:F63"/>
  </mergeCells>
  <pageMargins left="0.7" right="0.7" top="0.75" bottom="0.75" header="0.3" footer="0.3"/>
  <pageSetup orientation="portrait" horizontalDpi="4294967292" verticalDpi="429496729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2">
    <tabColor theme="1" tint="4.9989318521683403E-2"/>
  </sheetPr>
  <dimension ref="B2:Q59"/>
  <sheetViews>
    <sheetView zoomScale="80" zoomScaleNormal="80" workbookViewId="0">
      <selection activeCell="B16" sqref="B16"/>
    </sheetView>
  </sheetViews>
  <sheetFormatPr defaultColWidth="12.1796875" defaultRowHeight="13"/>
  <cols>
    <col min="1" max="1" width="5" style="24" customWidth="1"/>
    <col min="2" max="2" width="18.36328125" style="24" bestFit="1" customWidth="1"/>
    <col min="3" max="3" width="12.1796875" style="24" customWidth="1"/>
    <col min="4" max="4" width="14.453125" style="24" customWidth="1"/>
    <col min="5" max="5" width="12.81640625" style="24" customWidth="1"/>
    <col min="6" max="6" width="12.1796875" style="24"/>
    <col min="7" max="7" width="14.6328125" style="24" customWidth="1"/>
    <col min="8" max="8" width="14.81640625" style="24" customWidth="1"/>
    <col min="9" max="11" width="10.81640625" style="24" customWidth="1"/>
    <col min="12" max="12" width="17.36328125" style="24" customWidth="1"/>
    <col min="13" max="13" width="16.36328125" style="24" customWidth="1"/>
    <col min="14" max="15" width="14.36328125" style="24" customWidth="1"/>
    <col min="16" max="17" width="10.81640625" style="24" customWidth="1"/>
    <col min="18" max="18" width="14" style="24" bestFit="1" customWidth="1"/>
    <col min="19" max="16384" width="12.1796875" style="24"/>
  </cols>
  <sheetData>
    <row r="2" spans="2:16" ht="24" customHeight="1">
      <c r="B2" s="217" t="s">
        <v>1344</v>
      </c>
      <c r="C2" s="214"/>
      <c r="D2" s="215"/>
      <c r="E2" s="215"/>
      <c r="F2" s="215"/>
      <c r="G2" s="215"/>
      <c r="H2" s="215"/>
      <c r="I2" s="215"/>
      <c r="J2" s="215"/>
      <c r="K2" s="215"/>
      <c r="L2" s="215"/>
      <c r="M2" s="215"/>
      <c r="N2" s="215"/>
      <c r="O2" s="215"/>
      <c r="P2" s="215"/>
    </row>
    <row r="3" spans="2:16" ht="15.75" customHeight="1">
      <c r="B3" s="875" t="s">
        <v>471</v>
      </c>
      <c r="C3" s="877" t="s">
        <v>1351</v>
      </c>
      <c r="D3" s="868" t="s">
        <v>1352</v>
      </c>
      <c r="E3" s="868"/>
      <c r="F3" s="871" t="s">
        <v>472</v>
      </c>
      <c r="G3" s="871"/>
      <c r="H3" s="871" t="s">
        <v>473</v>
      </c>
      <c r="I3" s="871"/>
      <c r="J3" s="863" t="s">
        <v>474</v>
      </c>
      <c r="K3" s="863"/>
      <c r="L3" s="191" t="s">
        <v>1496</v>
      </c>
      <c r="M3" s="868" t="s">
        <v>1326</v>
      </c>
      <c r="N3" s="868"/>
      <c r="O3" s="868" t="s">
        <v>1353</v>
      </c>
      <c r="P3" s="868"/>
    </row>
    <row r="4" spans="2:16" ht="15.75" customHeight="1">
      <c r="B4" s="876"/>
      <c r="C4" s="874"/>
      <c r="D4" s="192" t="s">
        <v>475</v>
      </c>
      <c r="E4" s="192" t="s">
        <v>476</v>
      </c>
      <c r="F4" s="192" t="s">
        <v>475</v>
      </c>
      <c r="G4" s="192" t="s">
        <v>476</v>
      </c>
      <c r="H4" s="192" t="s">
        <v>475</v>
      </c>
      <c r="I4" s="192" t="s">
        <v>476</v>
      </c>
      <c r="J4" s="192" t="s">
        <v>475</v>
      </c>
      <c r="K4" s="192" t="s">
        <v>476</v>
      </c>
      <c r="L4" s="192" t="s">
        <v>1337</v>
      </c>
      <c r="M4" s="192" t="s">
        <v>475</v>
      </c>
      <c r="N4" s="192" t="s">
        <v>476</v>
      </c>
      <c r="O4" s="192" t="s">
        <v>475</v>
      </c>
      <c r="P4" s="192" t="s">
        <v>476</v>
      </c>
    </row>
    <row r="5" spans="2:16">
      <c r="B5" s="25" t="s">
        <v>477</v>
      </c>
      <c r="C5" s="26">
        <f t="shared" ref="C5:C10" si="0">SUM(D5:E5)/SUM($D$12:$E$12)</f>
        <v>9.9900099900099878E-4</v>
      </c>
      <c r="D5" s="27">
        <v>0.48120000000000002</v>
      </c>
      <c r="E5" s="27">
        <v>0.42680000000000001</v>
      </c>
      <c r="F5" s="28">
        <f>D5*$D$48</f>
        <v>0.43308000000000002</v>
      </c>
      <c r="G5" s="28">
        <f>E5*$D$47</f>
        <v>0.29875999999999997</v>
      </c>
      <c r="H5" s="28">
        <f t="shared" ref="H5:H11" si="1">F5/$F$48</f>
        <v>0.62409974521075606</v>
      </c>
      <c r="I5" s="28">
        <f t="shared" ref="I5:I11" si="2">G5/$F$47</f>
        <v>0.31234918479626489</v>
      </c>
      <c r="J5" s="27">
        <f t="shared" ref="J5:K11" si="3">H5/$E$47</f>
        <v>8.9157106458679429</v>
      </c>
      <c r="K5" s="27">
        <f t="shared" si="3"/>
        <v>4.4621312113752118</v>
      </c>
      <c r="L5" s="295">
        <f>98043601.0146141*0.58</f>
        <v>56865288.588476174</v>
      </c>
      <c r="M5" s="28">
        <f>(J5*1000000000*L5*1000000)/1E+23</f>
        <v>5.0699445884862993</v>
      </c>
      <c r="N5" s="28">
        <f t="shared" ref="N5:N11" si="4">(K5*1000000000*L5*1000000)/1E+23</f>
        <v>2.5374037905449822</v>
      </c>
      <c r="O5" s="27">
        <f>(D5*$D$40*1000000*1000000000)/1000000000000000000</f>
        <v>14.1751896</v>
      </c>
      <c r="P5" s="27">
        <f>(E5*$D$41*1000000*1000000000)/1000000000000000000</f>
        <v>8.5338659999999997</v>
      </c>
    </row>
    <row r="6" spans="2:16">
      <c r="B6" s="25" t="s">
        <v>478</v>
      </c>
      <c r="C6" s="26">
        <f t="shared" si="0"/>
        <v>0.24275724275724272</v>
      </c>
      <c r="D6" s="27">
        <v>116.9316</v>
      </c>
      <c r="E6" s="27">
        <v>103.71240000000002</v>
      </c>
      <c r="F6" s="28">
        <f t="shared" ref="F6:F11" si="5">D6*$D$48</f>
        <v>105.23844000000001</v>
      </c>
      <c r="G6" s="28">
        <f t="shared" ref="G6:G11" si="6">E6*$D$47</f>
        <v>72.598680000000002</v>
      </c>
      <c r="H6" s="28">
        <f t="shared" si="1"/>
        <v>151.65623808621373</v>
      </c>
      <c r="I6" s="28">
        <f t="shared" si="2"/>
        <v>75.900851905492374</v>
      </c>
      <c r="J6" s="27">
        <f>H6/$E$47</f>
        <v>2166.5176869459101</v>
      </c>
      <c r="K6" s="27">
        <f t="shared" si="3"/>
        <v>1084.2978843641768</v>
      </c>
      <c r="L6" s="295">
        <f>103775480.604172*0.58</f>
        <v>60189778.750419758</v>
      </c>
      <c r="M6" s="28">
        <f t="shared" ref="M6:M11" si="7">(J6*1000000000*L6*1000000)/1E+23</f>
        <v>1304.0222023614551</v>
      </c>
      <c r="N6" s="28">
        <f t="shared" si="4"/>
        <v>652.6364975942804</v>
      </c>
      <c r="O6" s="27">
        <f t="shared" ref="O6:O11" si="8">(D6*$D$40*1000000*1000000000)/1000000000000000000</f>
        <v>3444.5710727999999</v>
      </c>
      <c r="P6" s="27">
        <f t="shared" ref="P6:P11" si="9">(E6*$D$41*1000000*1000000000)/1000000000000000000</f>
        <v>2073.7294380000003</v>
      </c>
    </row>
    <row r="7" spans="2:16">
      <c r="B7" s="25" t="s">
        <v>479</v>
      </c>
      <c r="C7" s="26">
        <f t="shared" si="0"/>
        <v>0.31668331668331667</v>
      </c>
      <c r="D7" s="27">
        <v>152.54040000000001</v>
      </c>
      <c r="E7" s="27">
        <v>135.29560000000001</v>
      </c>
      <c r="F7" s="28">
        <f t="shared" si="5"/>
        <v>137.28636</v>
      </c>
      <c r="G7" s="28">
        <f t="shared" si="6"/>
        <v>94.706919999999997</v>
      </c>
      <c r="H7" s="28">
        <f t="shared" si="1"/>
        <v>197.83961923180965</v>
      </c>
      <c r="I7" s="28">
        <f t="shared" si="2"/>
        <v>99.014691580415985</v>
      </c>
      <c r="J7" s="27">
        <f>H7/$E$47</f>
        <v>2826.2802747401374</v>
      </c>
      <c r="K7" s="27">
        <f t="shared" si="3"/>
        <v>1414.4955940059424</v>
      </c>
      <c r="L7" s="295">
        <f>81574828.4816742*0.58</f>
        <v>47313400.519371033</v>
      </c>
      <c r="M7" s="28">
        <f t="shared" si="7"/>
        <v>1337.2093061877813</v>
      </c>
      <c r="N7" s="28">
        <f t="shared" si="4"/>
        <v>669.24596572088808</v>
      </c>
      <c r="O7" s="27">
        <f t="shared" si="8"/>
        <v>4493.5351031999999</v>
      </c>
      <c r="P7" s="27">
        <f t="shared" si="9"/>
        <v>2705.2355220000009</v>
      </c>
    </row>
    <row r="8" spans="2:16">
      <c r="B8" s="25" t="s">
        <v>480</v>
      </c>
      <c r="C8" s="26">
        <f t="shared" si="0"/>
        <v>3.9960039960039951E-3</v>
      </c>
      <c r="D8" s="27">
        <v>1.9248000000000001</v>
      </c>
      <c r="E8" s="27">
        <v>1.7072000000000001</v>
      </c>
      <c r="F8" s="28">
        <f t="shared" si="5"/>
        <v>1.7323200000000001</v>
      </c>
      <c r="G8" s="28">
        <f t="shared" si="6"/>
        <v>1.1950399999999999</v>
      </c>
      <c r="H8" s="28">
        <f t="shared" si="1"/>
        <v>2.4963989808430243</v>
      </c>
      <c r="I8" s="28">
        <f t="shared" si="2"/>
        <v>1.2493967391850596</v>
      </c>
      <c r="J8" s="27">
        <f t="shared" si="3"/>
        <v>35.662842583471772</v>
      </c>
      <c r="K8" s="27">
        <f t="shared" si="3"/>
        <v>17.848524845500847</v>
      </c>
      <c r="L8" s="295">
        <f>81645640.194416*0.58</f>
        <v>47354471.312761277</v>
      </c>
      <c r="M8" s="28">
        <f t="shared" si="7"/>
        <v>16.887950560505352</v>
      </c>
      <c r="N8" s="28">
        <f t="shared" si="4"/>
        <v>8.4520745777137698</v>
      </c>
      <c r="O8" s="27">
        <f t="shared" si="8"/>
        <v>56.700758399999998</v>
      </c>
      <c r="P8" s="27">
        <f t="shared" si="9"/>
        <v>34.135463999999999</v>
      </c>
    </row>
    <row r="9" spans="2:16">
      <c r="B9" s="25" t="s">
        <v>481</v>
      </c>
      <c r="C9" s="26">
        <f t="shared" si="0"/>
        <v>0.16783216783216781</v>
      </c>
      <c r="D9" s="27">
        <v>80.8416</v>
      </c>
      <c r="E9" s="27">
        <v>71.702400000000011</v>
      </c>
      <c r="F9" s="28">
        <f t="shared" si="5"/>
        <v>72.757440000000003</v>
      </c>
      <c r="G9" s="28">
        <f t="shared" si="6"/>
        <v>50.191680000000005</v>
      </c>
      <c r="H9" s="28">
        <f t="shared" si="1"/>
        <v>104.84875719540702</v>
      </c>
      <c r="I9" s="28">
        <f t="shared" si="2"/>
        <v>52.474663045772516</v>
      </c>
      <c r="J9" s="27">
        <f t="shared" si="3"/>
        <v>1497.8393885058144</v>
      </c>
      <c r="K9" s="27">
        <f t="shared" si="3"/>
        <v>749.6380435110359</v>
      </c>
      <c r="L9" s="295">
        <f>276074411.63063*0.58</f>
        <v>160123158.74576539</v>
      </c>
      <c r="M9" s="28">
        <f t="shared" si="7"/>
        <v>2398.3877418137672</v>
      </c>
      <c r="N9" s="28">
        <f t="shared" si="4"/>
        <v>1200.3441144298258</v>
      </c>
      <c r="O9" s="27">
        <f t="shared" si="8"/>
        <v>2381.4318528000003</v>
      </c>
      <c r="P9" s="27">
        <f t="shared" si="9"/>
        <v>1433.6894880000002</v>
      </c>
    </row>
    <row r="10" spans="2:16">
      <c r="B10" s="25" t="s">
        <v>482</v>
      </c>
      <c r="C10" s="26">
        <f t="shared" si="0"/>
        <v>0.13286713286713286</v>
      </c>
      <c r="D10" s="27">
        <v>63.999600000000001</v>
      </c>
      <c r="E10" s="27">
        <v>56.764400000000002</v>
      </c>
      <c r="F10" s="28">
        <f t="shared" si="5"/>
        <v>57.599640000000001</v>
      </c>
      <c r="G10" s="28">
        <f t="shared" si="6"/>
        <v>39.735079999999996</v>
      </c>
      <c r="H10" s="28">
        <f t="shared" si="1"/>
        <v>83.005266113030544</v>
      </c>
      <c r="I10" s="28">
        <f t="shared" si="2"/>
        <v>41.542441577903233</v>
      </c>
      <c r="J10" s="27">
        <f t="shared" si="3"/>
        <v>1185.7895159004363</v>
      </c>
      <c r="K10" s="27">
        <f t="shared" si="3"/>
        <v>593.46345111290327</v>
      </c>
      <c r="L10" s="295">
        <f>31673607.0889235*0.58</f>
        <v>18370692.11157563</v>
      </c>
      <c r="M10" s="28">
        <f t="shared" si="7"/>
        <v>217.83774105741233</v>
      </c>
      <c r="N10" s="28">
        <f t="shared" si="4"/>
        <v>109.02334339868264</v>
      </c>
      <c r="O10" s="27">
        <f t="shared" si="8"/>
        <v>1885.3002168</v>
      </c>
      <c r="P10" s="27">
        <f t="shared" si="9"/>
        <v>1135.0041780000001</v>
      </c>
    </row>
    <row r="11" spans="2:16">
      <c r="B11" s="29" t="s">
        <v>483</v>
      </c>
      <c r="C11" s="67">
        <f>SUM(D11:E11)/SUM($D$12:$E$12)</f>
        <v>0.13486513486513485</v>
      </c>
      <c r="D11" s="30">
        <v>64.962000000000003</v>
      </c>
      <c r="E11" s="27">
        <v>57.618000000000002</v>
      </c>
      <c r="F11" s="28">
        <f t="shared" si="5"/>
        <v>58.465800000000002</v>
      </c>
      <c r="G11" s="28">
        <f t="shared" si="6"/>
        <v>40.332599999999999</v>
      </c>
      <c r="H11" s="28">
        <f t="shared" si="1"/>
        <v>84.253465603452071</v>
      </c>
      <c r="I11" s="28">
        <f t="shared" si="2"/>
        <v>42.167139947495762</v>
      </c>
      <c r="J11" s="27">
        <f t="shared" si="3"/>
        <v>1203.6209371921723</v>
      </c>
      <c r="K11" s="27">
        <f>I11/$E$47</f>
        <v>602.38771353565369</v>
      </c>
      <c r="L11" s="295">
        <f>33425855.8177948*0.58</f>
        <v>19386996.374320984</v>
      </c>
      <c r="M11" s="28">
        <f t="shared" si="7"/>
        <v>233.34594745401475</v>
      </c>
      <c r="N11" s="28">
        <f t="shared" si="4"/>
        <v>116.78488418251226</v>
      </c>
      <c r="O11" s="27">
        <f t="shared" si="8"/>
        <v>1913.6505960000002</v>
      </c>
      <c r="P11" s="27">
        <f t="shared" si="9"/>
        <v>1152.0719100000003</v>
      </c>
    </row>
    <row r="12" spans="2:16">
      <c r="B12" s="31" t="s">
        <v>484</v>
      </c>
      <c r="C12" s="32">
        <v>1</v>
      </c>
      <c r="D12" s="30">
        <f>SUM(D5:D11)</f>
        <v>481.68119999999999</v>
      </c>
      <c r="E12" s="33">
        <f>SUM(E5:E11)</f>
        <v>427.22680000000008</v>
      </c>
      <c r="F12" s="34"/>
      <c r="G12" s="34"/>
      <c r="H12" s="34"/>
      <c r="I12" s="34"/>
      <c r="J12" s="29"/>
      <c r="K12" s="29"/>
      <c r="L12" s="29"/>
      <c r="M12" s="29"/>
      <c r="N12" s="29"/>
      <c r="O12" s="29"/>
      <c r="P12" s="31"/>
    </row>
    <row r="13" spans="2:16">
      <c r="B13" s="25" t="s">
        <v>485</v>
      </c>
      <c r="C13" s="25"/>
      <c r="D13" s="25"/>
      <c r="E13" s="25"/>
      <c r="F13" s="25"/>
      <c r="G13" s="25"/>
      <c r="H13" s="25"/>
      <c r="I13" s="25"/>
      <c r="J13" s="25"/>
      <c r="K13" s="25"/>
      <c r="L13" s="25"/>
      <c r="M13" s="25"/>
      <c r="N13" s="25"/>
      <c r="O13" s="25"/>
    </row>
    <row r="14" spans="2:16" ht="14.25" customHeight="1">
      <c r="B14" s="318" t="s">
        <v>486</v>
      </c>
      <c r="C14" s="25"/>
      <c r="D14" s="25"/>
      <c r="E14" s="25"/>
      <c r="F14" s="25"/>
      <c r="G14" s="25"/>
      <c r="H14" s="25"/>
      <c r="I14" s="25"/>
      <c r="N14"/>
    </row>
    <row r="15" spans="2:16" ht="14.25" customHeight="1">
      <c r="B15" s="865" t="s">
        <v>1327</v>
      </c>
      <c r="C15" s="865"/>
      <c r="D15" s="865"/>
      <c r="E15" s="865"/>
      <c r="F15" s="865"/>
      <c r="G15" s="865"/>
      <c r="H15" s="25"/>
      <c r="I15" s="25"/>
      <c r="N15"/>
    </row>
    <row r="16" spans="2:16" ht="14.5">
      <c r="B16" s="319" t="s">
        <v>1498</v>
      </c>
      <c r="H16" s="40"/>
      <c r="I16" s="25"/>
      <c r="N16"/>
      <c r="P16" s="25"/>
    </row>
    <row r="17" spans="2:17" ht="13" customHeight="1">
      <c r="C17" s="35"/>
      <c r="N17"/>
      <c r="O17"/>
    </row>
    <row r="18" spans="2:17" ht="14.5">
      <c r="N18"/>
    </row>
    <row r="19" spans="2:17" ht="24" customHeight="1">
      <c r="B19" s="217" t="s">
        <v>1345</v>
      </c>
      <c r="C19" s="214"/>
      <c r="D19" s="214"/>
      <c r="E19" s="214"/>
      <c r="F19" s="214"/>
      <c r="G19" s="216"/>
      <c r="H19" s="214"/>
      <c r="I19" s="214"/>
      <c r="J19" s="214"/>
      <c r="K19" s="214"/>
      <c r="L19" s="214"/>
      <c r="N19"/>
    </row>
    <row r="20" spans="2:17" ht="18" customHeight="1">
      <c r="B20" s="866" t="s">
        <v>471</v>
      </c>
      <c r="C20" s="868" t="s">
        <v>492</v>
      </c>
      <c r="D20" s="868"/>
      <c r="E20" s="868" t="s">
        <v>1350</v>
      </c>
      <c r="F20" s="868"/>
      <c r="G20" s="863" t="s">
        <v>493</v>
      </c>
      <c r="H20" s="863"/>
      <c r="I20" s="863" t="s">
        <v>1325</v>
      </c>
      <c r="J20" s="863"/>
      <c r="K20" s="863" t="s">
        <v>1349</v>
      </c>
      <c r="L20" s="863"/>
      <c r="M20" s="38"/>
      <c r="N20" s="774"/>
      <c r="O20" s="38"/>
    </row>
    <row r="21" spans="2:17" ht="47.25" customHeight="1">
      <c r="B21" s="867"/>
      <c r="C21" s="190" t="s">
        <v>494</v>
      </c>
      <c r="D21" s="190" t="s">
        <v>495</v>
      </c>
      <c r="E21" s="190" t="s">
        <v>494</v>
      </c>
      <c r="F21" s="190" t="s">
        <v>495</v>
      </c>
      <c r="G21" s="190" t="s">
        <v>494</v>
      </c>
      <c r="H21" s="190" t="s">
        <v>495</v>
      </c>
      <c r="I21" s="190" t="s">
        <v>494</v>
      </c>
      <c r="J21" s="190" t="s">
        <v>495</v>
      </c>
      <c r="K21" s="190" t="s">
        <v>494</v>
      </c>
      <c r="L21" s="190" t="s">
        <v>495</v>
      </c>
      <c r="M21" s="39"/>
      <c r="N21"/>
    </row>
    <row r="22" spans="2:17" ht="14.5">
      <c r="B22" s="25" t="s">
        <v>477</v>
      </c>
      <c r="C22" s="40">
        <f>((H5+F5)*1000000000*1000000)/($D$39*2)</f>
        <v>2.4358980304395302E-11</v>
      </c>
      <c r="D22" s="40">
        <f>((I5+G5)*1000000000*1000000)/($D$39*2)</f>
        <v>1.4080856792540665E-11</v>
      </c>
      <c r="E22" s="40">
        <f t="shared" ref="E22:E28" si="10">$D$37*$C$57*$D$38*C22</f>
        <v>2.0279522507791312E+17</v>
      </c>
      <c r="F22" s="40">
        <f t="shared" ref="F22:F27" si="11">$D$37*$D$57*$D$38*D22</f>
        <v>6.0293419606515216E+16</v>
      </c>
      <c r="G22" s="40">
        <f>E22*$D$36</f>
        <v>9.9369660288177432E+20</v>
      </c>
      <c r="H22" s="40">
        <f t="shared" ref="G22:H27" si="12">F22*$D$36</f>
        <v>2.9543775607192453E+20</v>
      </c>
      <c r="I22" s="27">
        <f>M5</f>
        <v>5.0699445884862993</v>
      </c>
      <c r="J22" s="27">
        <f t="shared" ref="I22:J28" si="13">N5</f>
        <v>2.5374037905449822</v>
      </c>
      <c r="K22" s="41">
        <f>(G22+I22*1E+23)/(O5*1000000000000000000)</f>
        <v>35836.427574239402</v>
      </c>
      <c r="L22" s="41">
        <f>(H22+J22*1E+23)/(P5*1000000000000000000)</f>
        <v>29767.964110353983</v>
      </c>
      <c r="M22" s="41"/>
      <c r="N22"/>
    </row>
    <row r="23" spans="2:17" ht="14.5">
      <c r="B23" s="25" t="s">
        <v>478</v>
      </c>
      <c r="C23" s="40">
        <f t="shared" ref="C23:D28" si="14">((H6+F6)*1000000000*1000000)/($D$39*2)</f>
        <v>5.9192322139680592E-9</v>
      </c>
      <c r="D23" s="40">
        <f t="shared" si="14"/>
        <v>3.4216482005873821E-9</v>
      </c>
      <c r="E23" s="40">
        <f t="shared" si="10"/>
        <v>4.9279239693932896E+19</v>
      </c>
      <c r="F23" s="40">
        <f>$D$37*$D$57*$D$38*H16</f>
        <v>0</v>
      </c>
      <c r="G23" s="40">
        <f t="shared" si="12"/>
        <v>2.4146827450027118E+23</v>
      </c>
      <c r="H23" s="40">
        <f t="shared" si="12"/>
        <v>0</v>
      </c>
      <c r="I23" s="27">
        <f t="shared" si="13"/>
        <v>1304.0222023614551</v>
      </c>
      <c r="J23" s="27">
        <f t="shared" si="13"/>
        <v>652.6364975942804</v>
      </c>
      <c r="K23" s="41">
        <f t="shared" ref="K23:L27" si="15">(G23+I23*1E+23)/(O6*1000000000000000000)</f>
        <v>37927.418465036637</v>
      </c>
      <c r="L23" s="41">
        <f t="shared" si="15"/>
        <v>31471.63200922262</v>
      </c>
      <c r="M23" s="41"/>
      <c r="N23"/>
    </row>
    <row r="24" spans="2:17" ht="14.5">
      <c r="B24" s="25" t="s">
        <v>479</v>
      </c>
      <c r="C24" s="40">
        <f t="shared" si="14"/>
        <v>7.7217967564933084E-9</v>
      </c>
      <c r="D24" s="40">
        <f t="shared" si="14"/>
        <v>4.4636316032353916E-9</v>
      </c>
      <c r="E24" s="40">
        <f t="shared" si="10"/>
        <v>6.4286086349698441E+19</v>
      </c>
      <c r="F24" s="40">
        <f t="shared" si="11"/>
        <v>1.9113014015265329E+19</v>
      </c>
      <c r="G24" s="40">
        <f t="shared" si="12"/>
        <v>3.1500182311352235E+23</v>
      </c>
      <c r="H24" s="40">
        <f t="shared" si="12"/>
        <v>9.3653768674800117E+22</v>
      </c>
      <c r="I24" s="27">
        <f t="shared" si="13"/>
        <v>1337.2093061877813</v>
      </c>
      <c r="J24" s="27">
        <f t="shared" si="13"/>
        <v>669.24596572088808</v>
      </c>
      <c r="K24" s="41">
        <f t="shared" si="15"/>
        <v>29828.615858912523</v>
      </c>
      <c r="L24" s="41">
        <f t="shared" si="15"/>
        <v>24773.536276507453</v>
      </c>
      <c r="M24" s="41"/>
      <c r="N24"/>
    </row>
    <row r="25" spans="2:17" ht="14.5">
      <c r="B25" s="25" t="s">
        <v>480</v>
      </c>
      <c r="C25" s="40">
        <f t="shared" si="14"/>
        <v>9.7435921217581206E-11</v>
      </c>
      <c r="D25" s="40">
        <f t="shared" si="14"/>
        <v>5.6323427170162658E-11</v>
      </c>
      <c r="E25" s="40">
        <f t="shared" si="10"/>
        <v>8.1118090031165248E+17</v>
      </c>
      <c r="F25" s="40">
        <f t="shared" si="11"/>
        <v>2.4117367842606086E+17</v>
      </c>
      <c r="G25" s="40">
        <f t="shared" si="12"/>
        <v>3.9747864115270973E+21</v>
      </c>
      <c r="H25" s="40">
        <f t="shared" si="12"/>
        <v>1.1817510242876981E+21</v>
      </c>
      <c r="I25" s="27">
        <f t="shared" si="13"/>
        <v>16.887950560505352</v>
      </c>
      <c r="J25" s="27">
        <f t="shared" si="13"/>
        <v>8.4520745777137698</v>
      </c>
      <c r="K25" s="41">
        <f t="shared" si="15"/>
        <v>29854.447986749718</v>
      </c>
      <c r="L25" s="41">
        <f t="shared" si="15"/>
        <v>24795.01110035196</v>
      </c>
      <c r="M25" s="41"/>
      <c r="N25"/>
    </row>
    <row r="26" spans="2:17" ht="14.5">
      <c r="B26" s="25" t="s">
        <v>481</v>
      </c>
      <c r="C26" s="40">
        <f t="shared" si="14"/>
        <v>4.0923086911384103E-9</v>
      </c>
      <c r="D26" s="40">
        <f t="shared" si="14"/>
        <v>2.3655839411468323E-9</v>
      </c>
      <c r="E26" s="40">
        <f t="shared" si="10"/>
        <v>3.4069597813089403E+19</v>
      </c>
      <c r="F26" s="40">
        <f t="shared" si="11"/>
        <v>1.012929449389456E+19</v>
      </c>
      <c r="G26" s="40">
        <f t="shared" si="12"/>
        <v>1.6694102928413808E+23</v>
      </c>
      <c r="H26" s="40">
        <f t="shared" si="12"/>
        <v>4.9633543020083344E+22</v>
      </c>
      <c r="I26" s="27">
        <f t="shared" si="13"/>
        <v>2398.3877418137672</v>
      </c>
      <c r="J26" s="27">
        <f t="shared" si="13"/>
        <v>1200.3441144298258</v>
      </c>
      <c r="K26" s="41">
        <f t="shared" si="15"/>
        <v>100782.1050719847</v>
      </c>
      <c r="L26" s="41">
        <f t="shared" si="15"/>
        <v>83758.753894136564</v>
      </c>
      <c r="M26" s="41"/>
      <c r="N26"/>
    </row>
    <row r="27" spans="2:17" ht="14.5">
      <c r="B27" s="25" t="s">
        <v>482</v>
      </c>
      <c r="C27" s="40">
        <f t="shared" si="14"/>
        <v>3.2397443804845747E-9</v>
      </c>
      <c r="D27" s="40">
        <f t="shared" si="14"/>
        <v>1.8727539534079086E-9</v>
      </c>
      <c r="E27" s="40">
        <f t="shared" si="10"/>
        <v>2.6971764935362441E+19</v>
      </c>
      <c r="F27" s="40">
        <f t="shared" si="11"/>
        <v>8.0190248076665252E+18</v>
      </c>
      <c r="G27" s="40">
        <f t="shared" si="12"/>
        <v>1.3216164818327595E+23</v>
      </c>
      <c r="H27" s="40">
        <f>F27*$D$36</f>
        <v>3.9293221557565974E+22</v>
      </c>
      <c r="I27" s="27">
        <f t="shared" si="13"/>
        <v>217.83774105741233</v>
      </c>
      <c r="J27" s="27">
        <f t="shared" si="13"/>
        <v>109.02334339868264</v>
      </c>
      <c r="K27" s="41">
        <f t="shared" si="15"/>
        <v>11624.639703868146</v>
      </c>
      <c r="L27" s="41">
        <f>(H27+J27*1E+23)/(P10*1000000000000000000)</f>
        <v>9640.165008648828</v>
      </c>
      <c r="M27" s="41"/>
      <c r="N27"/>
    </row>
    <row r="28" spans="2:17" ht="14.5">
      <c r="B28" s="25" t="s">
        <v>483</v>
      </c>
      <c r="C28" s="42">
        <f t="shared" si="14"/>
        <v>3.2884623410933658E-9</v>
      </c>
      <c r="D28" s="42">
        <f>((I11+G11)*1000000000*1000000)/($D$39*2)</f>
        <v>1.9009156669929896E-9</v>
      </c>
      <c r="E28" s="42">
        <f t="shared" si="10"/>
        <v>2.7377355385518273E+19</v>
      </c>
      <c r="F28" s="42">
        <f>$D$37*$D$57*$D$38*D28</f>
        <v>8.1396116468795535E+18</v>
      </c>
      <c r="G28" s="42">
        <f>E28*$D$36</f>
        <v>1.3414904138903953E+23</v>
      </c>
      <c r="H28" s="42">
        <f>F28*$D$36</f>
        <v>3.9884097069709812E+22</v>
      </c>
      <c r="I28" s="27">
        <f>M11</f>
        <v>233.34594745401475</v>
      </c>
      <c r="J28" s="27">
        <f t="shared" si="13"/>
        <v>116.78488418251226</v>
      </c>
      <c r="K28" s="41">
        <f>(G28+I28*1E+23)/(O11*1000000000000000000)</f>
        <v>12263.860412055343</v>
      </c>
      <c r="L28" s="41">
        <f>(H28+J28*1E+23)/(P11*1000000000000000000)</f>
        <v>10171.563435932512</v>
      </c>
      <c r="M28" s="41"/>
      <c r="N28"/>
    </row>
    <row r="29" spans="2:17" ht="14.5">
      <c r="B29" s="43"/>
      <c r="I29" s="864" t="s">
        <v>904</v>
      </c>
      <c r="J29" s="864"/>
      <c r="K29" s="44">
        <f>K22*$C$5+K23*$C$6+K24*$C$7+K25*$C$8+K26*$C$9+K27*$C$10+K28*$C$11</f>
        <v>38921.458563572196</v>
      </c>
      <c r="L29" s="44">
        <f>L22*$C$5+L23*$C$6+L24*$C$7+L25*$C$8+L26*$C$9+L27*$C$10+L28*$C$11</f>
        <v>32324.215035586254</v>
      </c>
      <c r="M29" s="45"/>
      <c r="N29"/>
      <c r="O29" s="45"/>
    </row>
    <row r="30" spans="2:17">
      <c r="F30" s="46"/>
      <c r="J30" s="185" t="s">
        <v>905</v>
      </c>
      <c r="K30" s="179">
        <f>D40</f>
        <v>29458</v>
      </c>
      <c r="L30" s="179">
        <f>D41</f>
        <v>19995</v>
      </c>
      <c r="M30" s="74"/>
    </row>
    <row r="31" spans="2:17">
      <c r="H31" s="25"/>
      <c r="I31" s="25"/>
      <c r="J31" s="186" t="s">
        <v>1070</v>
      </c>
      <c r="K31" s="182">
        <f>K29*K30</f>
        <v>1146548326.3657098</v>
      </c>
      <c r="L31" s="182">
        <f>L29*L30</f>
        <v>646322679.63654721</v>
      </c>
      <c r="M31" s="75"/>
      <c r="N31" s="25"/>
      <c r="O31" s="25"/>
      <c r="P31" s="25"/>
      <c r="Q31" s="25"/>
    </row>
    <row r="32" spans="2:17" ht="14.5">
      <c r="B32"/>
      <c r="C32"/>
      <c r="D32"/>
      <c r="E32"/>
      <c r="F32"/>
      <c r="G32"/>
      <c r="H32"/>
      <c r="I32"/>
      <c r="J32"/>
      <c r="K32" s="271">
        <f>SUM(G22:G28)/(SUMPRODUCT(K22:K28,O5:O11)*1000000000000000000)</f>
        <v>1.8010916869949981E-3</v>
      </c>
      <c r="L32" s="271">
        <f>SUM(H22:H28)/(SUMPRODUCT(L22:L28,P5:P11)*1000000000000000000)</f>
        <v>8.1101207012428665E-4</v>
      </c>
      <c r="M32" s="270" t="s">
        <v>1409</v>
      </c>
      <c r="N32"/>
      <c r="Q32" s="41"/>
    </row>
    <row r="34" spans="2:9" ht="24" customHeight="1">
      <c r="B34" s="880" t="s">
        <v>1346</v>
      </c>
      <c r="C34" s="880"/>
      <c r="D34" s="880"/>
      <c r="E34" s="880"/>
      <c r="F34" s="25"/>
      <c r="G34" s="25"/>
      <c r="H34" s="25"/>
      <c r="I34" s="25"/>
    </row>
    <row r="35" spans="2:9">
      <c r="B35" s="879" t="s">
        <v>177</v>
      </c>
      <c r="C35" s="879"/>
      <c r="D35" s="188" t="s">
        <v>1332</v>
      </c>
      <c r="E35" s="189" t="s">
        <v>22</v>
      </c>
      <c r="F35" s="25"/>
      <c r="G35" s="25"/>
      <c r="H35" s="25"/>
      <c r="I35" s="25"/>
    </row>
    <row r="36" spans="2:9">
      <c r="B36" s="861" t="s">
        <v>1328</v>
      </c>
      <c r="C36" s="861"/>
      <c r="D36" s="40">
        <f>deepheat_tr</f>
        <v>4900</v>
      </c>
      <c r="E36" s="176" t="s">
        <v>1</v>
      </c>
      <c r="F36" s="25"/>
      <c r="G36" s="25"/>
      <c r="H36" s="25"/>
      <c r="I36" s="25"/>
    </row>
    <row r="37" spans="2:9">
      <c r="B37" s="861" t="s">
        <v>1329</v>
      </c>
      <c r="C37" s="861"/>
      <c r="D37" s="182">
        <f>Geo_exergy</f>
        <v>9.515E+20</v>
      </c>
      <c r="E37" s="177" t="s">
        <v>13</v>
      </c>
      <c r="F37" s="25"/>
      <c r="G37" s="25"/>
      <c r="H37" s="25"/>
    </row>
    <row r="38" spans="2:9">
      <c r="B38" s="861" t="s">
        <v>1330</v>
      </c>
      <c r="C38" s="861"/>
      <c r="D38" s="40">
        <v>20000000</v>
      </c>
      <c r="E38" s="176" t="s">
        <v>966</v>
      </c>
      <c r="F38" s="25"/>
      <c r="G38" s="25"/>
      <c r="H38" s="25"/>
      <c r="I38" s="25"/>
    </row>
    <row r="39" spans="2:9">
      <c r="B39" s="861" t="s">
        <v>1331</v>
      </c>
      <c r="C39" s="861"/>
      <c r="D39" s="40">
        <f>crust_mass</f>
        <v>2.17E+25</v>
      </c>
      <c r="E39" s="176" t="s">
        <v>489</v>
      </c>
      <c r="F39" s="25"/>
      <c r="G39" s="25"/>
      <c r="H39" s="25"/>
      <c r="I39" s="25"/>
    </row>
    <row r="40" spans="2:9" ht="14.5">
      <c r="B40" s="861" t="s">
        <v>1334</v>
      </c>
      <c r="C40" s="861"/>
      <c r="D40" s="179">
        <v>29458</v>
      </c>
      <c r="E40" s="176" t="s">
        <v>1333</v>
      </c>
      <c r="F40" s="25"/>
      <c r="G40" s="25"/>
      <c r="H40" s="25"/>
      <c r="I40" s="25"/>
    </row>
    <row r="41" spans="2:9" ht="14.5">
      <c r="B41" s="862" t="s">
        <v>1335</v>
      </c>
      <c r="C41" s="862"/>
      <c r="D41" s="180">
        <v>19995</v>
      </c>
      <c r="E41" s="178" t="s">
        <v>1333</v>
      </c>
    </row>
    <row r="42" spans="2:9">
      <c r="B42" s="181" t="s">
        <v>1336</v>
      </c>
      <c r="C42" s="40"/>
      <c r="D42" s="40"/>
      <c r="E42" s="176"/>
    </row>
    <row r="43" spans="2:9">
      <c r="B43" s="181" t="s">
        <v>1455</v>
      </c>
      <c r="C43" s="40"/>
      <c r="D43" s="40"/>
      <c r="E43" s="176"/>
    </row>
    <row r="44" spans="2:9">
      <c r="B44" s="40"/>
      <c r="C44" s="40"/>
      <c r="D44" s="40"/>
      <c r="E44" s="176"/>
    </row>
    <row r="45" spans="2:9" ht="24" customHeight="1">
      <c r="B45" s="217" t="s">
        <v>1347</v>
      </c>
      <c r="C45" s="214"/>
      <c r="D45" s="214"/>
      <c r="E45" s="214"/>
      <c r="F45" s="214"/>
    </row>
    <row r="46" spans="2:9" ht="48" customHeight="1">
      <c r="B46" s="878" t="s">
        <v>177</v>
      </c>
      <c r="C46" s="878"/>
      <c r="D46" s="169" t="s">
        <v>1340</v>
      </c>
      <c r="E46" s="169" t="s">
        <v>1341</v>
      </c>
      <c r="F46" s="170" t="s">
        <v>1342</v>
      </c>
    </row>
    <row r="47" spans="2:9">
      <c r="B47" s="873" t="s">
        <v>469</v>
      </c>
      <c r="C47" s="873"/>
      <c r="D47" s="174">
        <v>0.7</v>
      </c>
      <c r="E47" s="174">
        <v>7.0000000000000007E-2</v>
      </c>
      <c r="F47" s="174">
        <v>0.95649361209273298</v>
      </c>
    </row>
    <row r="48" spans="2:9">
      <c r="B48" s="874" t="s">
        <v>470</v>
      </c>
      <c r="C48" s="874"/>
      <c r="D48" s="175">
        <v>0.9</v>
      </c>
      <c r="E48" s="175">
        <v>7.0000000000000007E-2</v>
      </c>
      <c r="F48" s="175">
        <v>0.69392753854393996</v>
      </c>
    </row>
    <row r="49" spans="2:6" ht="13.5">
      <c r="B49" s="181" t="s">
        <v>1338</v>
      </c>
      <c r="C49" s="184"/>
      <c r="D49" s="184"/>
    </row>
    <row r="50" spans="2:6">
      <c r="B50" s="181" t="s">
        <v>1339</v>
      </c>
      <c r="C50" s="181"/>
      <c r="D50" s="181"/>
    </row>
    <row r="51" spans="2:6" ht="15.5">
      <c r="B51" s="183"/>
      <c r="C51" s="183"/>
      <c r="D51" s="183"/>
    </row>
    <row r="52" spans="2:6" ht="24" customHeight="1">
      <c r="B52" s="872" t="s">
        <v>1348</v>
      </c>
      <c r="C52" s="872"/>
      <c r="D52" s="872"/>
      <c r="E52" s="872"/>
      <c r="F52" s="872"/>
    </row>
    <row r="53" spans="2:6">
      <c r="B53" s="171"/>
      <c r="C53" s="860" t="s">
        <v>487</v>
      </c>
      <c r="D53" s="860"/>
      <c r="E53" s="860" t="s">
        <v>488</v>
      </c>
      <c r="F53" s="860"/>
    </row>
    <row r="54" spans="2:6">
      <c r="B54" s="34"/>
      <c r="C54" s="187" t="s">
        <v>475</v>
      </c>
      <c r="D54" s="187" t="s">
        <v>476</v>
      </c>
      <c r="E54" s="187" t="s">
        <v>475</v>
      </c>
      <c r="F54" s="187" t="s">
        <v>476</v>
      </c>
    </row>
    <row r="55" spans="2:6" ht="17.25" customHeight="1">
      <c r="B55" s="36" t="s">
        <v>1354</v>
      </c>
      <c r="C55" s="37">
        <v>237.5</v>
      </c>
      <c r="D55" s="37">
        <v>97.5</v>
      </c>
      <c r="E55" s="37">
        <f>C55+273.15</f>
        <v>510.65</v>
      </c>
      <c r="F55" s="37">
        <f>D55+273.15</f>
        <v>370.65</v>
      </c>
    </row>
    <row r="56" spans="2:6">
      <c r="B56" s="36" t="s">
        <v>490</v>
      </c>
      <c r="C56" s="37">
        <f>Surface_Temperature-273.15</f>
        <v>14.100000000000023</v>
      </c>
      <c r="D56" s="37">
        <f>Surface_Temperature-273.15</f>
        <v>14.100000000000023</v>
      </c>
      <c r="E56" s="37">
        <f>C56+273.15</f>
        <v>287.25</v>
      </c>
      <c r="F56" s="37">
        <f>D56+273.15</f>
        <v>287.25</v>
      </c>
    </row>
    <row r="57" spans="2:6" ht="14.5">
      <c r="B57" s="172" t="s">
        <v>491</v>
      </c>
      <c r="C57" s="173">
        <f>1-E56/E55</f>
        <v>0.43748164104572596</v>
      </c>
      <c r="D57" s="173">
        <f>1-F56/F55</f>
        <v>0.22501011736139209</v>
      </c>
      <c r="E57" s="172"/>
      <c r="F57" s="172"/>
    </row>
    <row r="58" spans="2:6">
      <c r="B58" s="869" t="s">
        <v>1355</v>
      </c>
      <c r="C58" s="869"/>
      <c r="D58" s="869"/>
      <c r="E58" s="869"/>
      <c r="F58" s="869"/>
    </row>
    <row r="59" spans="2:6">
      <c r="B59" s="870"/>
      <c r="C59" s="870"/>
      <c r="D59" s="870"/>
      <c r="E59" s="870"/>
      <c r="F59" s="870"/>
    </row>
  </sheetData>
  <mergeCells count="31">
    <mergeCell ref="B58:F59"/>
    <mergeCell ref="H3:I3"/>
    <mergeCell ref="J3:K3"/>
    <mergeCell ref="M3:N3"/>
    <mergeCell ref="O3:P3"/>
    <mergeCell ref="B52:F52"/>
    <mergeCell ref="B47:C47"/>
    <mergeCell ref="B48:C48"/>
    <mergeCell ref="B3:B4"/>
    <mergeCell ref="C3:C4"/>
    <mergeCell ref="D3:E3"/>
    <mergeCell ref="F3:G3"/>
    <mergeCell ref="B46:C46"/>
    <mergeCell ref="I20:J20"/>
    <mergeCell ref="B35:C35"/>
    <mergeCell ref="B34:E34"/>
    <mergeCell ref="K20:L20"/>
    <mergeCell ref="I29:J29"/>
    <mergeCell ref="B15:G15"/>
    <mergeCell ref="B20:B21"/>
    <mergeCell ref="C20:D20"/>
    <mergeCell ref="E20:F20"/>
    <mergeCell ref="G20:H20"/>
    <mergeCell ref="C53:D53"/>
    <mergeCell ref="E53:F53"/>
    <mergeCell ref="B36:C36"/>
    <mergeCell ref="B37:C37"/>
    <mergeCell ref="B38:C38"/>
    <mergeCell ref="B41:C41"/>
    <mergeCell ref="B39:C39"/>
    <mergeCell ref="B40:C40"/>
  </mergeCells>
  <pageMargins left="0.7" right="0.7" top="0.75" bottom="0.75" header="0.3" footer="0.3"/>
  <pageSetup orientation="portrait" horizontalDpi="4294967292" verticalDpi="4294967292"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8">
    <tabColor theme="1" tint="0.499984740745262"/>
  </sheetPr>
  <dimension ref="B3:S62"/>
  <sheetViews>
    <sheetView topLeftCell="A60" zoomScale="90" zoomScaleNormal="90" zoomScalePageLayoutView="90" workbookViewId="0">
      <selection activeCell="H30" sqref="H30"/>
    </sheetView>
  </sheetViews>
  <sheetFormatPr defaultColWidth="8.81640625" defaultRowHeight="14.5"/>
  <cols>
    <col min="1" max="1" width="6" customWidth="1"/>
    <col min="2" max="2" width="30.6328125" customWidth="1"/>
    <col min="3" max="3" width="13.453125" bestFit="1" customWidth="1"/>
    <col min="4" max="4" width="14.81640625" customWidth="1"/>
    <col min="5" max="5" width="20.1796875" bestFit="1" customWidth="1"/>
    <col min="6" max="6" width="15.6328125" customWidth="1"/>
    <col min="7" max="7" width="9.36328125" customWidth="1"/>
    <col min="9" max="9" width="12.1796875" customWidth="1"/>
    <col min="10" max="10" width="11.453125" customWidth="1"/>
    <col min="12" max="12" width="12.6328125" bestFit="1" customWidth="1"/>
    <col min="13" max="13" width="10.81640625" customWidth="1"/>
    <col min="14" max="14" width="13.36328125" bestFit="1" customWidth="1"/>
    <col min="16" max="16" width="10.36328125" customWidth="1"/>
    <col min="17" max="17" width="9.36328125" bestFit="1" customWidth="1"/>
    <col min="18" max="18" width="15.81640625" bestFit="1" customWidth="1"/>
  </cols>
  <sheetData>
    <row r="3" spans="2:19" ht="24" customHeight="1">
      <c r="B3" s="288" t="s">
        <v>1360</v>
      </c>
      <c r="C3" s="289"/>
      <c r="D3" s="289"/>
      <c r="E3" s="289"/>
      <c r="F3" s="289"/>
      <c r="G3" s="289"/>
      <c r="H3" s="289"/>
      <c r="I3" s="289"/>
      <c r="J3" s="289"/>
      <c r="K3" s="289"/>
      <c r="L3" s="289"/>
      <c r="M3" s="289"/>
      <c r="N3" s="289"/>
      <c r="O3" s="289"/>
      <c r="P3" s="289"/>
      <c r="Q3" s="289"/>
      <c r="R3" s="289"/>
    </row>
    <row r="4" spans="2:19" ht="14.5" customHeight="1">
      <c r="B4" s="207"/>
      <c r="C4" s="207"/>
      <c r="D4" s="207"/>
      <c r="E4" s="207"/>
      <c r="F4" s="890" t="s">
        <v>1356</v>
      </c>
      <c r="G4" s="890"/>
      <c r="H4" s="890"/>
      <c r="I4" s="890"/>
      <c r="J4" s="890"/>
      <c r="K4" s="894"/>
      <c r="L4" s="895" t="s">
        <v>5</v>
      </c>
      <c r="M4" s="890"/>
      <c r="N4" s="890"/>
      <c r="O4" s="894"/>
      <c r="P4" s="890" t="s">
        <v>436</v>
      </c>
      <c r="Q4" s="890"/>
      <c r="R4" s="890"/>
    </row>
    <row r="5" spans="2:19" ht="14.5" customHeight="1">
      <c r="B5" s="13" t="s">
        <v>433</v>
      </c>
      <c r="C5" s="13" t="s">
        <v>434</v>
      </c>
      <c r="D5" s="13" t="s">
        <v>435</v>
      </c>
      <c r="E5" s="13" t="s">
        <v>1357</v>
      </c>
      <c r="F5" s="891" t="s">
        <v>437</v>
      </c>
      <c r="G5" s="892"/>
      <c r="H5" s="892"/>
      <c r="I5" s="892" t="s">
        <v>438</v>
      </c>
      <c r="J5" s="892"/>
      <c r="K5" s="893"/>
      <c r="L5" s="891" t="s">
        <v>1358</v>
      </c>
      <c r="M5" s="892"/>
      <c r="N5" s="892" t="s">
        <v>1359</v>
      </c>
      <c r="O5" s="893"/>
      <c r="P5" s="892" t="s">
        <v>439</v>
      </c>
      <c r="Q5" s="892"/>
      <c r="R5" s="892"/>
    </row>
    <row r="6" spans="2:19">
      <c r="B6" s="156"/>
      <c r="C6" s="156"/>
      <c r="D6" s="156"/>
      <c r="E6" s="156"/>
      <c r="F6" s="208" t="s">
        <v>440</v>
      </c>
      <c r="G6" s="209" t="s">
        <v>441</v>
      </c>
      <c r="H6" s="209" t="s">
        <v>185</v>
      </c>
      <c r="I6" s="209" t="s">
        <v>440</v>
      </c>
      <c r="J6" s="209" t="s">
        <v>441</v>
      </c>
      <c r="K6" s="210" t="s">
        <v>185</v>
      </c>
      <c r="L6" s="208" t="s">
        <v>442</v>
      </c>
      <c r="M6" s="209" t="s">
        <v>443</v>
      </c>
      <c r="N6" s="209" t="s">
        <v>442</v>
      </c>
      <c r="O6" s="210" t="s">
        <v>444</v>
      </c>
      <c r="P6" s="209" t="s">
        <v>442</v>
      </c>
      <c r="Q6" s="209" t="s">
        <v>443</v>
      </c>
      <c r="R6" s="209" t="s">
        <v>445</v>
      </c>
    </row>
    <row r="7" spans="2:19">
      <c r="B7" t="s">
        <v>446</v>
      </c>
      <c r="C7" s="1">
        <v>438</v>
      </c>
      <c r="D7" s="1">
        <v>408</v>
      </c>
      <c r="E7" s="20">
        <v>0.09</v>
      </c>
      <c r="F7" s="202">
        <v>0.15</v>
      </c>
      <c r="G7" s="20">
        <v>0.85</v>
      </c>
      <c r="H7" s="194">
        <f t="shared" ref="H7:H12" si="0">SUM(F7:G7)</f>
        <v>1</v>
      </c>
      <c r="I7" s="20"/>
      <c r="J7" s="20"/>
      <c r="K7" s="203">
        <f t="shared" ref="K7:K12" si="1">SUM(I7:J7)</f>
        <v>0</v>
      </c>
      <c r="L7" s="200">
        <v>1.2299999999999999E+24</v>
      </c>
      <c r="M7" s="5">
        <v>1.43E+24</v>
      </c>
      <c r="N7" s="5">
        <f t="shared" ref="N7:N12" si="2">(($C7-$D7)*1000000*GEB*0.71)/L7</f>
        <v>207804878.04878047</v>
      </c>
      <c r="O7" s="198">
        <f t="shared" ref="O7:O12" si="3">(($C7-$D7)*1000000*GEB*0.29)/M7</f>
        <v>73006993.006992996</v>
      </c>
      <c r="P7" s="5">
        <f t="shared" ref="P7:P12" si="4">N7*$B$62</f>
        <v>6926829268.2926817</v>
      </c>
      <c r="Q7" s="5">
        <f t="shared" ref="Q7:Q12" si="5">O7*$C$62</f>
        <v>18251748251.748249</v>
      </c>
      <c r="R7" s="5">
        <f t="shared" ref="R7:R12" si="6">P7*H7+Q7*K7</f>
        <v>6926829268.2926817</v>
      </c>
      <c r="S7" s="3"/>
    </row>
    <row r="8" spans="2:19">
      <c r="B8" t="s">
        <v>447</v>
      </c>
      <c r="C8" s="1">
        <v>374</v>
      </c>
      <c r="D8" s="1">
        <v>352</v>
      </c>
      <c r="E8" s="20">
        <v>0.08</v>
      </c>
      <c r="F8" s="204">
        <v>0.8</v>
      </c>
      <c r="G8" s="20">
        <v>0.2</v>
      </c>
      <c r="H8" s="194">
        <f t="shared" si="0"/>
        <v>1</v>
      </c>
      <c r="I8" s="20"/>
      <c r="J8" s="20"/>
      <c r="K8" s="203">
        <f t="shared" si="1"/>
        <v>0</v>
      </c>
      <c r="L8" s="200">
        <v>4.2300000000000003E+23</v>
      </c>
      <c r="M8" s="5">
        <v>9.2999999999999998E+23</v>
      </c>
      <c r="N8" s="5">
        <f t="shared" si="2"/>
        <v>443120567.37588644</v>
      </c>
      <c r="O8" s="198">
        <f t="shared" si="3"/>
        <v>82322580.645161286</v>
      </c>
      <c r="P8" s="5">
        <f t="shared" si="4"/>
        <v>14770685579.196213</v>
      </c>
      <c r="Q8" s="5">
        <f t="shared" si="5"/>
        <v>20580645161.290321</v>
      </c>
      <c r="R8" s="5">
        <f t="shared" si="6"/>
        <v>14770685579.196213</v>
      </c>
      <c r="S8" s="3"/>
    </row>
    <row r="9" spans="2:19">
      <c r="B9" t="s">
        <v>448</v>
      </c>
      <c r="C9" s="1">
        <v>320</v>
      </c>
      <c r="D9" s="1">
        <v>286</v>
      </c>
      <c r="E9" s="20">
        <v>0.08</v>
      </c>
      <c r="F9" s="204">
        <v>0.35</v>
      </c>
      <c r="G9" s="20">
        <v>0.43</v>
      </c>
      <c r="H9" s="194">
        <f t="shared" si="0"/>
        <v>0.78</v>
      </c>
      <c r="I9" s="20"/>
      <c r="J9" s="20">
        <v>0.22</v>
      </c>
      <c r="K9" s="203">
        <f t="shared" si="1"/>
        <v>0.22</v>
      </c>
      <c r="L9" s="200">
        <v>1.3799999999999999E+24</v>
      </c>
      <c r="M9" s="5">
        <v>1.5199999999999999E+24</v>
      </c>
      <c r="N9" s="5">
        <f t="shared" si="2"/>
        <v>209913043.47826087</v>
      </c>
      <c r="O9" s="198">
        <f t="shared" si="3"/>
        <v>77842105.263157889</v>
      </c>
      <c r="P9" s="5">
        <f t="shared" si="4"/>
        <v>6997101449.2753611</v>
      </c>
      <c r="Q9" s="5">
        <f t="shared" si="5"/>
        <v>19460526315.789471</v>
      </c>
      <c r="R9" s="5">
        <f t="shared" si="6"/>
        <v>9739054919.9084663</v>
      </c>
      <c r="S9" s="3"/>
    </row>
    <row r="10" spans="2:19">
      <c r="B10" t="s">
        <v>449</v>
      </c>
      <c r="C10" s="1">
        <v>169</v>
      </c>
      <c r="D10" s="1">
        <v>144</v>
      </c>
      <c r="E10" s="20">
        <v>0.25</v>
      </c>
      <c r="F10" s="204">
        <v>0.74</v>
      </c>
      <c r="G10" s="20">
        <v>0.26</v>
      </c>
      <c r="H10" s="194">
        <f t="shared" si="0"/>
        <v>1</v>
      </c>
      <c r="I10" s="20"/>
      <c r="J10" s="20"/>
      <c r="K10" s="203">
        <f t="shared" si="1"/>
        <v>0</v>
      </c>
      <c r="L10" s="200">
        <v>3.6600000000000001E+24</v>
      </c>
      <c r="M10" s="5">
        <v>4.0300000000000001E+24</v>
      </c>
      <c r="N10" s="5">
        <f t="shared" si="2"/>
        <v>58196721.311475404</v>
      </c>
      <c r="O10" s="198">
        <f t="shared" si="3"/>
        <v>21588089.330024812</v>
      </c>
      <c r="P10" s="5">
        <f t="shared" si="4"/>
        <v>1939890710.3825133</v>
      </c>
      <c r="Q10" s="5">
        <f t="shared" si="5"/>
        <v>5397022332.5062027</v>
      </c>
      <c r="R10" s="5">
        <f t="shared" si="6"/>
        <v>1939890710.3825133</v>
      </c>
      <c r="S10" s="3"/>
    </row>
    <row r="11" spans="2:19">
      <c r="B11" t="s">
        <v>450</v>
      </c>
      <c r="C11" s="1">
        <v>119</v>
      </c>
      <c r="D11" s="1">
        <v>88.5</v>
      </c>
      <c r="E11" s="20">
        <v>0.28999999999999998</v>
      </c>
      <c r="F11" s="204">
        <v>0.61</v>
      </c>
      <c r="G11" s="20">
        <v>0.1</v>
      </c>
      <c r="H11" s="194">
        <f t="shared" si="0"/>
        <v>0.71</v>
      </c>
      <c r="I11" s="20">
        <v>0.04</v>
      </c>
      <c r="J11" s="20">
        <v>0.25</v>
      </c>
      <c r="K11" s="203">
        <f>SUM(I11:J11)</f>
        <v>0.28999999999999998</v>
      </c>
      <c r="L11" s="200">
        <v>3.3100000000000001E+24</v>
      </c>
      <c r="M11" s="5">
        <v>3.7899999999999999E+24</v>
      </c>
      <c r="N11" s="5">
        <f t="shared" si="2"/>
        <v>78507552.870090634</v>
      </c>
      <c r="O11" s="198">
        <f t="shared" si="3"/>
        <v>28005277.044854879</v>
      </c>
      <c r="P11" s="5">
        <f t="shared" si="4"/>
        <v>2616918429.0030208</v>
      </c>
      <c r="Q11" s="5">
        <f t="shared" si="5"/>
        <v>7001319261.2137203</v>
      </c>
      <c r="R11" s="5">
        <f t="shared" si="6"/>
        <v>3888394670.3441234</v>
      </c>
      <c r="S11" s="3"/>
    </row>
    <row r="12" spans="2:19">
      <c r="B12" s="123" t="s">
        <v>451</v>
      </c>
      <c r="C12" s="124">
        <v>36.6</v>
      </c>
      <c r="D12" s="124">
        <v>5.3</v>
      </c>
      <c r="E12" s="195">
        <v>0.125</v>
      </c>
      <c r="F12" s="205">
        <v>0.28000000000000003</v>
      </c>
      <c r="G12" s="196">
        <v>7.0000000000000007E-2</v>
      </c>
      <c r="H12" s="197">
        <f t="shared" si="0"/>
        <v>0.35000000000000003</v>
      </c>
      <c r="I12" s="196">
        <v>0.39</v>
      </c>
      <c r="J12" s="196">
        <v>0.26</v>
      </c>
      <c r="K12" s="206">
        <f t="shared" si="1"/>
        <v>0.65</v>
      </c>
      <c r="L12" s="201">
        <v>2.5799999999999999E+24</v>
      </c>
      <c r="M12" s="137">
        <v>3.12E+24</v>
      </c>
      <c r="N12" s="137">
        <f t="shared" si="2"/>
        <v>103362790.69767442</v>
      </c>
      <c r="O12" s="199">
        <f t="shared" si="3"/>
        <v>34911538.461538456</v>
      </c>
      <c r="P12" s="137">
        <f t="shared" si="4"/>
        <v>3445426356.5891471</v>
      </c>
      <c r="Q12" s="137">
        <f t="shared" si="5"/>
        <v>8727884615.3846149</v>
      </c>
      <c r="R12" s="137">
        <f t="shared" si="6"/>
        <v>6879024224.8062019</v>
      </c>
      <c r="S12" s="3"/>
    </row>
    <row r="13" spans="2:19">
      <c r="B13" t="s">
        <v>14</v>
      </c>
      <c r="E13" s="269">
        <f>SUM(E7:E12)</f>
        <v>0.91500000000000004</v>
      </c>
      <c r="H13" s="269">
        <f>SUMPRODUCT(H7:H12,$E$7:$E$12)</f>
        <v>0.73204999999999987</v>
      </c>
      <c r="I13" s="8"/>
      <c r="J13" s="8"/>
      <c r="K13" s="269">
        <f>SUMPRODUCT(K7:K12,$E$7:$E$12)</f>
        <v>0.18295</v>
      </c>
    </row>
    <row r="14" spans="2:19">
      <c r="B14" t="s">
        <v>452</v>
      </c>
    </row>
    <row r="15" spans="2:19">
      <c r="B15" t="s">
        <v>453</v>
      </c>
    </row>
    <row r="16" spans="2:19">
      <c r="B16" t="s">
        <v>454</v>
      </c>
    </row>
    <row r="17" spans="2:16">
      <c r="B17" t="s">
        <v>455</v>
      </c>
    </row>
    <row r="19" spans="2:16" ht="18.5">
      <c r="M19" s="211"/>
      <c r="N19" s="211"/>
    </row>
    <row r="20" spans="2:16" ht="24" customHeight="1">
      <c r="B20" s="290" t="s">
        <v>1362</v>
      </c>
      <c r="C20" s="290"/>
      <c r="D20" s="290"/>
      <c r="E20" s="290"/>
      <c r="F20" s="290"/>
      <c r="G20" s="211"/>
    </row>
    <row r="21" spans="2:16" ht="14.25" customHeight="1">
      <c r="B21" s="886" t="s">
        <v>1364</v>
      </c>
      <c r="C21" s="885" t="s">
        <v>436</v>
      </c>
      <c r="D21" s="885"/>
      <c r="E21" s="884" t="s">
        <v>1363</v>
      </c>
      <c r="F21" s="884"/>
    </row>
    <row r="22" spans="2:16">
      <c r="B22" s="887"/>
      <c r="C22" s="124" t="s">
        <v>440</v>
      </c>
      <c r="D22" s="124" t="s">
        <v>441</v>
      </c>
      <c r="E22" s="124" t="s">
        <v>440</v>
      </c>
      <c r="F22" s="124" t="s">
        <v>441</v>
      </c>
      <c r="P22" s="3"/>
    </row>
    <row r="23" spans="2:16">
      <c r="B23" s="18" t="s">
        <v>446</v>
      </c>
      <c r="C23" s="5">
        <f>F7/SUM(F7,I7)*$P7+I7/SUM(F7,I7)*$Q7</f>
        <v>6926829268.2926817</v>
      </c>
      <c r="D23" s="5">
        <f t="shared" ref="C23:D28" si="7">G7/SUM(G7,J7)*$P7+J7/SUM(G7,J7)*$Q7</f>
        <v>6926829268.2926817</v>
      </c>
      <c r="E23" s="5">
        <f t="shared" ref="E23:F28" si="8">C23*$E7</f>
        <v>623414634.14634132</v>
      </c>
      <c r="F23" s="5">
        <f t="shared" si="8"/>
        <v>623414634.14634132</v>
      </c>
    </row>
    <row r="24" spans="2:16">
      <c r="B24" s="18" t="s">
        <v>447</v>
      </c>
      <c r="C24" s="5">
        <f t="shared" si="7"/>
        <v>14770685579.196213</v>
      </c>
      <c r="D24" s="5">
        <f t="shared" si="7"/>
        <v>14770685579.196213</v>
      </c>
      <c r="E24" s="5">
        <f t="shared" si="8"/>
        <v>1181654846.3356969</v>
      </c>
      <c r="F24" s="5">
        <f t="shared" si="8"/>
        <v>1181654846.3356969</v>
      </c>
    </row>
    <row r="25" spans="2:16">
      <c r="B25" s="18" t="s">
        <v>448</v>
      </c>
      <c r="C25" s="5">
        <f t="shared" si="7"/>
        <v>6997101449.2753611</v>
      </c>
      <c r="D25" s="5">
        <f t="shared" si="7"/>
        <v>11215491404.09552</v>
      </c>
      <c r="E25" s="5">
        <f t="shared" si="8"/>
        <v>559768115.94202888</v>
      </c>
      <c r="F25" s="5">
        <f t="shared" si="8"/>
        <v>897239312.32764161</v>
      </c>
    </row>
    <row r="26" spans="2:16">
      <c r="B26" s="18" t="s">
        <v>449</v>
      </c>
      <c r="C26" s="5">
        <f t="shared" si="7"/>
        <v>1939890710.3825133</v>
      </c>
      <c r="D26" s="5">
        <f t="shared" si="7"/>
        <v>1939890710.3825133</v>
      </c>
      <c r="E26" s="5">
        <f t="shared" si="8"/>
        <v>484972677.59562832</v>
      </c>
      <c r="F26" s="5">
        <f t="shared" si="8"/>
        <v>484972677.59562832</v>
      </c>
    </row>
    <row r="27" spans="2:16">
      <c r="B27" s="18" t="s">
        <v>450</v>
      </c>
      <c r="C27" s="5">
        <f t="shared" si="7"/>
        <v>2886727710.9852176</v>
      </c>
      <c r="D27" s="5">
        <f t="shared" si="7"/>
        <v>5748633309.1535206</v>
      </c>
      <c r="E27" s="5">
        <f t="shared" si="8"/>
        <v>837151036.18571305</v>
      </c>
      <c r="F27" s="5">
        <f t="shared" si="8"/>
        <v>1667103659.6545208</v>
      </c>
    </row>
    <row r="28" spans="2:16">
      <c r="B28" s="18" t="s">
        <v>451</v>
      </c>
      <c r="C28" s="5">
        <f t="shared" si="7"/>
        <v>6520290119.1715841</v>
      </c>
      <c r="D28" s="5">
        <f t="shared" si="7"/>
        <v>7607363166.5492125</v>
      </c>
      <c r="E28" s="5">
        <f t="shared" si="8"/>
        <v>815036264.89644802</v>
      </c>
      <c r="F28" s="5">
        <f t="shared" si="8"/>
        <v>950920395.81865156</v>
      </c>
    </row>
    <row r="29" spans="2:16">
      <c r="D29" t="s">
        <v>463</v>
      </c>
      <c r="E29" s="5">
        <f>SUM(E23:E28)/E13</f>
        <v>4920215929.0730667</v>
      </c>
      <c r="F29" s="5">
        <f>SUM(F23:F28)/E13</f>
        <v>6344596203.1458797</v>
      </c>
      <c r="P29" s="3"/>
    </row>
    <row r="30" spans="2:16" ht="16.5">
      <c r="D30" s="212" t="s">
        <v>1365</v>
      </c>
      <c r="E30" s="213">
        <f>E29/0.85</f>
        <v>5788489328.3212547</v>
      </c>
      <c r="F30" s="213">
        <f>F29/0.85</f>
        <v>7464230827.2304468</v>
      </c>
      <c r="H30" s="767"/>
    </row>
    <row r="31" spans="2:16">
      <c r="D31" s="212" t="s">
        <v>1361</v>
      </c>
      <c r="E31" s="213">
        <f>E30/(D38*1000)</f>
        <v>132157.29060094189</v>
      </c>
      <c r="F31" s="213">
        <f>F30/(E38*1000)</f>
        <v>140305.0907374144</v>
      </c>
    </row>
    <row r="32" spans="2:16">
      <c r="B32" s="123"/>
      <c r="C32" s="123"/>
      <c r="D32" s="123" t="s">
        <v>1273</v>
      </c>
      <c r="E32" s="137">
        <f>D39*1000000*E31</f>
        <v>5088055688136263</v>
      </c>
      <c r="F32" s="137">
        <f>F31*E39*1000000</f>
        <v>5359654466169.2305</v>
      </c>
    </row>
    <row r="33" spans="2:5">
      <c r="B33" t="s">
        <v>1366</v>
      </c>
    </row>
    <row r="36" spans="2:5" ht="18.5">
      <c r="B36" s="288" t="s">
        <v>1375</v>
      </c>
      <c r="C36" s="289"/>
      <c r="D36" s="289"/>
      <c r="E36" s="289"/>
    </row>
    <row r="37" spans="2:5">
      <c r="B37" s="257" t="s">
        <v>177</v>
      </c>
      <c r="C37" s="257" t="s">
        <v>22</v>
      </c>
      <c r="D37" s="257" t="s">
        <v>888</v>
      </c>
      <c r="E37" s="257" t="s">
        <v>885</v>
      </c>
    </row>
    <row r="38" spans="2:5">
      <c r="B38" t="s">
        <v>1373</v>
      </c>
      <c r="C38" s="1" t="s">
        <v>886</v>
      </c>
      <c r="D38" s="1">
        <v>43.8</v>
      </c>
      <c r="E38" s="1">
        <v>53.2</v>
      </c>
    </row>
    <row r="39" spans="2:5">
      <c r="B39" s="123" t="s">
        <v>1374</v>
      </c>
      <c r="C39" s="124" t="s">
        <v>887</v>
      </c>
      <c r="D39" s="124">
        <f>38.5*1000</f>
        <v>38500</v>
      </c>
      <c r="E39" s="124">
        <v>38.200000000000003</v>
      </c>
    </row>
    <row r="45" spans="2:5" ht="38.25" customHeight="1">
      <c r="B45" s="889" t="s">
        <v>1440</v>
      </c>
      <c r="C45" s="889"/>
      <c r="D45" s="889"/>
      <c r="E45" s="889"/>
    </row>
    <row r="46" spans="2:5" ht="22" customHeight="1">
      <c r="B46" s="888" t="s">
        <v>456</v>
      </c>
      <c r="C46" s="888"/>
      <c r="D46" s="888" t="s">
        <v>457</v>
      </c>
      <c r="E46" s="888"/>
    </row>
    <row r="47" spans="2:5">
      <c r="B47" s="1" t="s">
        <v>442</v>
      </c>
      <c r="C47" s="1" t="s">
        <v>443</v>
      </c>
      <c r="D47" s="1" t="s">
        <v>442</v>
      </c>
      <c r="E47" s="1" t="s">
        <v>443</v>
      </c>
    </row>
    <row r="48" spans="2:5">
      <c r="B48" s="124" t="s">
        <v>458</v>
      </c>
      <c r="C48" s="124" t="s">
        <v>459</v>
      </c>
      <c r="D48" s="124" t="s">
        <v>460</v>
      </c>
      <c r="E48" s="124" t="s">
        <v>461</v>
      </c>
    </row>
    <row r="50" spans="2:3">
      <c r="B50" t="s">
        <v>462</v>
      </c>
    </row>
    <row r="51" spans="2:3">
      <c r="B51" t="s">
        <v>1117</v>
      </c>
    </row>
    <row r="53" spans="2:3" ht="27" customHeight="1">
      <c r="B53" s="881" t="s">
        <v>1441</v>
      </c>
      <c r="C53" s="881"/>
    </row>
    <row r="54" spans="2:3" ht="22" customHeight="1">
      <c r="B54" s="882" t="s">
        <v>464</v>
      </c>
      <c r="C54" s="882"/>
    </row>
    <row r="55" spans="2:3">
      <c r="B55" s="124" t="s">
        <v>465</v>
      </c>
      <c r="C55" s="124" t="s">
        <v>466</v>
      </c>
    </row>
    <row r="56" spans="2:3">
      <c r="B56" s="7">
        <f>1/0.75</f>
        <v>1.3333333333333333</v>
      </c>
      <c r="C56" s="1">
        <f>1/0.2</f>
        <v>5</v>
      </c>
    </row>
    <row r="57" spans="2:3" ht="20.25" customHeight="1">
      <c r="B57" s="883" t="s">
        <v>467</v>
      </c>
      <c r="C57" s="883"/>
    </row>
    <row r="58" spans="2:3">
      <c r="B58" s="1" t="s">
        <v>465</v>
      </c>
      <c r="C58" s="1" t="s">
        <v>466</v>
      </c>
    </row>
    <row r="59" spans="2:3">
      <c r="B59" s="1">
        <f>1/0.04</f>
        <v>25</v>
      </c>
      <c r="C59" s="1">
        <f>1/0.02</f>
        <v>50</v>
      </c>
    </row>
    <row r="60" spans="2:3" ht="21" customHeight="1">
      <c r="B60" s="883" t="s">
        <v>468</v>
      </c>
      <c r="C60" s="883"/>
    </row>
    <row r="61" spans="2:3">
      <c r="B61" s="1" t="s">
        <v>465</v>
      </c>
      <c r="C61" s="1" t="s">
        <v>466</v>
      </c>
    </row>
    <row r="62" spans="2:3">
      <c r="B62" s="292">
        <f>B59*B56</f>
        <v>33.333333333333329</v>
      </c>
      <c r="C62" s="124">
        <f>C59*C56</f>
        <v>250</v>
      </c>
    </row>
  </sheetData>
  <mergeCells count="18">
    <mergeCell ref="P4:R4"/>
    <mergeCell ref="F5:H5"/>
    <mergeCell ref="I5:K5"/>
    <mergeCell ref="L5:M5"/>
    <mergeCell ref="N5:O5"/>
    <mergeCell ref="P5:R5"/>
    <mergeCell ref="F4:K4"/>
    <mergeCell ref="L4:O4"/>
    <mergeCell ref="B53:C53"/>
    <mergeCell ref="B54:C54"/>
    <mergeCell ref="B57:C57"/>
    <mergeCell ref="B60:C60"/>
    <mergeCell ref="E21:F21"/>
    <mergeCell ref="C21:D21"/>
    <mergeCell ref="B21:B22"/>
    <mergeCell ref="B46:C46"/>
    <mergeCell ref="D46:E46"/>
    <mergeCell ref="B45:E45"/>
  </mergeCells>
  <pageMargins left="0.7" right="0.7" top="0.75" bottom="0.75" header="0.3" footer="0.3"/>
  <pageSetup orientation="portrai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3"/>
  <dimension ref="A1:IV103"/>
  <sheetViews>
    <sheetView topLeftCell="A32" zoomScale="70" zoomScaleNormal="70" zoomScalePageLayoutView="70" workbookViewId="0">
      <selection activeCell="A17" sqref="A17"/>
    </sheetView>
  </sheetViews>
  <sheetFormatPr defaultColWidth="8.81640625" defaultRowHeight="14.5"/>
  <cols>
    <col min="1" max="1" width="6.1796875" customWidth="1"/>
    <col min="2" max="2" width="255.81640625" bestFit="1" customWidth="1"/>
    <col min="3" max="3" width="237.6328125" bestFit="1" customWidth="1"/>
    <col min="4" max="4" width="117.453125" customWidth="1"/>
  </cols>
  <sheetData>
    <row r="1" spans="1:2" ht="20.25" customHeight="1"/>
    <row r="2" spans="1:2" s="346" customFormat="1" ht="22" customHeight="1">
      <c r="B2" s="731" t="s">
        <v>1437</v>
      </c>
    </row>
    <row r="3" spans="1:2" s="346" customFormat="1" ht="22" customHeight="1">
      <c r="A3" s="784">
        <v>1</v>
      </c>
      <c r="B3" s="346" t="s">
        <v>1088</v>
      </c>
    </row>
    <row r="4" spans="1:2" s="346" customFormat="1" ht="22" customHeight="1">
      <c r="A4" s="784">
        <f>A3+1</f>
        <v>2</v>
      </c>
      <c r="B4" s="346" t="s">
        <v>1247</v>
      </c>
    </row>
    <row r="5" spans="1:2" s="346" customFormat="1" ht="22" customHeight="1">
      <c r="A5" s="784">
        <f t="shared" ref="A5:A69" si="0">A4+1</f>
        <v>3</v>
      </c>
      <c r="B5" s="346" t="s">
        <v>1251</v>
      </c>
    </row>
    <row r="6" spans="1:2" s="346" customFormat="1" ht="22" customHeight="1">
      <c r="A6" s="784">
        <f t="shared" si="0"/>
        <v>4</v>
      </c>
      <c r="B6" s="346" t="s">
        <v>1110</v>
      </c>
    </row>
    <row r="7" spans="1:2" s="346" customFormat="1" ht="22" customHeight="1">
      <c r="A7" s="784">
        <f t="shared" si="0"/>
        <v>5</v>
      </c>
      <c r="B7" s="346" t="s">
        <v>1111</v>
      </c>
    </row>
    <row r="8" spans="1:2" s="346" customFormat="1" ht="22" customHeight="1">
      <c r="A8" s="784">
        <f t="shared" si="0"/>
        <v>6</v>
      </c>
      <c r="B8" s="346" t="s">
        <v>1113</v>
      </c>
    </row>
    <row r="9" spans="1:2" s="346" customFormat="1" ht="22" customHeight="1">
      <c r="A9" s="784">
        <f t="shared" si="0"/>
        <v>7</v>
      </c>
      <c r="B9" s="732" t="s">
        <v>1492</v>
      </c>
    </row>
    <row r="10" spans="1:2" s="346" customFormat="1" ht="22" customHeight="1">
      <c r="A10" s="784">
        <f t="shared" si="0"/>
        <v>8</v>
      </c>
      <c r="B10" s="346" t="s">
        <v>1091</v>
      </c>
    </row>
    <row r="11" spans="1:2" s="346" customFormat="1" ht="22" customHeight="1">
      <c r="A11" s="784">
        <f t="shared" si="0"/>
        <v>9</v>
      </c>
      <c r="B11" s="346" t="s">
        <v>1091</v>
      </c>
    </row>
    <row r="12" spans="1:2" s="346" customFormat="1" ht="22" customHeight="1">
      <c r="A12" s="784">
        <v>10</v>
      </c>
      <c r="B12" s="815" t="s">
        <v>1963</v>
      </c>
    </row>
    <row r="13" spans="1:2" s="346" customFormat="1" ht="22" customHeight="1">
      <c r="A13" s="784">
        <f>A12+1</f>
        <v>11</v>
      </c>
      <c r="B13" s="346" t="s">
        <v>1099</v>
      </c>
    </row>
    <row r="14" spans="1:2" s="346" customFormat="1" ht="22" customHeight="1">
      <c r="A14" s="784">
        <f t="shared" si="0"/>
        <v>12</v>
      </c>
      <c r="B14" s="346" t="s">
        <v>1095</v>
      </c>
    </row>
    <row r="15" spans="1:2" s="346" customFormat="1" ht="22" customHeight="1">
      <c r="A15" s="784">
        <f t="shared" si="0"/>
        <v>13</v>
      </c>
      <c r="B15" s="346" t="s">
        <v>1442</v>
      </c>
    </row>
    <row r="16" spans="1:2" s="346" customFormat="1" ht="22" customHeight="1">
      <c r="A16" s="784">
        <f>A15+1</f>
        <v>14</v>
      </c>
      <c r="B16" s="346" t="s">
        <v>1094</v>
      </c>
    </row>
    <row r="17" spans="1:256" s="346" customFormat="1" ht="22" customHeight="1">
      <c r="A17" s="784">
        <f t="shared" si="0"/>
        <v>15</v>
      </c>
      <c r="B17" s="346" t="s">
        <v>1104</v>
      </c>
    </row>
    <row r="18" spans="1:256" s="346" customFormat="1" ht="22" customHeight="1">
      <c r="A18" s="784">
        <f t="shared" si="0"/>
        <v>16</v>
      </c>
      <c r="B18" s="346" t="s">
        <v>1106</v>
      </c>
    </row>
    <row r="19" spans="1:256" s="346" customFormat="1" ht="23.25" customHeight="1">
      <c r="A19" s="784">
        <f>A17+1</f>
        <v>16</v>
      </c>
      <c r="B19" s="730" t="s">
        <v>1510</v>
      </c>
    </row>
    <row r="20" spans="1:256" s="346" customFormat="1" ht="22" customHeight="1">
      <c r="A20" s="784">
        <f t="shared" si="0"/>
        <v>17</v>
      </c>
      <c r="B20" s="346" t="s">
        <v>1511</v>
      </c>
    </row>
    <row r="21" spans="1:256" s="346" customFormat="1" ht="22" customHeight="1">
      <c r="A21" s="784">
        <f t="shared" si="0"/>
        <v>18</v>
      </c>
      <c r="B21" s="346" t="s">
        <v>1500</v>
      </c>
    </row>
    <row r="22" spans="1:256" s="346" customFormat="1" ht="22" customHeight="1">
      <c r="A22" s="784">
        <f t="shared" si="0"/>
        <v>19</v>
      </c>
      <c r="B22" s="346" t="s">
        <v>1499</v>
      </c>
    </row>
    <row r="23" spans="1:256" s="346" customFormat="1" ht="22" customHeight="1">
      <c r="A23" s="784">
        <f t="shared" si="0"/>
        <v>20</v>
      </c>
      <c r="B23" s="346" t="s">
        <v>1604</v>
      </c>
    </row>
    <row r="24" spans="1:256" s="346" customFormat="1" ht="22" customHeight="1">
      <c r="A24" s="784">
        <f t="shared" si="0"/>
        <v>21</v>
      </c>
      <c r="B24" s="346" t="s">
        <v>1089</v>
      </c>
    </row>
    <row r="25" spans="1:256" s="346" customFormat="1" ht="22" customHeight="1">
      <c r="A25" s="784">
        <f t="shared" si="0"/>
        <v>22</v>
      </c>
      <c r="B25" s="346" t="s">
        <v>1112</v>
      </c>
    </row>
    <row r="26" spans="1:256" s="346" customFormat="1" ht="22" customHeight="1">
      <c r="A26" s="784">
        <f t="shared" si="0"/>
        <v>23</v>
      </c>
      <c r="B26" s="346" t="s">
        <v>1092</v>
      </c>
    </row>
    <row r="27" spans="1:256" s="346" customFormat="1" ht="22" customHeight="1">
      <c r="A27" s="784">
        <f t="shared" si="0"/>
        <v>24</v>
      </c>
      <c r="B27" s="346" t="s">
        <v>1248</v>
      </c>
    </row>
    <row r="28" spans="1:256" s="346" customFormat="1" ht="22" customHeight="1">
      <c r="A28" s="784">
        <f t="shared" si="0"/>
        <v>25</v>
      </c>
      <c r="B28" s="346" t="s">
        <v>1109</v>
      </c>
    </row>
    <row r="29" spans="1:256" s="346" customFormat="1" ht="22" customHeight="1">
      <c r="A29" s="784">
        <f t="shared" si="0"/>
        <v>26</v>
      </c>
      <c r="B29" s="346" t="s">
        <v>1100</v>
      </c>
    </row>
    <row r="30" spans="1:256" s="346" customFormat="1" ht="22" customHeight="1">
      <c r="A30" s="784">
        <f t="shared" si="0"/>
        <v>27</v>
      </c>
      <c r="B30" s="346" t="s">
        <v>1210</v>
      </c>
    </row>
    <row r="31" spans="1:256" s="750" customFormat="1" ht="22" customHeight="1">
      <c r="A31" s="784">
        <f t="shared" si="0"/>
        <v>28</v>
      </c>
      <c r="B31" s="778" t="s">
        <v>1944</v>
      </c>
      <c r="C31" s="749" t="s">
        <v>1936</v>
      </c>
      <c r="D31" s="749" t="s">
        <v>1936</v>
      </c>
      <c r="E31" s="749" t="s">
        <v>1936</v>
      </c>
      <c r="F31" s="749" t="s">
        <v>1936</v>
      </c>
      <c r="G31" s="749" t="s">
        <v>1936</v>
      </c>
      <c r="H31" s="749" t="s">
        <v>1936</v>
      </c>
      <c r="I31" s="749" t="s">
        <v>1936</v>
      </c>
      <c r="J31" s="749" t="s">
        <v>1936</v>
      </c>
      <c r="K31" s="749" t="s">
        <v>1936</v>
      </c>
      <c r="L31" s="749" t="s">
        <v>1936</v>
      </c>
      <c r="M31" s="749" t="s">
        <v>1936</v>
      </c>
      <c r="N31" s="749" t="s">
        <v>1936</v>
      </c>
      <c r="O31" s="749" t="s">
        <v>1936</v>
      </c>
      <c r="P31" s="749" t="s">
        <v>1936</v>
      </c>
      <c r="Q31" s="749" t="s">
        <v>1936</v>
      </c>
      <c r="R31" s="749" t="s">
        <v>1936</v>
      </c>
      <c r="S31" s="749" t="s">
        <v>1936</v>
      </c>
      <c r="T31" s="749" t="s">
        <v>1936</v>
      </c>
      <c r="U31" s="749" t="s">
        <v>1936</v>
      </c>
      <c r="V31" s="749" t="s">
        <v>1936</v>
      </c>
      <c r="W31" s="749" t="s">
        <v>1936</v>
      </c>
      <c r="X31" s="749" t="s">
        <v>1936</v>
      </c>
      <c r="Y31" s="749" t="s">
        <v>1936</v>
      </c>
      <c r="Z31" s="749" t="s">
        <v>1936</v>
      </c>
      <c r="AA31" s="749" t="s">
        <v>1936</v>
      </c>
      <c r="AB31" s="749" t="s">
        <v>1936</v>
      </c>
      <c r="AC31" s="749" t="s">
        <v>1936</v>
      </c>
      <c r="AD31" s="749" t="s">
        <v>1936</v>
      </c>
      <c r="AE31" s="749" t="s">
        <v>1936</v>
      </c>
      <c r="AF31" s="749" t="s">
        <v>1936</v>
      </c>
      <c r="AG31" s="749" t="s">
        <v>1936</v>
      </c>
      <c r="AH31" s="749" t="s">
        <v>1936</v>
      </c>
      <c r="AI31" s="749" t="s">
        <v>1936</v>
      </c>
      <c r="AJ31" s="749" t="s">
        <v>1936</v>
      </c>
      <c r="AK31" s="749" t="s">
        <v>1936</v>
      </c>
      <c r="AL31" s="749" t="s">
        <v>1936</v>
      </c>
      <c r="AM31" s="749" t="s">
        <v>1936</v>
      </c>
      <c r="AN31" s="749" t="s">
        <v>1936</v>
      </c>
      <c r="AO31" s="749" t="s">
        <v>1936</v>
      </c>
      <c r="AP31" s="749" t="s">
        <v>1936</v>
      </c>
      <c r="AQ31" s="749" t="s">
        <v>1936</v>
      </c>
      <c r="AR31" s="749" t="s">
        <v>1936</v>
      </c>
      <c r="AS31" s="749" t="s">
        <v>1936</v>
      </c>
      <c r="AT31" s="749" t="s">
        <v>1936</v>
      </c>
      <c r="AU31" s="749" t="s">
        <v>1936</v>
      </c>
      <c r="AV31" s="749" t="s">
        <v>1936</v>
      </c>
      <c r="AW31" s="749" t="s">
        <v>1936</v>
      </c>
      <c r="AX31" s="749" t="s">
        <v>1936</v>
      </c>
      <c r="AY31" s="749" t="s">
        <v>1936</v>
      </c>
      <c r="AZ31" s="749" t="s">
        <v>1936</v>
      </c>
      <c r="BA31" s="749" t="s">
        <v>1936</v>
      </c>
      <c r="BB31" s="749" t="s">
        <v>1936</v>
      </c>
      <c r="BC31" s="749" t="s">
        <v>1936</v>
      </c>
      <c r="BD31" s="749" t="s">
        <v>1936</v>
      </c>
      <c r="BE31" s="749" t="s">
        <v>1936</v>
      </c>
      <c r="BF31" s="749" t="s">
        <v>1936</v>
      </c>
      <c r="BG31" s="749" t="s">
        <v>1936</v>
      </c>
      <c r="BH31" s="749" t="s">
        <v>1936</v>
      </c>
      <c r="BI31" s="749" t="s">
        <v>1936</v>
      </c>
      <c r="BJ31" s="749" t="s">
        <v>1936</v>
      </c>
      <c r="BK31" s="749" t="s">
        <v>1936</v>
      </c>
      <c r="BL31" s="749" t="s">
        <v>1936</v>
      </c>
      <c r="BM31" s="749" t="s">
        <v>1936</v>
      </c>
      <c r="BN31" s="749" t="s">
        <v>1936</v>
      </c>
      <c r="BO31" s="749" t="s">
        <v>1936</v>
      </c>
      <c r="BP31" s="749" t="s">
        <v>1936</v>
      </c>
      <c r="BQ31" s="749" t="s">
        <v>1936</v>
      </c>
      <c r="BR31" s="749" t="s">
        <v>1936</v>
      </c>
      <c r="BS31" s="749" t="s">
        <v>1936</v>
      </c>
      <c r="BT31" s="749" t="s">
        <v>1936</v>
      </c>
      <c r="BU31" s="749" t="s">
        <v>1936</v>
      </c>
      <c r="BV31" s="749" t="s">
        <v>1936</v>
      </c>
      <c r="BW31" s="749" t="s">
        <v>1936</v>
      </c>
      <c r="BX31" s="749" t="s">
        <v>1936</v>
      </c>
      <c r="BY31" s="749" t="s">
        <v>1936</v>
      </c>
      <c r="BZ31" s="749" t="s">
        <v>1936</v>
      </c>
      <c r="CA31" s="749" t="s">
        <v>1936</v>
      </c>
      <c r="CB31" s="749" t="s">
        <v>1936</v>
      </c>
      <c r="CC31" s="749" t="s">
        <v>1936</v>
      </c>
      <c r="CD31" s="749" t="s">
        <v>1936</v>
      </c>
      <c r="CE31" s="749" t="s">
        <v>1936</v>
      </c>
      <c r="CF31" s="749" t="s">
        <v>1936</v>
      </c>
      <c r="CG31" s="749" t="s">
        <v>1936</v>
      </c>
      <c r="CH31" s="749" t="s">
        <v>1936</v>
      </c>
      <c r="CI31" s="749" t="s">
        <v>1936</v>
      </c>
      <c r="CJ31" s="749" t="s">
        <v>1936</v>
      </c>
      <c r="CK31" s="749" t="s">
        <v>1936</v>
      </c>
      <c r="CL31" s="749" t="s">
        <v>1936</v>
      </c>
      <c r="CM31" s="749" t="s">
        <v>1936</v>
      </c>
      <c r="CN31" s="749" t="s">
        <v>1936</v>
      </c>
      <c r="CO31" s="749" t="s">
        <v>1936</v>
      </c>
      <c r="CP31" s="749" t="s">
        <v>1936</v>
      </c>
      <c r="CQ31" s="749" t="s">
        <v>1936</v>
      </c>
      <c r="CR31" s="749" t="s">
        <v>1936</v>
      </c>
      <c r="CS31" s="749" t="s">
        <v>1936</v>
      </c>
      <c r="CT31" s="749" t="s">
        <v>1936</v>
      </c>
      <c r="CU31" s="749" t="s">
        <v>1936</v>
      </c>
      <c r="CV31" s="749" t="s">
        <v>1936</v>
      </c>
      <c r="CW31" s="749" t="s">
        <v>1936</v>
      </c>
      <c r="CX31" s="749" t="s">
        <v>1936</v>
      </c>
      <c r="CY31" s="749" t="s">
        <v>1936</v>
      </c>
      <c r="CZ31" s="749" t="s">
        <v>1936</v>
      </c>
      <c r="DA31" s="749" t="s">
        <v>1936</v>
      </c>
      <c r="DB31" s="749" t="s">
        <v>1936</v>
      </c>
      <c r="DC31" s="749" t="s">
        <v>1936</v>
      </c>
      <c r="DD31" s="749" t="s">
        <v>1936</v>
      </c>
      <c r="DE31" s="749" t="s">
        <v>1936</v>
      </c>
      <c r="DF31" s="749" t="s">
        <v>1936</v>
      </c>
      <c r="DG31" s="749" t="s">
        <v>1936</v>
      </c>
      <c r="DH31" s="749" t="s">
        <v>1936</v>
      </c>
      <c r="DI31" s="749" t="s">
        <v>1936</v>
      </c>
      <c r="DJ31" s="749" t="s">
        <v>1936</v>
      </c>
      <c r="DK31" s="749" t="s">
        <v>1936</v>
      </c>
      <c r="DL31" s="749" t="s">
        <v>1936</v>
      </c>
      <c r="DM31" s="749" t="s">
        <v>1936</v>
      </c>
      <c r="DN31" s="749" t="s">
        <v>1936</v>
      </c>
      <c r="DO31" s="749" t="s">
        <v>1936</v>
      </c>
      <c r="DP31" s="749" t="s">
        <v>1936</v>
      </c>
      <c r="DQ31" s="749" t="s">
        <v>1936</v>
      </c>
      <c r="DR31" s="749" t="s">
        <v>1936</v>
      </c>
      <c r="DS31" s="749" t="s">
        <v>1936</v>
      </c>
      <c r="DT31" s="749" t="s">
        <v>1936</v>
      </c>
      <c r="DU31" s="749" t="s">
        <v>1936</v>
      </c>
      <c r="DV31" s="749" t="s">
        <v>1936</v>
      </c>
      <c r="DW31" s="749" t="s">
        <v>1936</v>
      </c>
      <c r="DX31" s="749" t="s">
        <v>1936</v>
      </c>
      <c r="DY31" s="749" t="s">
        <v>1936</v>
      </c>
      <c r="DZ31" s="749" t="s">
        <v>1936</v>
      </c>
      <c r="EA31" s="749" t="s">
        <v>1936</v>
      </c>
      <c r="EB31" s="749" t="s">
        <v>1936</v>
      </c>
      <c r="EC31" s="749" t="s">
        <v>1936</v>
      </c>
      <c r="ED31" s="749" t="s">
        <v>1936</v>
      </c>
      <c r="EE31" s="749" t="s">
        <v>1936</v>
      </c>
      <c r="EF31" s="749" t="s">
        <v>1936</v>
      </c>
      <c r="EG31" s="749" t="s">
        <v>1936</v>
      </c>
      <c r="EH31" s="749" t="s">
        <v>1936</v>
      </c>
      <c r="EI31" s="749" t="s">
        <v>1936</v>
      </c>
      <c r="EJ31" s="749" t="s">
        <v>1936</v>
      </c>
      <c r="EK31" s="749" t="s">
        <v>1936</v>
      </c>
      <c r="EL31" s="749" t="s">
        <v>1936</v>
      </c>
      <c r="EM31" s="749" t="s">
        <v>1936</v>
      </c>
      <c r="EN31" s="749" t="s">
        <v>1936</v>
      </c>
      <c r="EO31" s="749" t="s">
        <v>1936</v>
      </c>
      <c r="EP31" s="749" t="s">
        <v>1936</v>
      </c>
      <c r="EQ31" s="749" t="s">
        <v>1936</v>
      </c>
      <c r="ER31" s="749" t="s">
        <v>1936</v>
      </c>
      <c r="ES31" s="749" t="s">
        <v>1936</v>
      </c>
      <c r="ET31" s="749" t="s">
        <v>1936</v>
      </c>
      <c r="EU31" s="749" t="s">
        <v>1936</v>
      </c>
      <c r="EV31" s="749" t="s">
        <v>1936</v>
      </c>
      <c r="EW31" s="749" t="s">
        <v>1936</v>
      </c>
      <c r="EX31" s="749" t="s">
        <v>1936</v>
      </c>
      <c r="EY31" s="749" t="s">
        <v>1936</v>
      </c>
      <c r="EZ31" s="749" t="s">
        <v>1936</v>
      </c>
      <c r="FA31" s="749" t="s">
        <v>1936</v>
      </c>
      <c r="FB31" s="749" t="s">
        <v>1936</v>
      </c>
      <c r="FC31" s="749" t="s">
        <v>1936</v>
      </c>
      <c r="FD31" s="749" t="s">
        <v>1936</v>
      </c>
      <c r="FE31" s="749" t="s">
        <v>1936</v>
      </c>
      <c r="FF31" s="749" t="s">
        <v>1936</v>
      </c>
      <c r="FG31" s="749" t="s">
        <v>1936</v>
      </c>
      <c r="FH31" s="749" t="s">
        <v>1936</v>
      </c>
      <c r="FI31" s="749" t="s">
        <v>1936</v>
      </c>
      <c r="FJ31" s="749" t="s">
        <v>1936</v>
      </c>
      <c r="FK31" s="749" t="s">
        <v>1936</v>
      </c>
      <c r="FL31" s="749" t="s">
        <v>1936</v>
      </c>
      <c r="FM31" s="749" t="s">
        <v>1936</v>
      </c>
      <c r="FN31" s="749" t="s">
        <v>1936</v>
      </c>
      <c r="FO31" s="749" t="s">
        <v>1936</v>
      </c>
      <c r="FP31" s="749" t="s">
        <v>1936</v>
      </c>
      <c r="FQ31" s="749" t="s">
        <v>1936</v>
      </c>
      <c r="FR31" s="749" t="s">
        <v>1936</v>
      </c>
      <c r="FS31" s="749" t="s">
        <v>1936</v>
      </c>
      <c r="FT31" s="749" t="s">
        <v>1936</v>
      </c>
      <c r="FU31" s="749" t="s">
        <v>1936</v>
      </c>
      <c r="FV31" s="749" t="s">
        <v>1936</v>
      </c>
      <c r="FW31" s="749" t="s">
        <v>1936</v>
      </c>
      <c r="FX31" s="749" t="s">
        <v>1936</v>
      </c>
      <c r="FY31" s="749" t="s">
        <v>1936</v>
      </c>
      <c r="FZ31" s="749" t="s">
        <v>1936</v>
      </c>
      <c r="GA31" s="749" t="s">
        <v>1936</v>
      </c>
      <c r="GB31" s="749" t="s">
        <v>1936</v>
      </c>
      <c r="GC31" s="749" t="s">
        <v>1936</v>
      </c>
      <c r="GD31" s="749" t="s">
        <v>1936</v>
      </c>
      <c r="GE31" s="749" t="s">
        <v>1936</v>
      </c>
      <c r="GF31" s="749" t="s">
        <v>1936</v>
      </c>
      <c r="GG31" s="749" t="s">
        <v>1936</v>
      </c>
      <c r="GH31" s="749" t="s">
        <v>1936</v>
      </c>
      <c r="GI31" s="749" t="s">
        <v>1936</v>
      </c>
      <c r="GJ31" s="749" t="s">
        <v>1936</v>
      </c>
      <c r="GK31" s="749" t="s">
        <v>1936</v>
      </c>
      <c r="GL31" s="749" t="s">
        <v>1936</v>
      </c>
      <c r="GM31" s="749" t="s">
        <v>1936</v>
      </c>
      <c r="GN31" s="749" t="s">
        <v>1936</v>
      </c>
      <c r="GO31" s="749" t="s">
        <v>1936</v>
      </c>
      <c r="GP31" s="749" t="s">
        <v>1936</v>
      </c>
      <c r="GQ31" s="749" t="s">
        <v>1936</v>
      </c>
      <c r="GR31" s="749" t="s">
        <v>1936</v>
      </c>
      <c r="GS31" s="749" t="s">
        <v>1936</v>
      </c>
      <c r="GT31" s="749" t="s">
        <v>1936</v>
      </c>
      <c r="GU31" s="749" t="s">
        <v>1936</v>
      </c>
      <c r="GV31" s="749" t="s">
        <v>1936</v>
      </c>
      <c r="GW31" s="749" t="s">
        <v>1936</v>
      </c>
      <c r="GX31" s="749" t="s">
        <v>1936</v>
      </c>
      <c r="GY31" s="749" t="s">
        <v>1936</v>
      </c>
      <c r="GZ31" s="749" t="s">
        <v>1936</v>
      </c>
      <c r="HA31" s="749" t="s">
        <v>1936</v>
      </c>
      <c r="HB31" s="749" t="s">
        <v>1936</v>
      </c>
      <c r="HC31" s="749" t="s">
        <v>1936</v>
      </c>
      <c r="HD31" s="749" t="s">
        <v>1936</v>
      </c>
      <c r="HE31" s="749" t="s">
        <v>1936</v>
      </c>
      <c r="HF31" s="749" t="s">
        <v>1936</v>
      </c>
      <c r="HG31" s="749" t="s">
        <v>1936</v>
      </c>
      <c r="HH31" s="749" t="s">
        <v>1936</v>
      </c>
      <c r="HI31" s="749" t="s">
        <v>1936</v>
      </c>
      <c r="HJ31" s="749" t="s">
        <v>1936</v>
      </c>
      <c r="HK31" s="749" t="s">
        <v>1936</v>
      </c>
      <c r="HL31" s="749" t="s">
        <v>1936</v>
      </c>
      <c r="HM31" s="749" t="s">
        <v>1936</v>
      </c>
      <c r="HN31" s="749" t="s">
        <v>1936</v>
      </c>
      <c r="HO31" s="749" t="s">
        <v>1936</v>
      </c>
      <c r="HP31" s="749" t="s">
        <v>1936</v>
      </c>
      <c r="HQ31" s="749" t="s">
        <v>1936</v>
      </c>
      <c r="HR31" s="749" t="s">
        <v>1936</v>
      </c>
      <c r="HS31" s="749" t="s">
        <v>1936</v>
      </c>
      <c r="HT31" s="749" t="s">
        <v>1936</v>
      </c>
      <c r="HU31" s="749" t="s">
        <v>1936</v>
      </c>
      <c r="HV31" s="749" t="s">
        <v>1936</v>
      </c>
      <c r="HW31" s="749" t="s">
        <v>1936</v>
      </c>
      <c r="HX31" s="749" t="s">
        <v>1936</v>
      </c>
      <c r="HY31" s="749" t="s">
        <v>1936</v>
      </c>
      <c r="HZ31" s="749" t="s">
        <v>1936</v>
      </c>
      <c r="IA31" s="749" t="s">
        <v>1936</v>
      </c>
      <c r="IB31" s="749" t="s">
        <v>1936</v>
      </c>
      <c r="IC31" s="749" t="s">
        <v>1936</v>
      </c>
      <c r="ID31" s="749" t="s">
        <v>1936</v>
      </c>
      <c r="IE31" s="749" t="s">
        <v>1936</v>
      </c>
      <c r="IF31" s="749" t="s">
        <v>1936</v>
      </c>
      <c r="IG31" s="749" t="s">
        <v>1936</v>
      </c>
      <c r="IH31" s="749" t="s">
        <v>1936</v>
      </c>
      <c r="II31" s="749" t="s">
        <v>1936</v>
      </c>
      <c r="IJ31" s="749" t="s">
        <v>1936</v>
      </c>
      <c r="IK31" s="749" t="s">
        <v>1936</v>
      </c>
      <c r="IL31" s="749" t="s">
        <v>1936</v>
      </c>
      <c r="IM31" s="749" t="s">
        <v>1936</v>
      </c>
      <c r="IN31" s="749" t="s">
        <v>1936</v>
      </c>
      <c r="IO31" s="749" t="s">
        <v>1936</v>
      </c>
      <c r="IP31" s="749" t="s">
        <v>1936</v>
      </c>
      <c r="IQ31" s="749" t="s">
        <v>1936</v>
      </c>
      <c r="IR31" s="749" t="s">
        <v>1936</v>
      </c>
      <c r="IS31" s="749" t="s">
        <v>1936</v>
      </c>
      <c r="IT31" s="749" t="s">
        <v>1936</v>
      </c>
      <c r="IU31" s="749" t="s">
        <v>1936</v>
      </c>
      <c r="IV31" s="749" t="s">
        <v>1936</v>
      </c>
    </row>
    <row r="32" spans="1:256" s="346" customFormat="1" ht="22" customHeight="1">
      <c r="A32" s="784">
        <f t="shared" si="0"/>
        <v>29</v>
      </c>
      <c r="B32" s="346" t="s">
        <v>184</v>
      </c>
    </row>
    <row r="33" spans="1:256" s="346" customFormat="1" ht="22" customHeight="1">
      <c r="A33" s="784">
        <f t="shared" si="0"/>
        <v>30</v>
      </c>
      <c r="B33" s="346" t="s">
        <v>1115</v>
      </c>
    </row>
    <row r="34" spans="1:256" s="346" customFormat="1" ht="22" customHeight="1">
      <c r="A34" s="784">
        <f t="shared" si="0"/>
        <v>31</v>
      </c>
      <c r="B34" s="346" t="s">
        <v>1118</v>
      </c>
    </row>
    <row r="35" spans="1:256" s="346" customFormat="1" ht="22" customHeight="1">
      <c r="A35" s="784">
        <f t="shared" si="0"/>
        <v>32</v>
      </c>
      <c r="B35" s="346" t="s">
        <v>1108</v>
      </c>
    </row>
    <row r="36" spans="1:256" s="346" customFormat="1" ht="22" customHeight="1">
      <c r="A36" s="784">
        <f t="shared" si="0"/>
        <v>33</v>
      </c>
      <c r="B36" s="346" t="s">
        <v>1699</v>
      </c>
    </row>
    <row r="37" spans="1:256" s="346" customFormat="1" ht="22" customHeight="1">
      <c r="A37" s="784">
        <f t="shared" si="0"/>
        <v>34</v>
      </c>
      <c r="B37" s="346" t="s">
        <v>3</v>
      </c>
    </row>
    <row r="38" spans="1:256" s="346" customFormat="1" ht="22" customHeight="1">
      <c r="A38" s="784">
        <f t="shared" si="0"/>
        <v>35</v>
      </c>
      <c r="B38" s="346" t="s">
        <v>1255</v>
      </c>
    </row>
    <row r="39" spans="1:256" s="346" customFormat="1" ht="22" customHeight="1">
      <c r="A39" s="784">
        <f t="shared" si="0"/>
        <v>36</v>
      </c>
      <c r="B39" s="734" t="s">
        <v>1584</v>
      </c>
    </row>
    <row r="40" spans="1:256" s="346" customFormat="1" ht="22" customHeight="1">
      <c r="A40" s="784">
        <f t="shared" si="0"/>
        <v>37</v>
      </c>
      <c r="B40" s="733" t="s">
        <v>1862</v>
      </c>
      <c r="C40" s="733" t="s">
        <v>1862</v>
      </c>
      <c r="D40" s="733" t="s">
        <v>1862</v>
      </c>
      <c r="E40" s="733" t="s">
        <v>1862</v>
      </c>
      <c r="F40" s="733" t="s">
        <v>1862</v>
      </c>
      <c r="G40" s="733" t="s">
        <v>1862</v>
      </c>
      <c r="H40" s="733" t="s">
        <v>1862</v>
      </c>
      <c r="I40" s="733" t="s">
        <v>1862</v>
      </c>
      <c r="J40" s="733" t="s">
        <v>1862</v>
      </c>
      <c r="K40" s="733" t="s">
        <v>1862</v>
      </c>
      <c r="L40" s="733" t="s">
        <v>1862</v>
      </c>
      <c r="M40" s="733" t="s">
        <v>1862</v>
      </c>
      <c r="N40" s="733" t="s">
        <v>1862</v>
      </c>
      <c r="O40" s="733" t="s">
        <v>1862</v>
      </c>
      <c r="P40" s="733" t="s">
        <v>1862</v>
      </c>
      <c r="Q40" s="733" t="s">
        <v>1862</v>
      </c>
      <c r="R40" s="733" t="s">
        <v>1862</v>
      </c>
      <c r="S40" s="733" t="s">
        <v>1862</v>
      </c>
      <c r="T40" s="733" t="s">
        <v>1862</v>
      </c>
      <c r="U40" s="733" t="s">
        <v>1862</v>
      </c>
      <c r="V40" s="733" t="s">
        <v>1862</v>
      </c>
      <c r="W40" s="733" t="s">
        <v>1862</v>
      </c>
      <c r="X40" s="733" t="s">
        <v>1862</v>
      </c>
      <c r="Y40" s="733" t="s">
        <v>1862</v>
      </c>
      <c r="Z40" s="733" t="s">
        <v>1862</v>
      </c>
      <c r="AA40" s="733" t="s">
        <v>1862</v>
      </c>
      <c r="AB40" s="733" t="s">
        <v>1862</v>
      </c>
      <c r="AC40" s="733" t="s">
        <v>1862</v>
      </c>
      <c r="AD40" s="733" t="s">
        <v>1862</v>
      </c>
      <c r="AE40" s="733" t="s">
        <v>1862</v>
      </c>
      <c r="AF40" s="733" t="s">
        <v>1862</v>
      </c>
      <c r="AG40" s="733" t="s">
        <v>1862</v>
      </c>
      <c r="AH40" s="733" t="s">
        <v>1862</v>
      </c>
      <c r="AI40" s="733" t="s">
        <v>1862</v>
      </c>
      <c r="AJ40" s="733" t="s">
        <v>1862</v>
      </c>
      <c r="AK40" s="733" t="s">
        <v>1862</v>
      </c>
      <c r="AL40" s="733" t="s">
        <v>1862</v>
      </c>
      <c r="AM40" s="733" t="s">
        <v>1862</v>
      </c>
      <c r="AN40" s="733" t="s">
        <v>1862</v>
      </c>
      <c r="AO40" s="733" t="s">
        <v>1862</v>
      </c>
      <c r="AP40" s="733" t="s">
        <v>1862</v>
      </c>
      <c r="AQ40" s="733" t="s">
        <v>1862</v>
      </c>
      <c r="AR40" s="733" t="s">
        <v>1862</v>
      </c>
      <c r="AS40" s="733" t="s">
        <v>1862</v>
      </c>
      <c r="AT40" s="733" t="s">
        <v>1862</v>
      </c>
      <c r="AU40" s="733" t="s">
        <v>1862</v>
      </c>
      <c r="AV40" s="733" t="s">
        <v>1862</v>
      </c>
      <c r="AW40" s="733" t="s">
        <v>1862</v>
      </c>
      <c r="AX40" s="733" t="s">
        <v>1862</v>
      </c>
      <c r="AY40" s="733" t="s">
        <v>1862</v>
      </c>
      <c r="AZ40" s="733" t="s">
        <v>1862</v>
      </c>
      <c r="BA40" s="733" t="s">
        <v>1862</v>
      </c>
      <c r="BB40" s="733" t="s">
        <v>1862</v>
      </c>
      <c r="BC40" s="733" t="s">
        <v>1862</v>
      </c>
      <c r="BD40" s="733" t="s">
        <v>1862</v>
      </c>
      <c r="BE40" s="733" t="s">
        <v>1862</v>
      </c>
      <c r="BF40" s="733" t="s">
        <v>1862</v>
      </c>
      <c r="BG40" s="733" t="s">
        <v>1862</v>
      </c>
      <c r="BH40" s="733" t="s">
        <v>1862</v>
      </c>
      <c r="BI40" s="733" t="s">
        <v>1862</v>
      </c>
      <c r="BJ40" s="733" t="s">
        <v>1862</v>
      </c>
      <c r="BK40" s="733" t="s">
        <v>1862</v>
      </c>
      <c r="BL40" s="733" t="s">
        <v>1862</v>
      </c>
      <c r="BM40" s="733" t="s">
        <v>1862</v>
      </c>
      <c r="BN40" s="733" t="s">
        <v>1862</v>
      </c>
      <c r="BO40" s="733" t="s">
        <v>1862</v>
      </c>
      <c r="BP40" s="733" t="s">
        <v>1862</v>
      </c>
      <c r="BQ40" s="733" t="s">
        <v>1862</v>
      </c>
      <c r="BR40" s="733" t="s">
        <v>1862</v>
      </c>
      <c r="BS40" s="733" t="s">
        <v>1862</v>
      </c>
      <c r="BT40" s="733" t="s">
        <v>1862</v>
      </c>
      <c r="BU40" s="733" t="s">
        <v>1862</v>
      </c>
      <c r="BV40" s="733" t="s">
        <v>1862</v>
      </c>
      <c r="BW40" s="733" t="s">
        <v>1862</v>
      </c>
      <c r="BX40" s="733" t="s">
        <v>1862</v>
      </c>
      <c r="BY40" s="733" t="s">
        <v>1862</v>
      </c>
      <c r="BZ40" s="733" t="s">
        <v>1862</v>
      </c>
      <c r="CA40" s="733" t="s">
        <v>1862</v>
      </c>
      <c r="CB40" s="733" t="s">
        <v>1862</v>
      </c>
      <c r="CC40" s="733" t="s">
        <v>1862</v>
      </c>
      <c r="CD40" s="733" t="s">
        <v>1862</v>
      </c>
      <c r="CE40" s="733" t="s">
        <v>1862</v>
      </c>
      <c r="CF40" s="733" t="s">
        <v>1862</v>
      </c>
      <c r="CG40" s="733" t="s">
        <v>1862</v>
      </c>
      <c r="CH40" s="733" t="s">
        <v>1862</v>
      </c>
      <c r="CI40" s="733" t="s">
        <v>1862</v>
      </c>
      <c r="CJ40" s="733" t="s">
        <v>1862</v>
      </c>
      <c r="CK40" s="733" t="s">
        <v>1862</v>
      </c>
      <c r="CL40" s="733" t="s">
        <v>1862</v>
      </c>
      <c r="CM40" s="733" t="s">
        <v>1862</v>
      </c>
      <c r="CN40" s="733" t="s">
        <v>1862</v>
      </c>
      <c r="CO40" s="733" t="s">
        <v>1862</v>
      </c>
      <c r="CP40" s="733" t="s">
        <v>1862</v>
      </c>
      <c r="CQ40" s="733" t="s">
        <v>1862</v>
      </c>
      <c r="CR40" s="733" t="s">
        <v>1862</v>
      </c>
      <c r="CS40" s="733" t="s">
        <v>1862</v>
      </c>
      <c r="CT40" s="733" t="s">
        <v>1862</v>
      </c>
      <c r="CU40" s="733" t="s">
        <v>1862</v>
      </c>
      <c r="CV40" s="733" t="s">
        <v>1862</v>
      </c>
      <c r="CW40" s="733" t="s">
        <v>1862</v>
      </c>
      <c r="CX40" s="733" t="s">
        <v>1862</v>
      </c>
      <c r="CY40" s="733" t="s">
        <v>1862</v>
      </c>
      <c r="CZ40" s="733" t="s">
        <v>1862</v>
      </c>
      <c r="DA40" s="733" t="s">
        <v>1862</v>
      </c>
      <c r="DB40" s="733" t="s">
        <v>1862</v>
      </c>
      <c r="DC40" s="733" t="s">
        <v>1862</v>
      </c>
      <c r="DD40" s="733" t="s">
        <v>1862</v>
      </c>
      <c r="DE40" s="733" t="s">
        <v>1862</v>
      </c>
      <c r="DF40" s="733" t="s">
        <v>1862</v>
      </c>
      <c r="DG40" s="733" t="s">
        <v>1862</v>
      </c>
      <c r="DH40" s="733" t="s">
        <v>1862</v>
      </c>
      <c r="DI40" s="733" t="s">
        <v>1862</v>
      </c>
      <c r="DJ40" s="733" t="s">
        <v>1862</v>
      </c>
      <c r="DK40" s="733" t="s">
        <v>1862</v>
      </c>
      <c r="DL40" s="733" t="s">
        <v>1862</v>
      </c>
      <c r="DM40" s="733" t="s">
        <v>1862</v>
      </c>
      <c r="DN40" s="733" t="s">
        <v>1862</v>
      </c>
      <c r="DO40" s="733" t="s">
        <v>1862</v>
      </c>
      <c r="DP40" s="733" t="s">
        <v>1862</v>
      </c>
      <c r="DQ40" s="733" t="s">
        <v>1862</v>
      </c>
      <c r="DR40" s="733" t="s">
        <v>1862</v>
      </c>
      <c r="DS40" s="733" t="s">
        <v>1862</v>
      </c>
      <c r="DT40" s="733" t="s">
        <v>1862</v>
      </c>
      <c r="DU40" s="733" t="s">
        <v>1862</v>
      </c>
      <c r="DV40" s="733" t="s">
        <v>1862</v>
      </c>
      <c r="DW40" s="733" t="s">
        <v>1862</v>
      </c>
      <c r="DX40" s="733" t="s">
        <v>1862</v>
      </c>
      <c r="DY40" s="733" t="s">
        <v>1862</v>
      </c>
      <c r="DZ40" s="733" t="s">
        <v>1862</v>
      </c>
      <c r="EA40" s="733" t="s">
        <v>1862</v>
      </c>
      <c r="EB40" s="733" t="s">
        <v>1862</v>
      </c>
      <c r="EC40" s="733" t="s">
        <v>1862</v>
      </c>
      <c r="ED40" s="733" t="s">
        <v>1862</v>
      </c>
      <c r="EE40" s="733" t="s">
        <v>1862</v>
      </c>
      <c r="EF40" s="733" t="s">
        <v>1862</v>
      </c>
      <c r="EG40" s="733" t="s">
        <v>1862</v>
      </c>
      <c r="EH40" s="733" t="s">
        <v>1862</v>
      </c>
      <c r="EI40" s="733" t="s">
        <v>1862</v>
      </c>
      <c r="EJ40" s="733" t="s">
        <v>1862</v>
      </c>
      <c r="EK40" s="733" t="s">
        <v>1862</v>
      </c>
      <c r="EL40" s="733" t="s">
        <v>1862</v>
      </c>
      <c r="EM40" s="733" t="s">
        <v>1862</v>
      </c>
      <c r="EN40" s="733" t="s">
        <v>1862</v>
      </c>
      <c r="EO40" s="733" t="s">
        <v>1862</v>
      </c>
      <c r="EP40" s="733" t="s">
        <v>1862</v>
      </c>
      <c r="EQ40" s="733" t="s">
        <v>1862</v>
      </c>
      <c r="ER40" s="733" t="s">
        <v>1862</v>
      </c>
      <c r="ES40" s="733" t="s">
        <v>1862</v>
      </c>
      <c r="ET40" s="733" t="s">
        <v>1862</v>
      </c>
      <c r="EU40" s="733" t="s">
        <v>1862</v>
      </c>
      <c r="EV40" s="733" t="s">
        <v>1862</v>
      </c>
      <c r="EW40" s="733" t="s">
        <v>1862</v>
      </c>
      <c r="EX40" s="733" t="s">
        <v>1862</v>
      </c>
      <c r="EY40" s="733" t="s">
        <v>1862</v>
      </c>
      <c r="EZ40" s="733" t="s">
        <v>1862</v>
      </c>
      <c r="FA40" s="733" t="s">
        <v>1862</v>
      </c>
      <c r="FB40" s="733" t="s">
        <v>1862</v>
      </c>
      <c r="FC40" s="733" t="s">
        <v>1862</v>
      </c>
      <c r="FD40" s="733" t="s">
        <v>1862</v>
      </c>
      <c r="FE40" s="733" t="s">
        <v>1862</v>
      </c>
      <c r="FF40" s="733" t="s">
        <v>1862</v>
      </c>
      <c r="FG40" s="733" t="s">
        <v>1862</v>
      </c>
      <c r="FH40" s="733" t="s">
        <v>1862</v>
      </c>
      <c r="FI40" s="733" t="s">
        <v>1862</v>
      </c>
      <c r="FJ40" s="733" t="s">
        <v>1862</v>
      </c>
      <c r="FK40" s="733" t="s">
        <v>1862</v>
      </c>
      <c r="FL40" s="733" t="s">
        <v>1862</v>
      </c>
      <c r="FM40" s="733" t="s">
        <v>1862</v>
      </c>
      <c r="FN40" s="733" t="s">
        <v>1862</v>
      </c>
      <c r="FO40" s="733" t="s">
        <v>1862</v>
      </c>
      <c r="FP40" s="733" t="s">
        <v>1862</v>
      </c>
      <c r="FQ40" s="733" t="s">
        <v>1862</v>
      </c>
      <c r="FR40" s="733" t="s">
        <v>1862</v>
      </c>
      <c r="FS40" s="733" t="s">
        <v>1862</v>
      </c>
      <c r="FT40" s="733" t="s">
        <v>1862</v>
      </c>
      <c r="FU40" s="733" t="s">
        <v>1862</v>
      </c>
      <c r="FV40" s="733" t="s">
        <v>1862</v>
      </c>
      <c r="FW40" s="733" t="s">
        <v>1862</v>
      </c>
      <c r="FX40" s="733" t="s">
        <v>1862</v>
      </c>
      <c r="FY40" s="733" t="s">
        <v>1862</v>
      </c>
      <c r="FZ40" s="733" t="s">
        <v>1862</v>
      </c>
      <c r="GA40" s="733" t="s">
        <v>1862</v>
      </c>
      <c r="GB40" s="733" t="s">
        <v>1862</v>
      </c>
      <c r="GC40" s="733" t="s">
        <v>1862</v>
      </c>
      <c r="GD40" s="733" t="s">
        <v>1862</v>
      </c>
      <c r="GE40" s="733" t="s">
        <v>1862</v>
      </c>
      <c r="GF40" s="733" t="s">
        <v>1862</v>
      </c>
      <c r="GG40" s="733" t="s">
        <v>1862</v>
      </c>
      <c r="GH40" s="733" t="s">
        <v>1862</v>
      </c>
      <c r="GI40" s="733" t="s">
        <v>1862</v>
      </c>
      <c r="GJ40" s="733" t="s">
        <v>1862</v>
      </c>
      <c r="GK40" s="733" t="s">
        <v>1862</v>
      </c>
      <c r="GL40" s="733" t="s">
        <v>1862</v>
      </c>
      <c r="GM40" s="733" t="s">
        <v>1862</v>
      </c>
      <c r="GN40" s="733" t="s">
        <v>1862</v>
      </c>
      <c r="GO40" s="733" t="s">
        <v>1862</v>
      </c>
      <c r="GP40" s="733" t="s">
        <v>1862</v>
      </c>
      <c r="GQ40" s="733" t="s">
        <v>1862</v>
      </c>
      <c r="GR40" s="733" t="s">
        <v>1862</v>
      </c>
      <c r="GS40" s="733" t="s">
        <v>1862</v>
      </c>
      <c r="GT40" s="733" t="s">
        <v>1862</v>
      </c>
      <c r="GU40" s="733" t="s">
        <v>1862</v>
      </c>
      <c r="GV40" s="733" t="s">
        <v>1862</v>
      </c>
      <c r="GW40" s="733" t="s">
        <v>1862</v>
      </c>
      <c r="GX40" s="733" t="s">
        <v>1862</v>
      </c>
      <c r="GY40" s="733" t="s">
        <v>1862</v>
      </c>
      <c r="GZ40" s="733" t="s">
        <v>1862</v>
      </c>
      <c r="HA40" s="733" t="s">
        <v>1862</v>
      </c>
      <c r="HB40" s="733" t="s">
        <v>1862</v>
      </c>
      <c r="HC40" s="733" t="s">
        <v>1862</v>
      </c>
      <c r="HD40" s="733" t="s">
        <v>1862</v>
      </c>
      <c r="HE40" s="733" t="s">
        <v>1862</v>
      </c>
      <c r="HF40" s="733" t="s">
        <v>1862</v>
      </c>
      <c r="HG40" s="733" t="s">
        <v>1862</v>
      </c>
      <c r="HH40" s="733" t="s">
        <v>1862</v>
      </c>
      <c r="HI40" s="733" t="s">
        <v>1862</v>
      </c>
      <c r="HJ40" s="733" t="s">
        <v>1862</v>
      </c>
      <c r="HK40" s="733" t="s">
        <v>1862</v>
      </c>
      <c r="HL40" s="733" t="s">
        <v>1862</v>
      </c>
      <c r="HM40" s="733" t="s">
        <v>1862</v>
      </c>
      <c r="HN40" s="733" t="s">
        <v>1862</v>
      </c>
      <c r="HO40" s="733" t="s">
        <v>1862</v>
      </c>
      <c r="HP40" s="733" t="s">
        <v>1862</v>
      </c>
      <c r="HQ40" s="733" t="s">
        <v>1862</v>
      </c>
      <c r="HR40" s="733" t="s">
        <v>1862</v>
      </c>
      <c r="HS40" s="733" t="s">
        <v>1862</v>
      </c>
      <c r="HT40" s="733" t="s">
        <v>1862</v>
      </c>
      <c r="HU40" s="733" t="s">
        <v>1862</v>
      </c>
      <c r="HV40" s="733" t="s">
        <v>1862</v>
      </c>
      <c r="HW40" s="733" t="s">
        <v>1862</v>
      </c>
      <c r="HX40" s="733" t="s">
        <v>1862</v>
      </c>
      <c r="HY40" s="733" t="s">
        <v>1862</v>
      </c>
      <c r="HZ40" s="733" t="s">
        <v>1862</v>
      </c>
      <c r="IA40" s="733" t="s">
        <v>1862</v>
      </c>
      <c r="IB40" s="733" t="s">
        <v>1862</v>
      </c>
      <c r="IC40" s="733" t="s">
        <v>1862</v>
      </c>
      <c r="ID40" s="733" t="s">
        <v>1862</v>
      </c>
      <c r="IE40" s="733" t="s">
        <v>1862</v>
      </c>
      <c r="IF40" s="733" t="s">
        <v>1862</v>
      </c>
      <c r="IG40" s="733" t="s">
        <v>1862</v>
      </c>
      <c r="IH40" s="733" t="s">
        <v>1862</v>
      </c>
      <c r="II40" s="733" t="s">
        <v>1862</v>
      </c>
      <c r="IJ40" s="733" t="s">
        <v>1862</v>
      </c>
      <c r="IK40" s="733" t="s">
        <v>1862</v>
      </c>
      <c r="IL40" s="733" t="s">
        <v>1862</v>
      </c>
      <c r="IM40" s="733" t="s">
        <v>1862</v>
      </c>
      <c r="IN40" s="733" t="s">
        <v>1862</v>
      </c>
      <c r="IO40" s="733" t="s">
        <v>1862</v>
      </c>
      <c r="IP40" s="733" t="s">
        <v>1862</v>
      </c>
      <c r="IQ40" s="733" t="s">
        <v>1862</v>
      </c>
      <c r="IR40" s="733" t="s">
        <v>1862</v>
      </c>
      <c r="IS40" s="733" t="s">
        <v>1862</v>
      </c>
      <c r="IT40" s="733" t="s">
        <v>1862</v>
      </c>
      <c r="IU40" s="733" t="s">
        <v>1862</v>
      </c>
      <c r="IV40" s="733" t="s">
        <v>1862</v>
      </c>
    </row>
    <row r="41" spans="1:256" s="346" customFormat="1" ht="22" customHeight="1">
      <c r="A41" s="784">
        <f t="shared" si="0"/>
        <v>38</v>
      </c>
      <c r="B41" s="346" t="s">
        <v>1253</v>
      </c>
    </row>
    <row r="42" spans="1:256" s="346" customFormat="1" ht="22" customHeight="1">
      <c r="A42" s="784">
        <f t="shared" si="0"/>
        <v>39</v>
      </c>
      <c r="B42" s="346" t="s">
        <v>1249</v>
      </c>
    </row>
    <row r="43" spans="1:256" s="346" customFormat="1" ht="22" customHeight="1">
      <c r="A43" s="784">
        <f t="shared" si="0"/>
        <v>40</v>
      </c>
      <c r="B43" s="346" t="s">
        <v>1609</v>
      </c>
    </row>
    <row r="44" spans="1:256" s="346" customFormat="1" ht="22" customHeight="1">
      <c r="A44" s="784">
        <f t="shared" si="0"/>
        <v>41</v>
      </c>
      <c r="B44" s="346" t="s">
        <v>1096</v>
      </c>
    </row>
    <row r="45" spans="1:256" s="346" customFormat="1" ht="22" customHeight="1">
      <c r="A45" s="784">
        <f t="shared" si="0"/>
        <v>42</v>
      </c>
      <c r="B45" s="346" t="s">
        <v>1898</v>
      </c>
    </row>
    <row r="46" spans="1:256" s="346" customFormat="1" ht="22" customHeight="1">
      <c r="A46" s="784">
        <f t="shared" si="0"/>
        <v>43</v>
      </c>
      <c r="B46" s="346" t="s">
        <v>1605</v>
      </c>
    </row>
    <row r="47" spans="1:256" s="346" customFormat="1" ht="22" customHeight="1">
      <c r="A47" s="784">
        <f t="shared" si="0"/>
        <v>44</v>
      </c>
      <c r="B47" s="346" t="s">
        <v>1097</v>
      </c>
    </row>
    <row r="48" spans="1:256" s="346" customFormat="1" ht="22" customHeight="1">
      <c r="A48" s="784">
        <f t="shared" si="0"/>
        <v>45</v>
      </c>
      <c r="B48" s="346" t="s">
        <v>1254</v>
      </c>
    </row>
    <row r="49" spans="1:256" s="346" customFormat="1" ht="22" customHeight="1">
      <c r="A49" s="784">
        <f t="shared" si="0"/>
        <v>46</v>
      </c>
      <c r="B49" s="346" t="s">
        <v>1086</v>
      </c>
    </row>
    <row r="50" spans="1:256" s="346" customFormat="1" ht="22" customHeight="1">
      <c r="A50" s="784">
        <f t="shared" si="0"/>
        <v>47</v>
      </c>
      <c r="B50" s="734" t="s">
        <v>1888</v>
      </c>
    </row>
    <row r="51" spans="1:256" s="346" customFormat="1" ht="22" customHeight="1">
      <c r="A51" s="784">
        <f t="shared" si="0"/>
        <v>48</v>
      </c>
      <c r="B51" s="346" t="s">
        <v>1607</v>
      </c>
    </row>
    <row r="52" spans="1:256" s="346" customFormat="1" ht="22" customHeight="1">
      <c r="A52" s="784">
        <f t="shared" si="0"/>
        <v>49</v>
      </c>
      <c r="B52" s="346" t="s">
        <v>1103</v>
      </c>
    </row>
    <row r="53" spans="1:256" s="346" customFormat="1" ht="22" customHeight="1">
      <c r="A53" s="784">
        <f t="shared" si="0"/>
        <v>50</v>
      </c>
      <c r="B53" s="346" t="s">
        <v>1105</v>
      </c>
    </row>
    <row r="54" spans="1:256" s="346" customFormat="1" ht="22" customHeight="1">
      <c r="A54" s="784">
        <f t="shared" si="0"/>
        <v>51</v>
      </c>
      <c r="B54" s="346" t="s">
        <v>1252</v>
      </c>
    </row>
    <row r="55" spans="1:256" s="346" customFormat="1" ht="22" customHeight="1">
      <c r="A55" s="784">
        <f t="shared" si="0"/>
        <v>52</v>
      </c>
      <c r="B55" s="346" t="s">
        <v>1114</v>
      </c>
    </row>
    <row r="56" spans="1:256" s="346" customFormat="1" ht="22" customHeight="1">
      <c r="A56" s="784">
        <f t="shared" si="0"/>
        <v>53</v>
      </c>
      <c r="B56" s="346" t="s">
        <v>1343</v>
      </c>
    </row>
    <row r="57" spans="1:256" s="346" customFormat="1" ht="22" customHeight="1">
      <c r="A57" s="784">
        <f t="shared" si="0"/>
        <v>54</v>
      </c>
      <c r="B57" s="733" t="s">
        <v>1899</v>
      </c>
      <c r="C57" s="733" t="s">
        <v>1899</v>
      </c>
      <c r="D57" s="733" t="s">
        <v>1899</v>
      </c>
      <c r="E57" s="733" t="s">
        <v>1899</v>
      </c>
      <c r="F57" s="733" t="s">
        <v>1899</v>
      </c>
      <c r="G57" s="733" t="s">
        <v>1899</v>
      </c>
      <c r="H57" s="733" t="s">
        <v>1899</v>
      </c>
      <c r="I57" s="733" t="s">
        <v>1899</v>
      </c>
      <c r="J57" s="733" t="s">
        <v>1899</v>
      </c>
      <c r="K57" s="733" t="s">
        <v>1899</v>
      </c>
      <c r="L57" s="733" t="s">
        <v>1899</v>
      </c>
      <c r="M57" s="733" t="s">
        <v>1899</v>
      </c>
      <c r="N57" s="733" t="s">
        <v>1899</v>
      </c>
      <c r="O57" s="733" t="s">
        <v>1899</v>
      </c>
      <c r="P57" s="733" t="s">
        <v>1899</v>
      </c>
      <c r="Q57" s="733" t="s">
        <v>1899</v>
      </c>
      <c r="R57" s="733" t="s">
        <v>1899</v>
      </c>
      <c r="S57" s="733" t="s">
        <v>1899</v>
      </c>
      <c r="T57" s="733" t="s">
        <v>1899</v>
      </c>
      <c r="U57" s="733" t="s">
        <v>1899</v>
      </c>
      <c r="V57" s="733" t="s">
        <v>1899</v>
      </c>
      <c r="W57" s="733" t="s">
        <v>1899</v>
      </c>
      <c r="X57" s="733" t="s">
        <v>1899</v>
      </c>
      <c r="Y57" s="733" t="s">
        <v>1899</v>
      </c>
      <c r="Z57" s="733" t="s">
        <v>1899</v>
      </c>
      <c r="AA57" s="733" t="s">
        <v>1899</v>
      </c>
      <c r="AB57" s="733" t="s">
        <v>1899</v>
      </c>
      <c r="AC57" s="733" t="s">
        <v>1899</v>
      </c>
      <c r="AD57" s="733" t="s">
        <v>1899</v>
      </c>
      <c r="AE57" s="733" t="s">
        <v>1899</v>
      </c>
      <c r="AF57" s="733" t="s">
        <v>1899</v>
      </c>
      <c r="AG57" s="733" t="s">
        <v>1899</v>
      </c>
      <c r="AH57" s="733" t="s">
        <v>1899</v>
      </c>
      <c r="AI57" s="733" t="s">
        <v>1899</v>
      </c>
      <c r="AJ57" s="733" t="s">
        <v>1899</v>
      </c>
      <c r="AK57" s="733" t="s">
        <v>1899</v>
      </c>
      <c r="AL57" s="733" t="s">
        <v>1899</v>
      </c>
      <c r="AM57" s="733" t="s">
        <v>1899</v>
      </c>
      <c r="AN57" s="733" t="s">
        <v>1899</v>
      </c>
      <c r="AO57" s="733" t="s">
        <v>1899</v>
      </c>
      <c r="AP57" s="733" t="s">
        <v>1899</v>
      </c>
      <c r="AQ57" s="733" t="s">
        <v>1899</v>
      </c>
      <c r="AR57" s="733" t="s">
        <v>1899</v>
      </c>
      <c r="AS57" s="733" t="s">
        <v>1899</v>
      </c>
      <c r="AT57" s="733" t="s">
        <v>1899</v>
      </c>
      <c r="AU57" s="733" t="s">
        <v>1899</v>
      </c>
      <c r="AV57" s="733" t="s">
        <v>1899</v>
      </c>
      <c r="AW57" s="733" t="s">
        <v>1899</v>
      </c>
      <c r="AX57" s="733" t="s">
        <v>1899</v>
      </c>
      <c r="AY57" s="733" t="s">
        <v>1899</v>
      </c>
      <c r="AZ57" s="733" t="s">
        <v>1899</v>
      </c>
      <c r="BA57" s="733" t="s">
        <v>1899</v>
      </c>
      <c r="BB57" s="733" t="s">
        <v>1899</v>
      </c>
      <c r="BC57" s="733" t="s">
        <v>1899</v>
      </c>
      <c r="BD57" s="733" t="s">
        <v>1899</v>
      </c>
      <c r="BE57" s="733" t="s">
        <v>1899</v>
      </c>
      <c r="BF57" s="733" t="s">
        <v>1899</v>
      </c>
      <c r="BG57" s="733" t="s">
        <v>1899</v>
      </c>
      <c r="BH57" s="733" t="s">
        <v>1899</v>
      </c>
      <c r="BI57" s="733" t="s">
        <v>1899</v>
      </c>
      <c r="BJ57" s="733" t="s">
        <v>1899</v>
      </c>
      <c r="BK57" s="733" t="s">
        <v>1899</v>
      </c>
      <c r="BL57" s="733" t="s">
        <v>1899</v>
      </c>
      <c r="BM57" s="733" t="s">
        <v>1899</v>
      </c>
      <c r="BN57" s="733" t="s">
        <v>1899</v>
      </c>
      <c r="BO57" s="733" t="s">
        <v>1899</v>
      </c>
      <c r="BP57" s="733" t="s">
        <v>1899</v>
      </c>
      <c r="BQ57" s="733" t="s">
        <v>1899</v>
      </c>
      <c r="BR57" s="733" t="s">
        <v>1899</v>
      </c>
      <c r="BS57" s="733" t="s">
        <v>1899</v>
      </c>
      <c r="BT57" s="733" t="s">
        <v>1899</v>
      </c>
      <c r="BU57" s="733" t="s">
        <v>1899</v>
      </c>
      <c r="BV57" s="733" t="s">
        <v>1899</v>
      </c>
      <c r="BW57" s="733" t="s">
        <v>1899</v>
      </c>
      <c r="BX57" s="733" t="s">
        <v>1899</v>
      </c>
      <c r="BY57" s="733" t="s">
        <v>1899</v>
      </c>
      <c r="BZ57" s="733" t="s">
        <v>1899</v>
      </c>
      <c r="CA57" s="733" t="s">
        <v>1899</v>
      </c>
      <c r="CB57" s="733" t="s">
        <v>1899</v>
      </c>
      <c r="CC57" s="733" t="s">
        <v>1899</v>
      </c>
      <c r="CD57" s="733" t="s">
        <v>1899</v>
      </c>
      <c r="CE57" s="733" t="s">
        <v>1899</v>
      </c>
      <c r="CF57" s="733" t="s">
        <v>1899</v>
      </c>
      <c r="CG57" s="733" t="s">
        <v>1899</v>
      </c>
      <c r="CH57" s="733" t="s">
        <v>1899</v>
      </c>
      <c r="CI57" s="733" t="s">
        <v>1899</v>
      </c>
      <c r="CJ57" s="733" t="s">
        <v>1899</v>
      </c>
      <c r="CK57" s="733" t="s">
        <v>1899</v>
      </c>
      <c r="CL57" s="733" t="s">
        <v>1899</v>
      </c>
      <c r="CM57" s="733" t="s">
        <v>1899</v>
      </c>
      <c r="CN57" s="733" t="s">
        <v>1899</v>
      </c>
      <c r="CO57" s="733" t="s">
        <v>1899</v>
      </c>
      <c r="CP57" s="733" t="s">
        <v>1899</v>
      </c>
      <c r="CQ57" s="733" t="s">
        <v>1899</v>
      </c>
      <c r="CR57" s="733" t="s">
        <v>1899</v>
      </c>
      <c r="CS57" s="733" t="s">
        <v>1899</v>
      </c>
      <c r="CT57" s="733" t="s">
        <v>1899</v>
      </c>
      <c r="CU57" s="733" t="s">
        <v>1899</v>
      </c>
      <c r="CV57" s="733" t="s">
        <v>1899</v>
      </c>
      <c r="CW57" s="733" t="s">
        <v>1899</v>
      </c>
      <c r="CX57" s="733" t="s">
        <v>1899</v>
      </c>
      <c r="CY57" s="733" t="s">
        <v>1899</v>
      </c>
      <c r="CZ57" s="733" t="s">
        <v>1899</v>
      </c>
      <c r="DA57" s="733" t="s">
        <v>1899</v>
      </c>
      <c r="DB57" s="733" t="s">
        <v>1899</v>
      </c>
      <c r="DC57" s="733" t="s">
        <v>1899</v>
      </c>
      <c r="DD57" s="733" t="s">
        <v>1899</v>
      </c>
      <c r="DE57" s="733" t="s">
        <v>1899</v>
      </c>
      <c r="DF57" s="733" t="s">
        <v>1899</v>
      </c>
      <c r="DG57" s="733" t="s">
        <v>1899</v>
      </c>
      <c r="DH57" s="733" t="s">
        <v>1899</v>
      </c>
      <c r="DI57" s="733" t="s">
        <v>1899</v>
      </c>
      <c r="DJ57" s="733" t="s">
        <v>1899</v>
      </c>
      <c r="DK57" s="733" t="s">
        <v>1899</v>
      </c>
      <c r="DL57" s="733" t="s">
        <v>1899</v>
      </c>
      <c r="DM57" s="733" t="s">
        <v>1899</v>
      </c>
      <c r="DN57" s="733" t="s">
        <v>1899</v>
      </c>
      <c r="DO57" s="733" t="s">
        <v>1899</v>
      </c>
      <c r="DP57" s="733" t="s">
        <v>1899</v>
      </c>
      <c r="DQ57" s="733" t="s">
        <v>1899</v>
      </c>
      <c r="DR57" s="733" t="s">
        <v>1899</v>
      </c>
      <c r="DS57" s="733" t="s">
        <v>1899</v>
      </c>
      <c r="DT57" s="733" t="s">
        <v>1899</v>
      </c>
      <c r="DU57" s="733" t="s">
        <v>1899</v>
      </c>
      <c r="DV57" s="733" t="s">
        <v>1899</v>
      </c>
      <c r="DW57" s="733" t="s">
        <v>1899</v>
      </c>
      <c r="DX57" s="733" t="s">
        <v>1899</v>
      </c>
      <c r="DY57" s="733" t="s">
        <v>1899</v>
      </c>
      <c r="DZ57" s="733" t="s">
        <v>1899</v>
      </c>
      <c r="EA57" s="733" t="s">
        <v>1899</v>
      </c>
      <c r="EB57" s="733" t="s">
        <v>1899</v>
      </c>
      <c r="EC57" s="733" t="s">
        <v>1899</v>
      </c>
      <c r="ED57" s="733" t="s">
        <v>1899</v>
      </c>
      <c r="EE57" s="733" t="s">
        <v>1899</v>
      </c>
      <c r="EF57" s="733" t="s">
        <v>1899</v>
      </c>
      <c r="EG57" s="733" t="s">
        <v>1899</v>
      </c>
      <c r="EH57" s="733" t="s">
        <v>1899</v>
      </c>
      <c r="EI57" s="733" t="s">
        <v>1899</v>
      </c>
      <c r="EJ57" s="733" t="s">
        <v>1899</v>
      </c>
      <c r="EK57" s="733" t="s">
        <v>1899</v>
      </c>
      <c r="EL57" s="733" t="s">
        <v>1899</v>
      </c>
      <c r="EM57" s="733" t="s">
        <v>1899</v>
      </c>
      <c r="EN57" s="733" t="s">
        <v>1899</v>
      </c>
      <c r="EO57" s="733" t="s">
        <v>1899</v>
      </c>
      <c r="EP57" s="733" t="s">
        <v>1899</v>
      </c>
      <c r="EQ57" s="733" t="s">
        <v>1899</v>
      </c>
      <c r="ER57" s="733" t="s">
        <v>1899</v>
      </c>
      <c r="ES57" s="733" t="s">
        <v>1899</v>
      </c>
      <c r="ET57" s="733" t="s">
        <v>1899</v>
      </c>
      <c r="EU57" s="733" t="s">
        <v>1899</v>
      </c>
      <c r="EV57" s="733" t="s">
        <v>1899</v>
      </c>
      <c r="EW57" s="733" t="s">
        <v>1899</v>
      </c>
      <c r="EX57" s="733" t="s">
        <v>1899</v>
      </c>
      <c r="EY57" s="733" t="s">
        <v>1899</v>
      </c>
      <c r="EZ57" s="733" t="s">
        <v>1899</v>
      </c>
      <c r="FA57" s="733" t="s">
        <v>1899</v>
      </c>
      <c r="FB57" s="733" t="s">
        <v>1899</v>
      </c>
      <c r="FC57" s="733" t="s">
        <v>1899</v>
      </c>
      <c r="FD57" s="733" t="s">
        <v>1899</v>
      </c>
      <c r="FE57" s="733" t="s">
        <v>1899</v>
      </c>
      <c r="FF57" s="733" t="s">
        <v>1899</v>
      </c>
      <c r="FG57" s="733" t="s">
        <v>1899</v>
      </c>
      <c r="FH57" s="733" t="s">
        <v>1899</v>
      </c>
      <c r="FI57" s="733" t="s">
        <v>1899</v>
      </c>
      <c r="FJ57" s="733" t="s">
        <v>1899</v>
      </c>
      <c r="FK57" s="733" t="s">
        <v>1899</v>
      </c>
      <c r="FL57" s="733" t="s">
        <v>1899</v>
      </c>
      <c r="FM57" s="733" t="s">
        <v>1899</v>
      </c>
      <c r="FN57" s="733" t="s">
        <v>1899</v>
      </c>
      <c r="FO57" s="733" t="s">
        <v>1899</v>
      </c>
      <c r="FP57" s="733" t="s">
        <v>1899</v>
      </c>
      <c r="FQ57" s="733" t="s">
        <v>1899</v>
      </c>
      <c r="FR57" s="733" t="s">
        <v>1899</v>
      </c>
      <c r="FS57" s="733" t="s">
        <v>1899</v>
      </c>
      <c r="FT57" s="733" t="s">
        <v>1899</v>
      </c>
      <c r="FU57" s="733" t="s">
        <v>1899</v>
      </c>
      <c r="FV57" s="733" t="s">
        <v>1899</v>
      </c>
      <c r="FW57" s="733" t="s">
        <v>1899</v>
      </c>
      <c r="FX57" s="733" t="s">
        <v>1899</v>
      </c>
      <c r="FY57" s="733" t="s">
        <v>1899</v>
      </c>
      <c r="FZ57" s="733" t="s">
        <v>1899</v>
      </c>
      <c r="GA57" s="733" t="s">
        <v>1899</v>
      </c>
      <c r="GB57" s="733" t="s">
        <v>1899</v>
      </c>
      <c r="GC57" s="733" t="s">
        <v>1899</v>
      </c>
      <c r="GD57" s="733" t="s">
        <v>1899</v>
      </c>
      <c r="GE57" s="733" t="s">
        <v>1899</v>
      </c>
      <c r="GF57" s="733" t="s">
        <v>1899</v>
      </c>
      <c r="GG57" s="733" t="s">
        <v>1899</v>
      </c>
      <c r="GH57" s="733" t="s">
        <v>1899</v>
      </c>
      <c r="GI57" s="733" t="s">
        <v>1899</v>
      </c>
      <c r="GJ57" s="733" t="s">
        <v>1899</v>
      </c>
      <c r="GK57" s="733" t="s">
        <v>1899</v>
      </c>
      <c r="GL57" s="733" t="s">
        <v>1899</v>
      </c>
      <c r="GM57" s="733" t="s">
        <v>1899</v>
      </c>
      <c r="GN57" s="733" t="s">
        <v>1899</v>
      </c>
      <c r="GO57" s="733" t="s">
        <v>1899</v>
      </c>
      <c r="GP57" s="733" t="s">
        <v>1899</v>
      </c>
      <c r="GQ57" s="733" t="s">
        <v>1899</v>
      </c>
      <c r="GR57" s="733" t="s">
        <v>1899</v>
      </c>
      <c r="GS57" s="733" t="s">
        <v>1899</v>
      </c>
      <c r="GT57" s="733" t="s">
        <v>1899</v>
      </c>
      <c r="GU57" s="733" t="s">
        <v>1899</v>
      </c>
      <c r="GV57" s="733" t="s">
        <v>1899</v>
      </c>
      <c r="GW57" s="733" t="s">
        <v>1899</v>
      </c>
      <c r="GX57" s="733" t="s">
        <v>1899</v>
      </c>
      <c r="GY57" s="733" t="s">
        <v>1899</v>
      </c>
      <c r="GZ57" s="733" t="s">
        <v>1899</v>
      </c>
      <c r="HA57" s="733" t="s">
        <v>1899</v>
      </c>
      <c r="HB57" s="733" t="s">
        <v>1899</v>
      </c>
      <c r="HC57" s="733" t="s">
        <v>1899</v>
      </c>
      <c r="HD57" s="733" t="s">
        <v>1899</v>
      </c>
      <c r="HE57" s="733" t="s">
        <v>1899</v>
      </c>
      <c r="HF57" s="733" t="s">
        <v>1899</v>
      </c>
      <c r="HG57" s="733" t="s">
        <v>1899</v>
      </c>
      <c r="HH57" s="733" t="s">
        <v>1899</v>
      </c>
      <c r="HI57" s="733" t="s">
        <v>1899</v>
      </c>
      <c r="HJ57" s="733" t="s">
        <v>1899</v>
      </c>
      <c r="HK57" s="733" t="s">
        <v>1899</v>
      </c>
      <c r="HL57" s="733" t="s">
        <v>1899</v>
      </c>
      <c r="HM57" s="733" t="s">
        <v>1899</v>
      </c>
      <c r="HN57" s="733" t="s">
        <v>1899</v>
      </c>
      <c r="HO57" s="733" t="s">
        <v>1899</v>
      </c>
      <c r="HP57" s="733" t="s">
        <v>1899</v>
      </c>
      <c r="HQ57" s="733" t="s">
        <v>1899</v>
      </c>
      <c r="HR57" s="733" t="s">
        <v>1899</v>
      </c>
      <c r="HS57" s="733" t="s">
        <v>1899</v>
      </c>
      <c r="HT57" s="733" t="s">
        <v>1899</v>
      </c>
      <c r="HU57" s="733" t="s">
        <v>1899</v>
      </c>
      <c r="HV57" s="733" t="s">
        <v>1899</v>
      </c>
      <c r="HW57" s="733" t="s">
        <v>1899</v>
      </c>
      <c r="HX57" s="733" t="s">
        <v>1899</v>
      </c>
      <c r="HY57" s="733" t="s">
        <v>1899</v>
      </c>
      <c r="HZ57" s="733" t="s">
        <v>1899</v>
      </c>
      <c r="IA57" s="733" t="s">
        <v>1899</v>
      </c>
      <c r="IB57" s="733" t="s">
        <v>1899</v>
      </c>
      <c r="IC57" s="733" t="s">
        <v>1899</v>
      </c>
      <c r="ID57" s="733" t="s">
        <v>1899</v>
      </c>
      <c r="IE57" s="733" t="s">
        <v>1899</v>
      </c>
      <c r="IF57" s="733" t="s">
        <v>1899</v>
      </c>
      <c r="IG57" s="733" t="s">
        <v>1899</v>
      </c>
      <c r="IH57" s="733" t="s">
        <v>1899</v>
      </c>
      <c r="II57" s="733" t="s">
        <v>1899</v>
      </c>
      <c r="IJ57" s="733" t="s">
        <v>1899</v>
      </c>
      <c r="IK57" s="733" t="s">
        <v>1899</v>
      </c>
      <c r="IL57" s="733" t="s">
        <v>1899</v>
      </c>
      <c r="IM57" s="733" t="s">
        <v>1899</v>
      </c>
      <c r="IN57" s="733" t="s">
        <v>1899</v>
      </c>
      <c r="IO57" s="733" t="s">
        <v>1899</v>
      </c>
      <c r="IP57" s="733" t="s">
        <v>1899</v>
      </c>
      <c r="IQ57" s="733" t="s">
        <v>1899</v>
      </c>
      <c r="IR57" s="733" t="s">
        <v>1899</v>
      </c>
      <c r="IS57" s="733" t="s">
        <v>1899</v>
      </c>
      <c r="IT57" s="733" t="s">
        <v>1899</v>
      </c>
      <c r="IU57" s="733" t="s">
        <v>1899</v>
      </c>
      <c r="IV57" s="733" t="s">
        <v>1899</v>
      </c>
    </row>
    <row r="58" spans="1:256" s="346" customFormat="1" ht="22" customHeight="1">
      <c r="A58" s="784">
        <f t="shared" si="0"/>
        <v>55</v>
      </c>
      <c r="B58" s="346" t="s">
        <v>1257</v>
      </c>
    </row>
    <row r="59" spans="1:256" s="346" customFormat="1" ht="22" customHeight="1">
      <c r="A59" s="784">
        <f t="shared" si="0"/>
        <v>56</v>
      </c>
      <c r="B59" s="896" t="s">
        <v>1298</v>
      </c>
      <c r="C59" s="896"/>
      <c r="D59" s="896"/>
    </row>
    <row r="60" spans="1:256" s="346" customFormat="1" ht="22" customHeight="1">
      <c r="A60" s="784">
        <f t="shared" si="0"/>
        <v>57</v>
      </c>
      <c r="B60" s="346" t="s">
        <v>1102</v>
      </c>
    </row>
    <row r="61" spans="1:256" s="346" customFormat="1" ht="22" customHeight="1">
      <c r="A61" s="784">
        <f t="shared" si="0"/>
        <v>58</v>
      </c>
      <c r="B61" s="346" t="s">
        <v>1085</v>
      </c>
    </row>
    <row r="62" spans="1:256" s="346" customFormat="1" ht="22" customHeight="1">
      <c r="A62" s="784">
        <f t="shared" si="0"/>
        <v>59</v>
      </c>
      <c r="B62" s="346" t="s">
        <v>1093</v>
      </c>
    </row>
    <row r="63" spans="1:256" s="346" customFormat="1" ht="22" customHeight="1">
      <c r="A63" s="784">
        <f t="shared" si="0"/>
        <v>60</v>
      </c>
      <c r="B63" s="346" t="s">
        <v>1090</v>
      </c>
    </row>
    <row r="64" spans="1:256" s="346" customFormat="1" ht="22" customHeight="1">
      <c r="A64" s="784">
        <f t="shared" si="0"/>
        <v>61</v>
      </c>
      <c r="B64" s="346" t="s">
        <v>1101</v>
      </c>
    </row>
    <row r="65" spans="1:3" s="346" customFormat="1" ht="22" customHeight="1">
      <c r="A65" s="784">
        <f t="shared" si="0"/>
        <v>62</v>
      </c>
      <c r="B65" s="732" t="s">
        <v>1884</v>
      </c>
    </row>
    <row r="66" spans="1:3" s="346" customFormat="1" ht="22" customHeight="1">
      <c r="A66" s="784">
        <f t="shared" si="0"/>
        <v>63</v>
      </c>
      <c r="B66" s="732" t="s">
        <v>1883</v>
      </c>
    </row>
    <row r="67" spans="1:3" s="346" customFormat="1" ht="22" customHeight="1">
      <c r="A67" s="784">
        <f t="shared" si="0"/>
        <v>64</v>
      </c>
      <c r="B67" s="346" t="s">
        <v>1116</v>
      </c>
    </row>
    <row r="68" spans="1:3" s="346" customFormat="1" ht="22" customHeight="1">
      <c r="A68" s="784">
        <f t="shared" si="0"/>
        <v>65</v>
      </c>
      <c r="B68" s="346" t="s">
        <v>1107</v>
      </c>
    </row>
    <row r="69" spans="1:3" s="346" customFormat="1" ht="22" customHeight="1">
      <c r="A69" s="784">
        <f t="shared" si="0"/>
        <v>66</v>
      </c>
      <c r="B69" s="346" t="s">
        <v>1256</v>
      </c>
    </row>
    <row r="70" spans="1:3" s="346" customFormat="1" ht="22" customHeight="1">
      <c r="A70" s="784">
        <f>A69+1</f>
        <v>67</v>
      </c>
      <c r="B70" s="346" t="s">
        <v>1250</v>
      </c>
    </row>
    <row r="71" spans="1:3" s="346" customFormat="1" ht="22" customHeight="1">
      <c r="A71" s="784">
        <f>A70+1</f>
        <v>68</v>
      </c>
      <c r="B71" s="346" t="s">
        <v>1098</v>
      </c>
    </row>
    <row r="72" spans="1:3" ht="14.25" customHeight="1"/>
    <row r="79" spans="1:3">
      <c r="C79" t="s">
        <v>1087</v>
      </c>
    </row>
    <row r="80" spans="1:3">
      <c r="C80" t="s">
        <v>1123</v>
      </c>
    </row>
    <row r="81" spans="3:4">
      <c r="C81" s="66" t="s">
        <v>1122</v>
      </c>
    </row>
    <row r="82" spans="3:4">
      <c r="C82" t="s">
        <v>1124</v>
      </c>
    </row>
    <row r="83" spans="3:4">
      <c r="C83" t="s">
        <v>1119</v>
      </c>
    </row>
    <row r="84" spans="3:4">
      <c r="C84" t="s">
        <v>1120</v>
      </c>
    </row>
    <row r="85" spans="3:4">
      <c r="C85" t="s">
        <v>1121</v>
      </c>
    </row>
    <row r="88" spans="3:4">
      <c r="D88" t="s">
        <v>177</v>
      </c>
    </row>
    <row r="89" spans="3:4">
      <c r="D89" s="76" t="s">
        <v>1132</v>
      </c>
    </row>
    <row r="90" spans="3:4">
      <c r="D90" s="76" t="s">
        <v>1133</v>
      </c>
    </row>
    <row r="91" spans="3:4">
      <c r="D91" s="76" t="s">
        <v>1130</v>
      </c>
    </row>
    <row r="92" spans="3:4">
      <c r="D92" s="76" t="s">
        <v>1134</v>
      </c>
    </row>
    <row r="93" spans="3:4">
      <c r="D93" s="76" t="s">
        <v>1126</v>
      </c>
    </row>
    <row r="94" spans="3:4">
      <c r="D94" s="76" t="s">
        <v>1139</v>
      </c>
    </row>
    <row r="95" spans="3:4">
      <c r="D95" s="76" t="s">
        <v>1135</v>
      </c>
    </row>
    <row r="96" spans="3:4">
      <c r="D96" s="76" t="s">
        <v>1136</v>
      </c>
    </row>
    <row r="97" spans="4:4">
      <c r="D97" s="76" t="s">
        <v>1129</v>
      </c>
    </row>
    <row r="98" spans="4:4">
      <c r="D98" s="76" t="s">
        <v>1137</v>
      </c>
    </row>
    <row r="99" spans="4:4">
      <c r="D99" s="76" t="s">
        <v>1131</v>
      </c>
    </row>
    <row r="100" spans="4:4">
      <c r="D100" s="76" t="s">
        <v>1138</v>
      </c>
    </row>
    <row r="101" spans="4:4">
      <c r="D101" s="76" t="s">
        <v>1128</v>
      </c>
    </row>
    <row r="102" spans="4:4">
      <c r="D102" s="76" t="s">
        <v>1140</v>
      </c>
    </row>
    <row r="103" spans="4:4">
      <c r="D103" s="76" t="s">
        <v>1127</v>
      </c>
    </row>
  </sheetData>
  <autoFilter ref="B2:B71" xr:uid="{00000000-0009-0000-0000-000011000000}">
    <sortState xmlns:xlrd2="http://schemas.microsoft.com/office/spreadsheetml/2017/richdata2" ref="B2:B58">
      <sortCondition ref="B1:B58"/>
    </sortState>
  </autoFilter>
  <mergeCells count="1">
    <mergeCell ref="B59:D59"/>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haredContentType xmlns="Microsoft.SharePoint.Taxonomy.ContentTypeSync" SourceId="29f62856-1543-49d4-a736-4569d363f533" ContentTypeId="0x0101" PreviousValue="false"/>
</file>

<file path=customXml/item4.xml><?xml version="1.0" encoding="utf-8"?>
<ct:contentTypeSchema xmlns:ct="http://schemas.microsoft.com/office/2006/metadata/contentType" xmlns:ma="http://schemas.microsoft.com/office/2006/metadata/properties/metaAttributes" ct:_="" ma:_="" ma:contentTypeName="Document" ma:contentTypeID="0x0101000760CD512BE0C34FAFF9D9F81D276134" ma:contentTypeVersion="37" ma:contentTypeDescription="Create a new document." ma:contentTypeScope="" ma:versionID="66f8d3a153c29d75c8767954472995a6">
  <xsd:schema xmlns:xsd="http://www.w3.org/2001/XMLSchema" xmlns:xs="http://www.w3.org/2001/XMLSchema" xmlns:p="http://schemas.microsoft.com/office/2006/metadata/properties" xmlns:ns1="http://schemas.microsoft.com/sharepoint/v3" xmlns:ns3="4ffa91fb-a0ff-4ac5-b2db-65c790d184a4" xmlns:ns4="http://schemas.microsoft.com/sharepoint.v3" xmlns:ns5="http://schemas.microsoft.com/sharepoint/v3/fields" xmlns:ns6="29e9db8d-b29f-43a0-8416-6d57fe1067d1" xmlns:ns7="9d498169-d29e-45db-9635-4699fffa48f6" targetNamespace="http://schemas.microsoft.com/office/2006/metadata/properties" ma:root="true" ma:fieldsID="0b7aa48bfd38541d6d5c8f96d6701f62" ns1:_="" ns3:_="" ns4:_="" ns5:_="" ns6:_="" ns7:_="">
    <xsd:import namespace="http://schemas.microsoft.com/sharepoint/v3"/>
    <xsd:import namespace="4ffa91fb-a0ff-4ac5-b2db-65c790d184a4"/>
    <xsd:import namespace="http://schemas.microsoft.com/sharepoint.v3"/>
    <xsd:import namespace="http://schemas.microsoft.com/sharepoint/v3/fields"/>
    <xsd:import namespace="29e9db8d-b29f-43a0-8416-6d57fe1067d1"/>
    <xsd:import namespace="9d498169-d29e-45db-9635-4699fffa48f6"/>
    <xsd:element name="properties">
      <xsd:complexType>
        <xsd:sequence>
          <xsd:element name="documentManagement">
            <xsd:complexType>
              <xsd:all>
                <xsd:element ref="ns3:Document_x0020_Creation_x0020_Date" minOccurs="0"/>
                <xsd:element ref="ns3:Creator" minOccurs="0"/>
                <xsd:element ref="ns3:EPA_x0020_Office" minOccurs="0"/>
                <xsd:element ref="ns3:Record" minOccurs="0"/>
                <xsd:element ref="ns4:CategoryDescription" minOccurs="0"/>
                <xsd:element ref="ns3:Identifier" minOccurs="0"/>
                <xsd:element ref="ns3:EPA_x0020_Contributor" minOccurs="0"/>
                <xsd:element ref="ns3:External_x0020_Contributor" minOccurs="0"/>
                <xsd:element ref="ns5:_Coverage" minOccurs="0"/>
                <xsd:element ref="ns3:EPA_x0020_Related_x0020_Documents" minOccurs="0"/>
                <xsd:element ref="ns5:_Source" minOccurs="0"/>
                <xsd:element ref="ns3:Rights" minOccurs="0"/>
                <xsd:element ref="ns1:Language" minOccurs="0"/>
                <xsd:element ref="ns3:j747ac98061d40f0aa7bd47e1db5675d" minOccurs="0"/>
                <xsd:element ref="ns3:TaxKeywordTaxHTField" minOccurs="0"/>
                <xsd:element ref="ns3:TaxCatchAllLabel" minOccurs="0"/>
                <xsd:element ref="ns3:TaxCatchAll" minOccurs="0"/>
                <xsd:element ref="ns6:Records_x0020_Status" minOccurs="0"/>
                <xsd:element ref="ns6:Records_x0020_Date" minOccurs="0"/>
                <xsd:element ref="ns7:MediaServiceMetadata" minOccurs="0"/>
                <xsd:element ref="ns7:MediaServiceFastMetadata" minOccurs="0"/>
                <xsd:element ref="ns7:MediaServiceAutoTags" minOccurs="0"/>
                <xsd:element ref="ns7:MediaServiceOCR" minOccurs="0"/>
                <xsd:element ref="ns7:MediaServiceDateTaken" minOccurs="0"/>
                <xsd:element ref="ns7:MediaServiceLocation" minOccurs="0"/>
                <xsd:element ref="ns7:MediaServiceGenerationTime" minOccurs="0"/>
                <xsd:element ref="ns7:MediaServiceEventHashCode" minOccurs="0"/>
                <xsd:element ref="ns6:SharedWithUsers" minOccurs="0"/>
                <xsd:element ref="ns6:SharedWithDetails" minOccurs="0"/>
                <xsd:element ref="ns6:SharingHintHash" minOccurs="0"/>
                <xsd:element ref="ns7:MediaServiceAutoKeyPoints" minOccurs="0"/>
                <xsd:element ref="ns7: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d5cce0c7-8af8-4a24-ae04-c42d67716845}" ma:internalName="TaxCatchAllLabel" ma:readOnly="true" ma:showField="CatchAllDataLabel" ma:web="29e9db8d-b29f-43a0-8416-6d57fe1067d1">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d5cce0c7-8af8-4a24-ae04-c42d67716845}" ma:internalName="TaxCatchAll" ma:showField="CatchAllData" ma:web="29e9db8d-b29f-43a0-8416-6d57fe1067d1">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9e9db8d-b29f-43a0-8416-6d57fe1067d1" elementFormDefault="qualified">
    <xsd:import namespace="http://schemas.microsoft.com/office/2006/documentManagement/types"/>
    <xsd:import namespace="http://schemas.microsoft.com/office/infopath/2007/PartnerControls"/>
    <xsd:element name="Records_x0020_Status" ma:index="28" nillable="true" ma:displayName="Records Status" ma:default="Pending" ma:internalName="Records_x0020_Status">
      <xsd:simpleType>
        <xsd:restriction base="dms:Text"/>
      </xsd:simpleType>
    </xsd:element>
    <xsd:element name="Records_x0020_Date" ma:index="29" nillable="true" ma:displayName="Records Date" ma:hidden="true" ma:internalName="Records_x0020_Date">
      <xsd:simpleType>
        <xsd:restriction base="dms:DateTime"/>
      </xsd:simpleType>
    </xsd:element>
    <xsd:element name="SharedWithUsers" ma:index="3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9" nillable="true" ma:displayName="Shared With Details" ma:internalName="SharedWithDetails" ma:readOnly="true">
      <xsd:simpleType>
        <xsd:restriction base="dms:Note">
          <xsd:maxLength value="255"/>
        </xsd:restriction>
      </xsd:simpleType>
    </xsd:element>
    <xsd:element name="SharingHintHash" ma:index="4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d498169-d29e-45db-9635-4699fffa48f6" elementFormDefault="qualified">
    <xsd:import namespace="http://schemas.microsoft.com/office/2006/documentManagement/types"/>
    <xsd:import namespace="http://schemas.microsoft.com/office/infopath/2007/PartnerControls"/>
    <xsd:element name="MediaServiceMetadata" ma:index="30" nillable="true" ma:displayName="MediaServiceMetadata" ma:hidden="true" ma:internalName="MediaServiceMetadata" ma:readOnly="true">
      <xsd:simpleType>
        <xsd:restriction base="dms:Note"/>
      </xsd:simpleType>
    </xsd:element>
    <xsd:element name="MediaServiceFastMetadata" ma:index="31" nillable="true" ma:displayName="MediaServiceFastMetadata" ma:hidden="true" ma:internalName="MediaServiceFastMetadata" ma:readOnly="true">
      <xsd:simpleType>
        <xsd:restriction base="dms:Note"/>
      </xsd:simpleType>
    </xsd:element>
    <xsd:element name="MediaServiceAutoTags" ma:index="32" nillable="true" ma:displayName="Tags" ma:internalName="MediaServiceAutoTags" ma:readOnly="true">
      <xsd:simpleType>
        <xsd:restriction base="dms:Text"/>
      </xsd:simpleType>
    </xsd:element>
    <xsd:element name="MediaServiceOCR" ma:index="33" nillable="true" ma:displayName="Extracted Text" ma:internalName="MediaServiceOCR" ma:readOnly="true">
      <xsd:simpleType>
        <xsd:restriction base="dms:Note">
          <xsd:maxLength value="255"/>
        </xsd:restriction>
      </xsd:simpleType>
    </xsd:element>
    <xsd:element name="MediaServiceDateTaken" ma:index="34" nillable="true" ma:displayName="MediaServiceDateTaken" ma:hidden="true" ma:internalName="MediaServiceDateTaken" ma:readOnly="true">
      <xsd:simpleType>
        <xsd:restriction base="dms:Text"/>
      </xsd:simpleType>
    </xsd:element>
    <xsd:element name="MediaServiceLocation" ma:index="35" nillable="true" ma:displayName="Location" ma:internalName="MediaServiceLocation" ma:readOnly="true">
      <xsd:simpleType>
        <xsd:restriction base="dms:Text"/>
      </xsd:simpleType>
    </xsd:element>
    <xsd:element name="MediaServiceGenerationTime" ma:index="36" nillable="true" ma:displayName="MediaServiceGenerationTime" ma:hidden="true" ma:internalName="MediaServiceGenerationTime" ma:readOnly="true">
      <xsd:simpleType>
        <xsd:restriction base="dms:Text"/>
      </xsd:simpleType>
    </xsd:element>
    <xsd:element name="MediaServiceEventHashCode" ma:index="37" nillable="true" ma:displayName="MediaServiceEventHashCode" ma:hidden="true" ma:internalName="MediaServiceEventHashCode" ma:readOnly="true">
      <xsd:simpleType>
        <xsd:restriction base="dms:Text"/>
      </xsd:simpleType>
    </xsd:element>
    <xsd:element name="MediaServiceAutoKeyPoints" ma:index="41" nillable="true" ma:displayName="MediaServiceAutoKeyPoints" ma:hidden="true" ma:internalName="MediaServiceAutoKeyPoints" ma:readOnly="true">
      <xsd:simpleType>
        <xsd:restriction base="dms:Note"/>
      </xsd:simpleType>
    </xsd:element>
    <xsd:element name="MediaServiceKeyPoints" ma:index="42"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environmental sustainability assessment</TermName>
          <TermId xmlns="http://schemas.microsoft.com/office/infopath/2007/PartnerControls">be40f9f4-f71c-41bf-a339-21d103e632ae</TermId>
        </TermInfo>
        <TermInfo xmlns="http://schemas.microsoft.com/office/infopath/2007/PartnerControls">
          <TermName xmlns="http://schemas.microsoft.com/office/infopath/2007/PartnerControls">integrated metrics</TermName>
          <TermId xmlns="http://schemas.microsoft.com/office/infopath/2007/PartnerControls">37f4ceb1-8fb8-46b1-b982-f21c08cc3560</TermId>
        </TermInfo>
        <TermInfo xmlns="http://schemas.microsoft.com/office/infopath/2007/PartnerControls">
          <TermName xmlns="http://schemas.microsoft.com/office/infopath/2007/PartnerControls">environmental impacts</TermName>
          <TermId xmlns="http://schemas.microsoft.com/office/infopath/2007/PartnerControls">ad1024fe-2669-43a7-a9f0-35bfdf0930f8</TermId>
        </TermInfo>
        <TermInfo xmlns="http://schemas.microsoft.com/office/infopath/2007/PartnerControls">
          <TermName xmlns="http://schemas.microsoft.com/office/infopath/2007/PartnerControls">resource-constrained</TermName>
          <TermId xmlns="http://schemas.microsoft.com/office/infopath/2007/PartnerControls">32c865b5-1f77-4eb1-8117-f2dcaa003b00</TermId>
        </TermInfo>
        <TermInfo xmlns="http://schemas.microsoft.com/office/infopath/2007/PartnerControls">
          <TermName xmlns="http://schemas.microsoft.com/office/infopath/2007/PartnerControls">quantify</TermName>
          <TermId xmlns="http://schemas.microsoft.com/office/infopath/2007/PartnerControls">5fc76dad-c00e-4adf-95a1-8d39844272fe</TermId>
        </TermInfo>
        <TermInfo xmlns="http://schemas.microsoft.com/office/infopath/2007/PartnerControls">
          <TermName xmlns="http://schemas.microsoft.com/office/infopath/2007/PartnerControls">integrated measures</TermName>
          <TermId xmlns="http://schemas.microsoft.com/office/infopath/2007/PartnerControls">7219aae6-7a07-4153-870f-2d4c4b5a79a7</TermId>
        </TermInfo>
        <TermInfo xmlns="http://schemas.microsoft.com/office/infopath/2007/PartnerControls">
          <TermName xmlns="http://schemas.microsoft.com/office/infopath/2007/PartnerControls">common currency</TermName>
          <TermId xmlns="http://schemas.microsoft.com/office/infopath/2007/PartnerControls">3445057f-baa5-4403-b43f-839aafe46e66</TermId>
        </TermInfo>
        <TermInfo xmlns="http://schemas.microsoft.com/office/infopath/2007/PartnerControls">
          <TermName xmlns="http://schemas.microsoft.com/office/infopath/2007/PartnerControls">Life cycle assessment (LCA)</TermName>
          <TermId xmlns="http://schemas.microsoft.com/office/infopath/2007/PartnerControls">a50ad0fe-7495-4a9f-8298-9f168b6c7c0e</TermId>
        </TermInfo>
        <TermInfo xmlns="http://schemas.microsoft.com/office/infopath/2007/PartnerControls">
          <TermName xmlns="http://schemas.microsoft.com/office/infopath/2007/PartnerControls">environmental impacts</TermName>
          <TermId xmlns="http://schemas.microsoft.com/office/infopath/2007/PartnerControls">ad1024fe-2669-43a7-a9f0-35bfdf0930f8</TermId>
        </TermInfo>
        <TermInfo xmlns="http://schemas.microsoft.com/office/infopath/2007/PartnerControls">
          <TermName xmlns="http://schemas.microsoft.com/office/infopath/2007/PartnerControls">life cycles</TermName>
          <TermId xmlns="http://schemas.microsoft.com/office/infopath/2007/PartnerControls">998146e9-25be-4b84-a7d4-7506710aa853</TermId>
        </TermInfo>
      </Terms>
    </TaxKeywordTaxHTField>
    <Record xmlns="4ffa91fb-a0ff-4ac5-b2db-65c790d184a4">Shared</Record>
    <Rights xmlns="4ffa91fb-a0ff-4ac5-b2db-65c790d184a4" xsi:nil="true"/>
    <Document_x0020_Creation_x0020_Date xmlns="4ffa91fb-a0ff-4ac5-b2db-65c790d184a4">2021-02-19T13:57:12+00:00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xmlns="4ffa91fb-a0ff-4ac5-b2db-65c790d184a4">
        <DisplayName xmlns="4ffa91fb-a0ff-4ac5-b2db-65c790d184a4"/>
        <AccountId xmlns="4ffa91fb-a0ff-4ac5-b2db-65c790d184a4" xsi:nil="true"/>
        <AccountType xmlns="4ffa91fb-a0ff-4ac5-b2db-65c790d184a4"/>
      </UserInfo>
    </Creator>
    <EPA_x0020_Related_x0020_Documents xmlns="4ffa91fb-a0ff-4ac5-b2db-65c790d184a4" xsi:nil="true"/>
    <Records_x0020_Status xmlns="29e9db8d-b29f-43a0-8416-6d57fe1067d1">Pending</Records_x0020_Status>
    <EPA_x0020_Contributor xmlns="4ffa91fb-a0ff-4ac5-b2db-65c790d184a4">
      <UserInfo xmlns="4ffa91fb-a0ff-4ac5-b2db-65c790d184a4">
        <DisplayName xmlns="4ffa91fb-a0ff-4ac5-b2db-65c790d184a4"/>
        <AccountId xmlns="4ffa91fb-a0ff-4ac5-b2db-65c790d184a4" xsi:nil="true"/>
        <AccountType xmlns="4ffa91fb-a0ff-4ac5-b2db-65c790d184a4"/>
      </UserInfo>
    </EPA_x0020_Contributor>
    <TaxCatchAll xmlns="4ffa91fb-a0ff-4ac5-b2db-65c790d184a4"/>
    <Records_x0020_Date xmlns="29e9db8d-b29f-43a0-8416-6d57fe1067d1" xsi:nil="true"/>
  </documentManagement>
</p:properties>
</file>

<file path=customXml/itemProps1.xml><?xml version="1.0" encoding="utf-8"?>
<ds:datastoreItem xmlns:ds="http://schemas.openxmlformats.org/officeDocument/2006/customXml" ds:itemID="{2B806F69-D05F-445F-B7A6-152B52FDC63D}">
  <ds:schemaRefs>
    <ds:schemaRef ds:uri="http://schemas.microsoft.com/DataMashup"/>
  </ds:schemaRefs>
</ds:datastoreItem>
</file>

<file path=customXml/itemProps2.xml><?xml version="1.0" encoding="utf-8"?>
<ds:datastoreItem xmlns:ds="http://schemas.openxmlformats.org/officeDocument/2006/customXml" ds:itemID="{6978B985-AD79-4DA4-A33F-887926DCA592}">
  <ds:schemaRefs>
    <ds:schemaRef ds:uri="http://schemas.microsoft.com/sharepoint/v3/contenttype/forms"/>
  </ds:schemaRefs>
</ds:datastoreItem>
</file>

<file path=customXml/itemProps3.xml><?xml version="1.0" encoding="utf-8"?>
<ds:datastoreItem xmlns:ds="http://schemas.openxmlformats.org/officeDocument/2006/customXml" ds:itemID="{5CA5B76C-D5FB-4D4D-B374-3222FE5E2682}">
  <ds:schemaRefs>
    <ds:schemaRef ds:uri="Microsoft.SharePoint.Taxonomy.ContentTypeSync"/>
  </ds:schemaRefs>
</ds:datastoreItem>
</file>

<file path=customXml/itemProps4.xml><?xml version="1.0" encoding="utf-8"?>
<ds:datastoreItem xmlns:ds="http://schemas.openxmlformats.org/officeDocument/2006/customXml" ds:itemID="{6D1F2DE4-FF24-4ABA-8C6F-05CFAE09F01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29e9db8d-b29f-43a0-8416-6d57fe1067d1"/>
    <ds:schemaRef ds:uri="9d498169-d29e-45db-9635-4699fffa48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5.xml><?xml version="1.0" encoding="utf-8"?>
<ds:datastoreItem xmlns:ds="http://schemas.openxmlformats.org/officeDocument/2006/customXml" ds:itemID="{AD4C9F40-B0BE-4413-82CE-9766DABA01AC}">
  <ds:schemaRefs>
    <ds:schemaRef ds:uri="http://www.w3.org/XML/1998/namespace"/>
    <ds:schemaRef ds:uri="9d498169-d29e-45db-9635-4699fffa48f6"/>
    <ds:schemaRef ds:uri="http://schemas.microsoft.com/office/infopath/2007/PartnerControls"/>
    <ds:schemaRef ds:uri="http://schemas.microsoft.com/office/2006/metadata/properties"/>
    <ds:schemaRef ds:uri="http://purl.org/dc/elements/1.1/"/>
    <ds:schemaRef ds:uri="4ffa91fb-a0ff-4ac5-b2db-65c790d184a4"/>
    <ds:schemaRef ds:uri="http://schemas.openxmlformats.org/package/2006/metadata/core-properties"/>
    <ds:schemaRef ds:uri="http://schemas.microsoft.com/sharepoint/v3/fields"/>
    <ds:schemaRef ds:uri="http://schemas.microsoft.com/office/2006/documentManagement/types"/>
    <ds:schemaRef ds:uri="29e9db8d-b29f-43a0-8416-6d57fe1067d1"/>
    <ds:schemaRef ds:uri="http://schemas.microsoft.com/sharepoint.v3"/>
    <ds:schemaRef ds:uri="http://schemas.microsoft.com/sharepoint/v3"/>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28</vt:i4>
      </vt:variant>
    </vt:vector>
  </HeadingPairs>
  <TitlesOfParts>
    <vt:vector size="46" baseType="lpstr">
      <vt:lpstr>Readme and Changinglog</vt:lpstr>
      <vt:lpstr>Table of Contents</vt:lpstr>
      <vt:lpstr>EmCF Library</vt:lpstr>
      <vt:lpstr>Renewable Earth Flows</vt:lpstr>
      <vt:lpstr>Crust Element Composition</vt:lpstr>
      <vt:lpstr>Precipitation_Matrix Inversion</vt:lpstr>
      <vt:lpstr>Water</vt:lpstr>
      <vt:lpstr>Water Notes</vt:lpstr>
      <vt:lpstr>Singular Minerals</vt:lpstr>
      <vt:lpstr>Multiple Minerals</vt:lpstr>
      <vt:lpstr>Aggregate Minerals</vt:lpstr>
      <vt:lpstr>Ocean Ions</vt:lpstr>
      <vt:lpstr>Atmospheric Gases</vt:lpstr>
      <vt:lpstr>Land, Biomass &amp; Soil</vt:lpstr>
      <vt:lpstr>Wood</vt:lpstr>
      <vt:lpstr>Coal</vt:lpstr>
      <vt:lpstr>Oil &amp; NG</vt:lpstr>
      <vt:lpstr>References</vt:lpstr>
      <vt:lpstr>ave_crust_element_molar_weight</vt:lpstr>
      <vt:lpstr>ave_crust_specific_emergy</vt:lpstr>
      <vt:lpstr>ave_crustal_molar_mass</vt:lpstr>
      <vt:lpstr>crust_age</vt:lpstr>
      <vt:lpstr>crust_mass</vt:lpstr>
      <vt:lpstr>crustal_elements</vt:lpstr>
      <vt:lpstr>currents_tr</vt:lpstr>
      <vt:lpstr>deepheat_tr</vt:lpstr>
      <vt:lpstr>GEB</vt:lpstr>
      <vt:lpstr>Geo_exergy</vt:lpstr>
      <vt:lpstr>geopot_tr_specific_emergy</vt:lpstr>
      <vt:lpstr>gravity</vt:lpstr>
      <vt:lpstr>land_surface_area</vt:lpstr>
      <vt:lpstr>Mineral_table</vt:lpstr>
      <vt:lpstr>rain_land_tr</vt:lpstr>
      <vt:lpstr>rain_ocean_tr</vt:lpstr>
      <vt:lpstr>renewable_cutoff</vt:lpstr>
      <vt:lpstr>runoff_chem_tr</vt:lpstr>
      <vt:lpstr>runoff_geop_tr</vt:lpstr>
      <vt:lpstr>sediment_geopotential_tr</vt:lpstr>
      <vt:lpstr>sediment_specific_emergy</vt:lpstr>
      <vt:lpstr>Sun_exergy</vt:lpstr>
      <vt:lpstr>Surface_Temperature</vt:lpstr>
      <vt:lpstr>Tide_exergy</vt:lpstr>
      <vt:lpstr>tide_tr</vt:lpstr>
      <vt:lpstr>waves_ocean_tr</vt:lpstr>
      <vt:lpstr>waves_shore_tr</vt:lpstr>
      <vt:lpstr>wind_tr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EmCF database for LCA_final Excel file</dc:title>
  <dc:subject>In the field of environmental sustainability assessment, there are different integrated metrics used to quantify the total resource use and environmental impacts.  In a resource-constrained world, it is essential to quantify the environmental support that these resources provide, that includes the work provided by Nature.  The integrated measures involving the comparisons of different units or scales require a “common currency”.  Life cycle assessment (LCA) has been extensively used to assess the potential environmental impacts of goods and services over their full life cycles.</dc:subject>
  <dc:creator>Ma.Cissy@epa.gov</dc:creator>
  <cp:keywords>environmental sustainability assessment, integrated metrics, environmental impacts, resource-constrained, quantify, integrated measures, common currency, Life cycle assessment (LCA), environmental impacts, life cycles</cp:keywords>
  <cp:lastModifiedBy>Ma, Cissy</cp:lastModifiedBy>
  <dcterms:created xsi:type="dcterms:W3CDTF">2013-03-08T16:12:00Z</dcterms:created>
  <dcterms:modified xsi:type="dcterms:W3CDTF">2024-04-26T16:40:32Z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0x0101000760CD512BE0C34FAFF9D9F81D276134</vt:lpwstr>
  </property>
</Properties>
</file>