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24226"/>
  <mc:AlternateContent xmlns:mc="http://schemas.openxmlformats.org/markup-compatibility/2006">
    <mc:Choice Requires="x15">
      <x15ac:absPath xmlns:x15ac="http://schemas.microsoft.com/office/spreadsheetml/2010/11/ac" url="https://usepa.sharepoint.com/sites/ocspp_Work/wpc/TSCA Scoping Next 20 HPS Review/Flame Retardants/TCEP/RE Documents/Supplemental Files for TCEP/Supplementals for Final Publication/"/>
    </mc:Choice>
  </mc:AlternateContent>
  <xr:revisionPtr revIDLastSave="165" documentId="13_ncr:1_{9FE87CBC-5C3D-473C-B8E1-7A32609F65C2}" xr6:coauthVersionLast="47" xr6:coauthVersionMax="47" xr10:uidLastSave="{79D8F6B2-CEBF-435C-954F-8D6DB649B605}"/>
  <workbookProtection workbookAlgorithmName="SHA-512" workbookHashValue="PkqSxbnWGwRdd+QhdWYCXMQ9MvsBYWOq5Rb63h7G9NkYlCIZbnr5lMpO7mtOzeAf9gxMHvrwkFhiD9JF+IIeDg==" workbookSaltValue="WH5XLbhlKSqvQ0AppDPBQg==" workbookSpinCount="100000" lockStructure="1"/>
  <bookViews>
    <workbookView xWindow="-108" yWindow="-108" windowWidth="23256" windowHeight="12456" tabRatio="866" xr2:uid="{4108611F-AECF-46CE-8DC0-64B3749329D3}"/>
  </bookViews>
  <sheets>
    <sheet name="Cover Page" sheetId="43" r:id="rId1"/>
    <sheet name="Read Me" sheetId="44" r:id="rId2"/>
    <sheet name="Dashboard" sheetId="31" r:id="rId3"/>
    <sheet name="RR" sheetId="40" r:id="rId4"/>
    <sheet name="Health Data" sheetId="39" r:id="rId5"/>
    <sheet name="Bridge Table" sheetId="47" r:id="rId6"/>
    <sheet name="Inhalation Exposure" sheetId="37" r:id="rId7"/>
    <sheet name="Dermal Crosswalk" sheetId="45" r:id="rId8"/>
    <sheet name="Dermal Exposure" sheetId="46" r:id="rId9"/>
    <sheet name="List Values" sheetId="35" r:id="rId10"/>
    <sheet name="Exposure Factors" sheetId="38" r:id="rId11"/>
  </sheets>
  <definedNames>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localSheetId="5" hidden="1">100</definedName>
    <definedName name="_AtRisk_SimSetting_ConvergenceTestingPeriod" hidden="1">10</definedName>
    <definedName name="_AtRisk_SimSetting_ConvergenceTolerance" localSheetId="5" hidden="1">0.03</definedName>
    <definedName name="_AtRisk_SimSetting_ConvergenceTolerance" hidden="1">0.01</definedName>
    <definedName name="_AtRisk_SimSetting_GoalSeekTargetValue" hidden="1">0</definedName>
    <definedName name="_AtRisk_SimSetting_LiveUpdate" hidden="1">TRUE</definedName>
    <definedName name="_AtRisk_SimSetting_LiveUpdatePeriod" hidden="1">-1</definedName>
    <definedName name="_AtRisk_SimSetting_MacroMode" hidden="1">0</definedName>
    <definedName name="_AtRisk_SimSetting_MacroRecalculationBehavior" hidden="1">0</definedName>
    <definedName name="_AtRisk_SimSetting_MaxAutoIterations" hidden="1">50000</definedName>
    <definedName name="_AtRisk_SimSetting_MultipleCPUCount" hidden="1">8</definedName>
    <definedName name="_AtRisk_SimSetting_MultipleCPUManualCount" hidden="1">8</definedName>
    <definedName name="_AtRisk_SimSetting_MultipleCPUMode" hidden="1">2</definedName>
    <definedName name="_AtRisk_SimSetting_MultipleCPUModeV8" hidden="1">2</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0</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15</definedName>
    <definedName name="_AtRisk_SimSetting_ReportOptionReportsFileType" hidden="1">1</definedName>
    <definedName name="_AtRisk_SimSetting_ReportOptionSelectiveQR" hidden="1">FALSE</definedName>
    <definedName name="_AtRisk_SimSetting_ReportsList" hidden="1">15</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localSheetId="6" hidden="1">'Inhalation Exposure'!$B$3:$AF$60</definedName>
    <definedName name="BW_default">'Exposure Factors'!$C$3</definedName>
    <definedName name="BW_women">'Exposure Factors'!$D$3</definedName>
    <definedName name="Pal_Workbook_GUID" hidden="1">"QFFA8IQU6YFGRFCXE7L4LIWR"</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8</definedName>
    <definedName name="RiskMinimizeOnStart" hidden="1">FALSE</definedName>
    <definedName name="RiskMonitorConvergence" hidden="1">FALSE</definedName>
    <definedName name="RiskMultipleCPUSupportEnabled" hidden="1">FALSE</definedName>
    <definedName name="RiskNumIterations" hidden="1">100000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solver_adj" localSheetId="3" hidden="1">RR!$Z$28</definedName>
    <definedName name="solver_cvg" localSheetId="3" hidden="1">0.0001</definedName>
    <definedName name="solver_drv" localSheetId="3" hidden="1">1</definedName>
    <definedName name="solver_eng" localSheetId="3" hidden="1">1</definedName>
    <definedName name="solver_est" localSheetId="3" hidden="1">1</definedName>
    <definedName name="solver_itr" localSheetId="3" hidden="1">2147483647</definedName>
    <definedName name="solver_mip" localSheetId="3" hidden="1">2147483647</definedName>
    <definedName name="solver_mni" localSheetId="3" hidden="1">30</definedName>
    <definedName name="solver_mrt" localSheetId="3" hidden="1">0.075</definedName>
    <definedName name="solver_msl" localSheetId="3" hidden="1">2</definedName>
    <definedName name="solver_neg" localSheetId="3" hidden="1">1</definedName>
    <definedName name="solver_nod" localSheetId="3" hidden="1">2147483647</definedName>
    <definedName name="solver_num" localSheetId="3" hidden="1">0</definedName>
    <definedName name="solver_nwt" localSheetId="3" hidden="1">1</definedName>
    <definedName name="solver_opt" localSheetId="3" hidden="1">RR!$AA$28</definedName>
    <definedName name="solver_pre" localSheetId="3" hidden="1">0.000001</definedName>
    <definedName name="solver_rbv" localSheetId="3" hidden="1">1</definedName>
    <definedName name="solver_rlx" localSheetId="3" hidden="1">2</definedName>
    <definedName name="solver_rsd" localSheetId="3" hidden="1">0</definedName>
    <definedName name="solver_scl" localSheetId="3" hidden="1">1</definedName>
    <definedName name="solver_sho" localSheetId="3" hidden="1">2</definedName>
    <definedName name="solver_ssz" localSheetId="3" hidden="1">100</definedName>
    <definedName name="solver_tim" localSheetId="3" hidden="1">2147483647</definedName>
    <definedName name="solver_tol" localSheetId="3" hidden="1">0.01</definedName>
    <definedName name="solver_typ" localSheetId="3" hidden="1">3</definedName>
    <definedName name="solver_val" localSheetId="3" hidden="1">1</definedName>
    <definedName name="solver_ver" localSheetId="3" hidden="1">3</definedName>
    <definedName name="WY_CT_default">'Exposure Factors'!$C$7</definedName>
    <definedName name="WY_CT_women">'Exposure Factors'!$D$7</definedName>
    <definedName name="WY_HE_default">'Exposure Factors'!$C$6</definedName>
    <definedName name="WY_HE_women">'Exposure Factors'!$D$6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42" i="47" l="1"/>
  <c r="N342" i="47"/>
  <c r="M342" i="47"/>
  <c r="L342" i="47"/>
  <c r="O340" i="47"/>
  <c r="N340" i="47"/>
  <c r="M340" i="47"/>
  <c r="L340" i="47"/>
  <c r="O338" i="47"/>
  <c r="N338" i="47"/>
  <c r="M338" i="47"/>
  <c r="L338" i="47"/>
  <c r="O336" i="47"/>
  <c r="N336" i="47"/>
  <c r="M336" i="47"/>
  <c r="L336" i="47"/>
  <c r="O294" i="47"/>
  <c r="N294" i="47"/>
  <c r="M294" i="47"/>
  <c r="L294" i="47"/>
  <c r="O292" i="47"/>
  <c r="N292" i="47"/>
  <c r="M292" i="47"/>
  <c r="L292" i="47"/>
  <c r="O290" i="47"/>
  <c r="N290" i="47"/>
  <c r="M290" i="47"/>
  <c r="L290" i="47"/>
  <c r="O288" i="47"/>
  <c r="N288" i="47"/>
  <c r="M288" i="47"/>
  <c r="L288" i="47"/>
  <c r="O270" i="47"/>
  <c r="N270" i="47"/>
  <c r="M270" i="47"/>
  <c r="L270" i="47"/>
  <c r="O268" i="47"/>
  <c r="N268" i="47"/>
  <c r="M268" i="47"/>
  <c r="L268" i="47"/>
  <c r="O266" i="47"/>
  <c r="N266" i="47"/>
  <c r="M266" i="47"/>
  <c r="L266" i="47"/>
  <c r="O264" i="47"/>
  <c r="N264" i="47"/>
  <c r="M264" i="47"/>
  <c r="L264" i="47"/>
  <c r="O246" i="47"/>
  <c r="N246" i="47"/>
  <c r="M246" i="47"/>
  <c r="L246" i="47"/>
  <c r="O244" i="47"/>
  <c r="N244" i="47"/>
  <c r="M244" i="47"/>
  <c r="L244" i="47"/>
  <c r="O242" i="47"/>
  <c r="N242" i="47"/>
  <c r="M242" i="47"/>
  <c r="L242" i="47"/>
  <c r="O240" i="47"/>
  <c r="N240" i="47"/>
  <c r="M240" i="47"/>
  <c r="L240" i="47"/>
  <c r="O222" i="47"/>
  <c r="N222" i="47"/>
  <c r="M222" i="47"/>
  <c r="L222" i="47"/>
  <c r="O220" i="47"/>
  <c r="N220" i="47"/>
  <c r="M220" i="47"/>
  <c r="L220" i="47"/>
  <c r="O218" i="47"/>
  <c r="N218" i="47"/>
  <c r="M218" i="47"/>
  <c r="L218" i="47"/>
  <c r="O216" i="47"/>
  <c r="N216" i="47"/>
  <c r="M216" i="47"/>
  <c r="L216" i="47"/>
  <c r="O198" i="47"/>
  <c r="N198" i="47"/>
  <c r="M198" i="47"/>
  <c r="L198" i="47"/>
  <c r="O196" i="47"/>
  <c r="N196" i="47"/>
  <c r="M196" i="47"/>
  <c r="L196" i="47"/>
  <c r="O194" i="47"/>
  <c r="N194" i="47"/>
  <c r="M194" i="47"/>
  <c r="L194" i="47"/>
  <c r="O192" i="47"/>
  <c r="N192" i="47"/>
  <c r="M192" i="47"/>
  <c r="L192" i="47"/>
  <c r="O174" i="47"/>
  <c r="N174" i="47"/>
  <c r="M174" i="47"/>
  <c r="L174" i="47"/>
  <c r="O172" i="47"/>
  <c r="N172" i="47"/>
  <c r="M172" i="47"/>
  <c r="L172" i="47"/>
  <c r="O170" i="47"/>
  <c r="N170" i="47"/>
  <c r="M170" i="47"/>
  <c r="L170" i="47"/>
  <c r="O168" i="47"/>
  <c r="N168" i="47"/>
  <c r="M168" i="47"/>
  <c r="L168" i="47"/>
  <c r="O150" i="47"/>
  <c r="N150" i="47"/>
  <c r="M150" i="47"/>
  <c r="L150" i="47"/>
  <c r="O148" i="47"/>
  <c r="N148" i="47"/>
  <c r="M148" i="47"/>
  <c r="L148" i="47"/>
  <c r="O146" i="47"/>
  <c r="N146" i="47"/>
  <c r="M146" i="47"/>
  <c r="L146" i="47"/>
  <c r="O144" i="47"/>
  <c r="N144" i="47"/>
  <c r="M144" i="47"/>
  <c r="L144" i="47"/>
  <c r="O126" i="47"/>
  <c r="N126" i="47"/>
  <c r="M126" i="47"/>
  <c r="L126" i="47"/>
  <c r="O124" i="47"/>
  <c r="N124" i="47"/>
  <c r="M124" i="47"/>
  <c r="L124" i="47"/>
  <c r="O122" i="47"/>
  <c r="N122" i="47"/>
  <c r="M122" i="47"/>
  <c r="L122" i="47"/>
  <c r="O120" i="47"/>
  <c r="N120" i="47"/>
  <c r="M120" i="47"/>
  <c r="L120" i="47"/>
  <c r="O102" i="47"/>
  <c r="N102" i="47"/>
  <c r="M102" i="47"/>
  <c r="L102" i="47"/>
  <c r="O100" i="47"/>
  <c r="N100" i="47"/>
  <c r="M100" i="47"/>
  <c r="L100" i="47"/>
  <c r="O98" i="47"/>
  <c r="N98" i="47"/>
  <c r="M98" i="47"/>
  <c r="L98" i="47"/>
  <c r="O96" i="47"/>
  <c r="N96" i="47"/>
  <c r="M96" i="47"/>
  <c r="L96" i="47"/>
  <c r="O78" i="47"/>
  <c r="N78" i="47"/>
  <c r="M78" i="47"/>
  <c r="L78" i="47"/>
  <c r="O76" i="47"/>
  <c r="N76" i="47"/>
  <c r="M76" i="47"/>
  <c r="L76" i="47"/>
  <c r="O74" i="47"/>
  <c r="N74" i="47"/>
  <c r="M74" i="47"/>
  <c r="L74" i="47"/>
  <c r="O72" i="47"/>
  <c r="N72" i="47"/>
  <c r="M72" i="47"/>
  <c r="L72" i="47"/>
  <c r="O54" i="47"/>
  <c r="N54" i="47"/>
  <c r="M54" i="47"/>
  <c r="L54" i="47"/>
  <c r="O52" i="47"/>
  <c r="N52" i="47"/>
  <c r="M52" i="47"/>
  <c r="L52" i="47"/>
  <c r="O50" i="47"/>
  <c r="N50" i="47"/>
  <c r="M50" i="47"/>
  <c r="L50" i="47"/>
  <c r="O48" i="47"/>
  <c r="N48" i="47"/>
  <c r="M48" i="47"/>
  <c r="L48" i="47"/>
  <c r="O30" i="47"/>
  <c r="N30" i="47"/>
  <c r="M30" i="47"/>
  <c r="L30" i="47"/>
  <c r="O28" i="47"/>
  <c r="N28" i="47"/>
  <c r="M28" i="47"/>
  <c r="L28" i="47"/>
  <c r="O26" i="47"/>
  <c r="N26" i="47"/>
  <c r="M26" i="47"/>
  <c r="L26" i="47"/>
  <c r="O24" i="47"/>
  <c r="N24" i="47"/>
  <c r="M24" i="47"/>
  <c r="L24" i="47"/>
  <c r="L16" i="47"/>
  <c r="M16" i="47"/>
  <c r="N16" i="47"/>
  <c r="O16" i="47"/>
  <c r="L18" i="47"/>
  <c r="M18" i="47"/>
  <c r="N18" i="47"/>
  <c r="O18" i="47"/>
  <c r="L20" i="47"/>
  <c r="M20" i="47"/>
  <c r="N20" i="47"/>
  <c r="O20" i="47"/>
  <c r="L22" i="47"/>
  <c r="M22" i="47"/>
  <c r="N22" i="47"/>
  <c r="O22" i="47"/>
  <c r="L40" i="47"/>
  <c r="M40" i="47"/>
  <c r="N40" i="47"/>
  <c r="O40" i="47"/>
  <c r="L42" i="47"/>
  <c r="M42" i="47"/>
  <c r="N42" i="47"/>
  <c r="O42" i="47"/>
  <c r="L44" i="47"/>
  <c r="M44" i="47"/>
  <c r="N44" i="47"/>
  <c r="O44" i="47"/>
  <c r="L46" i="47"/>
  <c r="M46" i="47"/>
  <c r="N46" i="47"/>
  <c r="O46" i="47"/>
  <c r="L64" i="47"/>
  <c r="M64" i="47"/>
  <c r="N64" i="47"/>
  <c r="O64" i="47"/>
  <c r="L66" i="47"/>
  <c r="M66" i="47"/>
  <c r="N66" i="47"/>
  <c r="O66" i="47"/>
  <c r="L68" i="47"/>
  <c r="M68" i="47"/>
  <c r="N68" i="47"/>
  <c r="O68" i="47"/>
  <c r="L70" i="47"/>
  <c r="M70" i="47"/>
  <c r="N70" i="47"/>
  <c r="O70" i="47"/>
  <c r="L88" i="47"/>
  <c r="M88" i="47"/>
  <c r="N88" i="47"/>
  <c r="O88" i="47"/>
  <c r="L90" i="47"/>
  <c r="M90" i="47"/>
  <c r="N90" i="47"/>
  <c r="O90" i="47"/>
  <c r="L92" i="47"/>
  <c r="M92" i="47"/>
  <c r="N92" i="47"/>
  <c r="O92" i="47"/>
  <c r="L94" i="47"/>
  <c r="M94" i="47"/>
  <c r="N94" i="47"/>
  <c r="O94" i="47"/>
  <c r="L112" i="47"/>
  <c r="M112" i="47"/>
  <c r="N112" i="47"/>
  <c r="O112" i="47"/>
  <c r="L114" i="47"/>
  <c r="M114" i="47"/>
  <c r="N114" i="47"/>
  <c r="O114" i="47"/>
  <c r="L116" i="47"/>
  <c r="M116" i="47"/>
  <c r="N116" i="47"/>
  <c r="O116" i="47"/>
  <c r="L118" i="47"/>
  <c r="M118" i="47"/>
  <c r="N118" i="47"/>
  <c r="O118" i="47"/>
  <c r="L160" i="47"/>
  <c r="M160" i="47"/>
  <c r="N160" i="47"/>
  <c r="O160" i="47"/>
  <c r="L162" i="47"/>
  <c r="M162" i="47"/>
  <c r="N162" i="47"/>
  <c r="O162" i="47"/>
  <c r="L164" i="47"/>
  <c r="M164" i="47"/>
  <c r="N164" i="47"/>
  <c r="O164" i="47"/>
  <c r="L166" i="47"/>
  <c r="M166" i="47"/>
  <c r="N166" i="47"/>
  <c r="O166" i="47"/>
  <c r="L184" i="47"/>
  <c r="M184" i="47"/>
  <c r="N184" i="47"/>
  <c r="O184" i="47"/>
  <c r="L186" i="47"/>
  <c r="M186" i="47"/>
  <c r="N186" i="47"/>
  <c r="O186" i="47"/>
  <c r="L188" i="47"/>
  <c r="M188" i="47"/>
  <c r="N188" i="47"/>
  <c r="O188" i="47"/>
  <c r="L190" i="47"/>
  <c r="M190" i="47"/>
  <c r="N190" i="47"/>
  <c r="O190" i="47"/>
  <c r="L208" i="47"/>
  <c r="M208" i="47"/>
  <c r="N208" i="47"/>
  <c r="O208" i="47"/>
  <c r="L210" i="47"/>
  <c r="M210" i="47"/>
  <c r="N210" i="47"/>
  <c r="O210" i="47"/>
  <c r="L212" i="47"/>
  <c r="M212" i="47"/>
  <c r="N212" i="47"/>
  <c r="O212" i="47"/>
  <c r="L214" i="47"/>
  <c r="M214" i="47"/>
  <c r="N214" i="47"/>
  <c r="O214" i="47"/>
  <c r="L232" i="47"/>
  <c r="M232" i="47"/>
  <c r="N232" i="47"/>
  <c r="O232" i="47"/>
  <c r="L234" i="47"/>
  <c r="M234" i="47"/>
  <c r="N234" i="47"/>
  <c r="O234" i="47"/>
  <c r="L236" i="47"/>
  <c r="M236" i="47"/>
  <c r="N236" i="47"/>
  <c r="O236" i="47"/>
  <c r="L238" i="47"/>
  <c r="M238" i="47"/>
  <c r="N238" i="47"/>
  <c r="O238" i="47"/>
  <c r="L256" i="47"/>
  <c r="M256" i="47"/>
  <c r="N256" i="47"/>
  <c r="O256" i="47"/>
  <c r="L258" i="47"/>
  <c r="M258" i="47"/>
  <c r="N258" i="47"/>
  <c r="O258" i="47"/>
  <c r="L260" i="47"/>
  <c r="M260" i="47"/>
  <c r="N260" i="47"/>
  <c r="O260" i="47"/>
  <c r="L262" i="47"/>
  <c r="M262" i="47"/>
  <c r="N262" i="47"/>
  <c r="O262" i="47"/>
  <c r="L280" i="47"/>
  <c r="M280" i="47"/>
  <c r="N280" i="47"/>
  <c r="O280" i="47"/>
  <c r="L282" i="47"/>
  <c r="M282" i="47"/>
  <c r="N282" i="47"/>
  <c r="O282" i="47"/>
  <c r="L284" i="47"/>
  <c r="M284" i="47"/>
  <c r="N284" i="47"/>
  <c r="O284" i="47"/>
  <c r="L286" i="47"/>
  <c r="M286" i="47"/>
  <c r="N286" i="47"/>
  <c r="O286" i="47"/>
  <c r="L304" i="47"/>
  <c r="M304" i="47"/>
  <c r="N304" i="47"/>
  <c r="O304" i="47"/>
  <c r="L306" i="47"/>
  <c r="M306" i="47"/>
  <c r="N306" i="47"/>
  <c r="O306" i="47"/>
  <c r="L308" i="47"/>
  <c r="M308" i="47"/>
  <c r="N308" i="47"/>
  <c r="O308" i="47"/>
  <c r="L310" i="47"/>
  <c r="M310" i="47"/>
  <c r="N310" i="47"/>
  <c r="O310" i="47"/>
  <c r="L312" i="47"/>
  <c r="M312" i="47"/>
  <c r="N312" i="47"/>
  <c r="O312" i="47"/>
  <c r="L314" i="47"/>
  <c r="M314" i="47"/>
  <c r="N314" i="47"/>
  <c r="O314" i="47"/>
  <c r="L316" i="47"/>
  <c r="M316" i="47"/>
  <c r="N316" i="47"/>
  <c r="O316" i="47"/>
  <c r="L318" i="47"/>
  <c r="M318" i="47"/>
  <c r="N318" i="47"/>
  <c r="O318" i="47"/>
  <c r="L328" i="47"/>
  <c r="M328" i="47"/>
  <c r="N328" i="47"/>
  <c r="O328" i="47"/>
  <c r="L330" i="47"/>
  <c r="M330" i="47"/>
  <c r="N330" i="47"/>
  <c r="O330" i="47"/>
  <c r="L332" i="47"/>
  <c r="M332" i="47"/>
  <c r="N332" i="47"/>
  <c r="O332" i="47"/>
  <c r="L334" i="47"/>
  <c r="M334" i="47"/>
  <c r="N334" i="47"/>
  <c r="O334" i="47"/>
  <c r="M35" i="31"/>
  <c r="M30" i="31"/>
  <c r="M24" i="31"/>
  <c r="M18" i="31"/>
  <c r="C35" i="31"/>
  <c r="C30" i="31"/>
  <c r="C24" i="31"/>
  <c r="C18" i="31"/>
  <c r="F28" i="40" l="1"/>
  <c r="F26" i="40"/>
  <c r="F24" i="40"/>
  <c r="F22" i="40"/>
  <c r="D28" i="40"/>
  <c r="D26" i="40"/>
  <c r="D24" i="40"/>
  <c r="D22" i="40"/>
  <c r="M59" i="37"/>
  <c r="B5" i="46" l="1"/>
  <c r="AB61" i="37"/>
  <c r="AA61" i="37"/>
  <c r="V61" i="37"/>
  <c r="U61" i="37"/>
  <c r="R61" i="37"/>
  <c r="Q61" i="37"/>
  <c r="N61" i="37"/>
  <c r="M61" i="37"/>
  <c r="AB59" i="37"/>
  <c r="AA59" i="37"/>
  <c r="V59" i="37"/>
  <c r="U59" i="37"/>
  <c r="R59" i="37"/>
  <c r="Q59" i="37"/>
  <c r="N59" i="37"/>
  <c r="AB57" i="37"/>
  <c r="AA57" i="37"/>
  <c r="V57" i="37"/>
  <c r="U57" i="37"/>
  <c r="R57" i="37"/>
  <c r="Q57" i="37"/>
  <c r="N57" i="37"/>
  <c r="M57" i="37"/>
  <c r="AB55" i="37"/>
  <c r="AA55" i="37"/>
  <c r="V55" i="37"/>
  <c r="U55" i="37"/>
  <c r="R55" i="37"/>
  <c r="Q55" i="37"/>
  <c r="N55" i="37"/>
  <c r="M55" i="37"/>
  <c r="AB53" i="37"/>
  <c r="AA53" i="37"/>
  <c r="V53" i="37"/>
  <c r="U53" i="37"/>
  <c r="R53" i="37"/>
  <c r="Q53" i="37"/>
  <c r="N53" i="37"/>
  <c r="M53" i="37"/>
  <c r="AB51" i="37"/>
  <c r="AA51" i="37"/>
  <c r="V51" i="37"/>
  <c r="U51" i="37"/>
  <c r="R51" i="37"/>
  <c r="Q51" i="37"/>
  <c r="N51" i="37"/>
  <c r="M51" i="37"/>
  <c r="AB49" i="37"/>
  <c r="AA49" i="37"/>
  <c r="V49" i="37"/>
  <c r="U49" i="37"/>
  <c r="R49" i="37"/>
  <c r="Q49" i="37"/>
  <c r="N49" i="37"/>
  <c r="M49" i="37"/>
  <c r="AB47" i="37"/>
  <c r="AA47" i="37"/>
  <c r="V47" i="37"/>
  <c r="U47" i="37"/>
  <c r="R47" i="37"/>
  <c r="Q47" i="37"/>
  <c r="N47" i="37"/>
  <c r="M47" i="37"/>
  <c r="AB45" i="37"/>
  <c r="AA45" i="37"/>
  <c r="V45" i="37"/>
  <c r="U45" i="37"/>
  <c r="R45" i="37"/>
  <c r="Q45" i="37"/>
  <c r="N45" i="37"/>
  <c r="M45" i="37"/>
  <c r="AB43" i="37"/>
  <c r="AA43" i="37"/>
  <c r="V43" i="37"/>
  <c r="U43" i="37"/>
  <c r="R43" i="37"/>
  <c r="Q43" i="37"/>
  <c r="N43" i="37"/>
  <c r="M43" i="37"/>
  <c r="AB41" i="37"/>
  <c r="AA41" i="37"/>
  <c r="V41" i="37"/>
  <c r="U41" i="37"/>
  <c r="R41" i="37"/>
  <c r="Q41" i="37"/>
  <c r="N41" i="37"/>
  <c r="M41" i="37"/>
  <c r="AB39" i="37"/>
  <c r="AA39" i="37"/>
  <c r="V39" i="37"/>
  <c r="U39" i="37"/>
  <c r="R39" i="37"/>
  <c r="Q39" i="37"/>
  <c r="N39" i="37"/>
  <c r="M39" i="37"/>
  <c r="AB37" i="37"/>
  <c r="AA37" i="37"/>
  <c r="V37" i="37"/>
  <c r="U37" i="37"/>
  <c r="R37" i="37"/>
  <c r="Q37" i="37"/>
  <c r="N37" i="37"/>
  <c r="M37" i="37"/>
  <c r="AB35" i="37"/>
  <c r="AA35" i="37"/>
  <c r="V35" i="37"/>
  <c r="U35" i="37"/>
  <c r="R35" i="37"/>
  <c r="Q35" i="37"/>
  <c r="N35" i="37"/>
  <c r="M35" i="37"/>
  <c r="AB33" i="37"/>
  <c r="AA33" i="37"/>
  <c r="V33" i="37"/>
  <c r="U33" i="37"/>
  <c r="R33" i="37"/>
  <c r="Q33" i="37"/>
  <c r="N33" i="37"/>
  <c r="M33" i="37"/>
  <c r="AB31" i="37"/>
  <c r="AA31" i="37"/>
  <c r="V31" i="37"/>
  <c r="U31" i="37"/>
  <c r="R31" i="37"/>
  <c r="Q31" i="37"/>
  <c r="N31" i="37"/>
  <c r="M31" i="37"/>
  <c r="AB28" i="37"/>
  <c r="AA28" i="37"/>
  <c r="V28" i="37"/>
  <c r="U28" i="37"/>
  <c r="R28" i="37"/>
  <c r="Q28" i="37"/>
  <c r="N28" i="37"/>
  <c r="M28" i="37"/>
  <c r="AB25" i="37"/>
  <c r="AA25" i="37"/>
  <c r="V25" i="37"/>
  <c r="U25" i="37"/>
  <c r="R25" i="37"/>
  <c r="Q25" i="37"/>
  <c r="N25" i="37"/>
  <c r="M25" i="37"/>
  <c r="AB23" i="37"/>
  <c r="AA23" i="37"/>
  <c r="V23" i="37"/>
  <c r="U23" i="37"/>
  <c r="R23" i="37"/>
  <c r="Q23" i="37"/>
  <c r="N23" i="37"/>
  <c r="M23" i="37"/>
  <c r="AB21" i="37"/>
  <c r="AA21" i="37"/>
  <c r="V21" i="37"/>
  <c r="U21" i="37"/>
  <c r="R21" i="37"/>
  <c r="Q21" i="37"/>
  <c r="N21" i="37"/>
  <c r="M21" i="37"/>
  <c r="AB19" i="37"/>
  <c r="AA19" i="37"/>
  <c r="V19" i="37"/>
  <c r="U19" i="37"/>
  <c r="R19" i="37"/>
  <c r="Q19" i="37"/>
  <c r="N19" i="37"/>
  <c r="M19" i="37"/>
  <c r="AB17" i="37"/>
  <c r="AA17" i="37"/>
  <c r="V17" i="37"/>
  <c r="U17" i="37"/>
  <c r="R17" i="37"/>
  <c r="Q17" i="37"/>
  <c r="N17" i="37"/>
  <c r="M17" i="37"/>
  <c r="AB15" i="37"/>
  <c r="AA15" i="37"/>
  <c r="V15" i="37"/>
  <c r="U15" i="37"/>
  <c r="R15" i="37"/>
  <c r="Q15" i="37"/>
  <c r="N15" i="37"/>
  <c r="M15" i="37"/>
  <c r="AB13" i="37"/>
  <c r="AA13" i="37"/>
  <c r="V13" i="37"/>
  <c r="U13" i="37"/>
  <c r="R13" i="37"/>
  <c r="Q13" i="37"/>
  <c r="N13" i="37"/>
  <c r="M13" i="37"/>
  <c r="AB11" i="37"/>
  <c r="AA11" i="37"/>
  <c r="V11" i="37"/>
  <c r="U11" i="37"/>
  <c r="R11" i="37"/>
  <c r="Q11" i="37"/>
  <c r="N11" i="37"/>
  <c r="M11" i="37"/>
  <c r="AB9" i="37"/>
  <c r="AA9" i="37"/>
  <c r="V9" i="37"/>
  <c r="U9" i="37"/>
  <c r="R9" i="37"/>
  <c r="Q9" i="37"/>
  <c r="N9" i="37"/>
  <c r="M9" i="37"/>
  <c r="AB7" i="37"/>
  <c r="AA7" i="37"/>
  <c r="V7" i="37"/>
  <c r="U7" i="37"/>
  <c r="R7" i="37"/>
  <c r="Q7" i="37"/>
  <c r="N7" i="37"/>
  <c r="M7" i="37"/>
  <c r="AB5" i="37"/>
  <c r="AA5" i="37"/>
  <c r="V5" i="37"/>
  <c r="U5" i="37"/>
  <c r="R5" i="37"/>
  <c r="Q5" i="37"/>
  <c r="N5" i="37"/>
  <c r="M5" i="37"/>
  <c r="E10" i="31"/>
  <c r="F13" i="31" l="1"/>
  <c r="F11" i="31"/>
  <c r="E11" i="31"/>
  <c r="E13" i="31"/>
  <c r="J13" i="40"/>
  <c r="J11" i="40"/>
  <c r="K13" i="40"/>
  <c r="K11" i="40"/>
  <c r="J12" i="40"/>
  <c r="J10" i="40"/>
  <c r="L11" i="40"/>
  <c r="M11" i="40"/>
  <c r="N11" i="40"/>
  <c r="L13" i="40"/>
  <c r="M13" i="40"/>
  <c r="N13" i="40"/>
  <c r="S343" i="47"/>
  <c r="R343" i="47"/>
  <c r="Q343" i="47"/>
  <c r="P343" i="47"/>
  <c r="S341" i="47"/>
  <c r="R341" i="47"/>
  <c r="Q341" i="47"/>
  <c r="P341" i="47"/>
  <c r="S339" i="47"/>
  <c r="R339" i="47"/>
  <c r="Q339" i="47"/>
  <c r="P339" i="47"/>
  <c r="S337" i="47"/>
  <c r="R337" i="47"/>
  <c r="Q337" i="47"/>
  <c r="P337" i="47"/>
  <c r="S327" i="47"/>
  <c r="R327" i="47"/>
  <c r="Q327" i="47"/>
  <c r="P327" i="47"/>
  <c r="S325" i="47"/>
  <c r="R325" i="47"/>
  <c r="Q325" i="47"/>
  <c r="P325" i="47"/>
  <c r="S323" i="47"/>
  <c r="R323" i="47"/>
  <c r="Q323" i="47"/>
  <c r="P323" i="47"/>
  <c r="S321" i="47"/>
  <c r="R321" i="47"/>
  <c r="Q321" i="47"/>
  <c r="P321" i="47"/>
  <c r="S303" i="47"/>
  <c r="R303" i="47"/>
  <c r="Q303" i="47"/>
  <c r="P303" i="47"/>
  <c r="S301" i="47"/>
  <c r="R301" i="47"/>
  <c r="Q301" i="47"/>
  <c r="P301" i="47"/>
  <c r="S299" i="47"/>
  <c r="R299" i="47"/>
  <c r="Q299" i="47"/>
  <c r="P299" i="47"/>
  <c r="S297" i="47"/>
  <c r="R297" i="47"/>
  <c r="Q297" i="47"/>
  <c r="P297" i="47"/>
  <c r="S295" i="47"/>
  <c r="R295" i="47"/>
  <c r="Q295" i="47"/>
  <c r="P295" i="47"/>
  <c r="S293" i="47"/>
  <c r="R293" i="47"/>
  <c r="Q293" i="47"/>
  <c r="P293" i="47"/>
  <c r="S291" i="47"/>
  <c r="R291" i="47"/>
  <c r="Q291" i="47"/>
  <c r="P291" i="47"/>
  <c r="S289" i="47"/>
  <c r="R289" i="47"/>
  <c r="Q289" i="47"/>
  <c r="P289" i="47"/>
  <c r="S279" i="47"/>
  <c r="R279" i="47"/>
  <c r="Q279" i="47"/>
  <c r="P279" i="47"/>
  <c r="S277" i="47"/>
  <c r="R277" i="47"/>
  <c r="Q277" i="47"/>
  <c r="P277" i="47"/>
  <c r="S275" i="47"/>
  <c r="R275" i="47"/>
  <c r="Q275" i="47"/>
  <c r="P275" i="47"/>
  <c r="S273" i="47"/>
  <c r="R273" i="47"/>
  <c r="Q273" i="47"/>
  <c r="P273" i="47"/>
  <c r="S271" i="47"/>
  <c r="R271" i="47"/>
  <c r="Q271" i="47"/>
  <c r="P271" i="47"/>
  <c r="S269" i="47"/>
  <c r="R269" i="47"/>
  <c r="Q269" i="47"/>
  <c r="P269" i="47"/>
  <c r="S267" i="47"/>
  <c r="R267" i="47"/>
  <c r="Q267" i="47"/>
  <c r="P267" i="47"/>
  <c r="S265" i="47"/>
  <c r="R265" i="47"/>
  <c r="Q265" i="47"/>
  <c r="P265" i="47"/>
  <c r="S255" i="47"/>
  <c r="R255" i="47"/>
  <c r="Q255" i="47"/>
  <c r="P255" i="47"/>
  <c r="S253" i="47"/>
  <c r="R253" i="47"/>
  <c r="Q253" i="47"/>
  <c r="P253" i="47"/>
  <c r="S251" i="47"/>
  <c r="R251" i="47"/>
  <c r="Q251" i="47"/>
  <c r="P251" i="47"/>
  <c r="S249" i="47"/>
  <c r="R249" i="47"/>
  <c r="Q249" i="47"/>
  <c r="P249" i="47"/>
  <c r="S247" i="47"/>
  <c r="R247" i="47"/>
  <c r="Q247" i="47"/>
  <c r="P247" i="47"/>
  <c r="S245" i="47"/>
  <c r="R245" i="47"/>
  <c r="Q245" i="47"/>
  <c r="P245" i="47"/>
  <c r="S243" i="47"/>
  <c r="R243" i="47"/>
  <c r="Q243" i="47"/>
  <c r="P243" i="47"/>
  <c r="S241" i="47"/>
  <c r="R241" i="47"/>
  <c r="Q241" i="47"/>
  <c r="P241" i="47"/>
  <c r="S231" i="47"/>
  <c r="R231" i="47"/>
  <c r="Q231" i="47"/>
  <c r="P231" i="47"/>
  <c r="S229" i="47"/>
  <c r="R229" i="47"/>
  <c r="Q229" i="47"/>
  <c r="P229" i="47"/>
  <c r="S227" i="47"/>
  <c r="R227" i="47"/>
  <c r="Q227" i="47"/>
  <c r="P227" i="47"/>
  <c r="S225" i="47"/>
  <c r="R225" i="47"/>
  <c r="Q225" i="47"/>
  <c r="P225" i="47"/>
  <c r="S223" i="47"/>
  <c r="R223" i="47"/>
  <c r="Q223" i="47"/>
  <c r="P223" i="47"/>
  <c r="S221" i="47"/>
  <c r="R221" i="47"/>
  <c r="Q221" i="47"/>
  <c r="P221" i="47"/>
  <c r="S219" i="47"/>
  <c r="R219" i="47"/>
  <c r="Q219" i="47"/>
  <c r="P219" i="47"/>
  <c r="S217" i="47"/>
  <c r="R217" i="47"/>
  <c r="Q217" i="47"/>
  <c r="P217" i="47"/>
  <c r="S207" i="47"/>
  <c r="R207" i="47"/>
  <c r="Q207" i="47"/>
  <c r="P207" i="47"/>
  <c r="S205" i="47"/>
  <c r="R205" i="47"/>
  <c r="Q205" i="47"/>
  <c r="P205" i="47"/>
  <c r="S203" i="47"/>
  <c r="R203" i="47"/>
  <c r="Q203" i="47"/>
  <c r="P203" i="47"/>
  <c r="S201" i="47"/>
  <c r="R201" i="47"/>
  <c r="Q201" i="47"/>
  <c r="P201" i="47"/>
  <c r="S199" i="47"/>
  <c r="R199" i="47"/>
  <c r="Q199" i="47"/>
  <c r="P199" i="47"/>
  <c r="S197" i="47"/>
  <c r="R197" i="47"/>
  <c r="Q197" i="47"/>
  <c r="P197" i="47"/>
  <c r="S195" i="47"/>
  <c r="R195" i="47"/>
  <c r="Q195" i="47"/>
  <c r="P195" i="47"/>
  <c r="S193" i="47"/>
  <c r="R193" i="47"/>
  <c r="Q193" i="47"/>
  <c r="P193" i="47"/>
  <c r="S183" i="47"/>
  <c r="R183" i="47"/>
  <c r="Q183" i="47"/>
  <c r="P183" i="47"/>
  <c r="S181" i="47"/>
  <c r="R181" i="47"/>
  <c r="Q181" i="47"/>
  <c r="P181" i="47"/>
  <c r="S179" i="47"/>
  <c r="R179" i="47"/>
  <c r="Q179" i="47"/>
  <c r="P179" i="47"/>
  <c r="S177" i="47"/>
  <c r="R177" i="47"/>
  <c r="Q177" i="47"/>
  <c r="P177" i="47"/>
  <c r="S175" i="47"/>
  <c r="R175" i="47"/>
  <c r="Q175" i="47"/>
  <c r="P175" i="47"/>
  <c r="S173" i="47"/>
  <c r="R173" i="47"/>
  <c r="Q173" i="47"/>
  <c r="P173" i="47"/>
  <c r="S171" i="47"/>
  <c r="R171" i="47"/>
  <c r="Q171" i="47"/>
  <c r="P171" i="47"/>
  <c r="S169" i="47"/>
  <c r="R169" i="47"/>
  <c r="Q169" i="47"/>
  <c r="P169" i="47"/>
  <c r="S159" i="47"/>
  <c r="R159" i="47"/>
  <c r="Q159" i="47"/>
  <c r="P159" i="47"/>
  <c r="S157" i="47"/>
  <c r="R157" i="47"/>
  <c r="Q157" i="47"/>
  <c r="P157" i="47"/>
  <c r="S155" i="47"/>
  <c r="R155" i="47"/>
  <c r="Q155" i="47"/>
  <c r="P155" i="47"/>
  <c r="S153" i="47"/>
  <c r="R153" i="47"/>
  <c r="Q153" i="47"/>
  <c r="P153" i="47"/>
  <c r="S151" i="47"/>
  <c r="R151" i="47"/>
  <c r="Q151" i="47"/>
  <c r="P151" i="47"/>
  <c r="S149" i="47"/>
  <c r="R149" i="47"/>
  <c r="Q149" i="47"/>
  <c r="P149" i="47"/>
  <c r="S147" i="47"/>
  <c r="R147" i="47"/>
  <c r="Q147" i="47"/>
  <c r="P147" i="47"/>
  <c r="S145" i="47"/>
  <c r="R145" i="47"/>
  <c r="Q145" i="47"/>
  <c r="P145" i="47"/>
  <c r="S135" i="47"/>
  <c r="R135" i="47"/>
  <c r="Q135" i="47"/>
  <c r="P135" i="47"/>
  <c r="S133" i="47"/>
  <c r="R133" i="47"/>
  <c r="Q133" i="47"/>
  <c r="P133" i="47"/>
  <c r="S131" i="47"/>
  <c r="R131" i="47"/>
  <c r="Q131" i="47"/>
  <c r="P131" i="47"/>
  <c r="S129" i="47"/>
  <c r="R129" i="47"/>
  <c r="Q129" i="47"/>
  <c r="P129" i="47"/>
  <c r="S127" i="47"/>
  <c r="R127" i="47"/>
  <c r="Q127" i="47"/>
  <c r="P127" i="47"/>
  <c r="S125" i="47"/>
  <c r="R125" i="47"/>
  <c r="Q125" i="47"/>
  <c r="P125" i="47"/>
  <c r="S123" i="47"/>
  <c r="R123" i="47"/>
  <c r="Q123" i="47"/>
  <c r="P123" i="47"/>
  <c r="S121" i="47"/>
  <c r="R121" i="47"/>
  <c r="Q121" i="47"/>
  <c r="P121" i="47"/>
  <c r="S111" i="47"/>
  <c r="R111" i="47"/>
  <c r="Q111" i="47"/>
  <c r="P111" i="47"/>
  <c r="S109" i="47"/>
  <c r="R109" i="47"/>
  <c r="Q109" i="47"/>
  <c r="P109" i="47"/>
  <c r="S107" i="47"/>
  <c r="R107" i="47"/>
  <c r="Q107" i="47"/>
  <c r="P107" i="47"/>
  <c r="S105" i="47"/>
  <c r="R105" i="47"/>
  <c r="Q105" i="47"/>
  <c r="P105" i="47"/>
  <c r="S103" i="47"/>
  <c r="R103" i="47"/>
  <c r="Q103" i="47"/>
  <c r="P103" i="47"/>
  <c r="S101" i="47"/>
  <c r="R101" i="47"/>
  <c r="Q101" i="47"/>
  <c r="P101" i="47"/>
  <c r="S99" i="47"/>
  <c r="R99" i="47"/>
  <c r="Q99" i="47"/>
  <c r="P99" i="47"/>
  <c r="S97" i="47"/>
  <c r="R97" i="47"/>
  <c r="Q97" i="47"/>
  <c r="P97" i="47"/>
  <c r="S87" i="47"/>
  <c r="R87" i="47"/>
  <c r="Q87" i="47"/>
  <c r="P87" i="47"/>
  <c r="S85" i="47"/>
  <c r="R85" i="47"/>
  <c r="Q85" i="47"/>
  <c r="P85" i="47"/>
  <c r="S83" i="47"/>
  <c r="R83" i="47"/>
  <c r="Q83" i="47"/>
  <c r="P83" i="47"/>
  <c r="S81" i="47"/>
  <c r="R81" i="47"/>
  <c r="Q81" i="47"/>
  <c r="P81" i="47"/>
  <c r="S79" i="47"/>
  <c r="R79" i="47"/>
  <c r="Q79" i="47"/>
  <c r="P79" i="47"/>
  <c r="S77" i="47"/>
  <c r="R77" i="47"/>
  <c r="Q77" i="47"/>
  <c r="P77" i="47"/>
  <c r="S75" i="47"/>
  <c r="R75" i="47"/>
  <c r="Q75" i="47"/>
  <c r="P75" i="47"/>
  <c r="S73" i="47"/>
  <c r="R73" i="47"/>
  <c r="Q73" i="47"/>
  <c r="P73" i="47"/>
  <c r="S63" i="47"/>
  <c r="R63" i="47"/>
  <c r="Q63" i="47"/>
  <c r="P63" i="47"/>
  <c r="S61" i="47"/>
  <c r="R61" i="47"/>
  <c r="Q61" i="47"/>
  <c r="P61" i="47"/>
  <c r="S59" i="47"/>
  <c r="R59" i="47"/>
  <c r="Q59" i="47"/>
  <c r="P59" i="47"/>
  <c r="S57" i="47"/>
  <c r="R57" i="47"/>
  <c r="Q57" i="47"/>
  <c r="P57" i="47"/>
  <c r="S55" i="47"/>
  <c r="R55" i="47"/>
  <c r="Q55" i="47"/>
  <c r="P55" i="47"/>
  <c r="S53" i="47"/>
  <c r="R53" i="47"/>
  <c r="Q53" i="47"/>
  <c r="P53" i="47"/>
  <c r="S51" i="47"/>
  <c r="R51" i="47"/>
  <c r="Q51" i="47"/>
  <c r="P51" i="47"/>
  <c r="S49" i="47"/>
  <c r="R49" i="47"/>
  <c r="Q49" i="47"/>
  <c r="P49" i="47"/>
  <c r="S39" i="47"/>
  <c r="R39" i="47"/>
  <c r="Q39" i="47"/>
  <c r="P39" i="47"/>
  <c r="S37" i="47"/>
  <c r="R37" i="47"/>
  <c r="Q37" i="47"/>
  <c r="P37" i="47"/>
  <c r="S35" i="47"/>
  <c r="R35" i="47"/>
  <c r="Q35" i="47"/>
  <c r="P35" i="47"/>
  <c r="S33" i="47"/>
  <c r="R33" i="47"/>
  <c r="Q33" i="47"/>
  <c r="P33" i="47"/>
  <c r="S31" i="47"/>
  <c r="R31" i="47"/>
  <c r="Q31" i="47"/>
  <c r="P31" i="47"/>
  <c r="S29" i="47"/>
  <c r="R29" i="47"/>
  <c r="Q29" i="47"/>
  <c r="P29" i="47"/>
  <c r="S27" i="47"/>
  <c r="R27" i="47"/>
  <c r="Q27" i="47"/>
  <c r="P27" i="47"/>
  <c r="S25" i="47"/>
  <c r="R25" i="47"/>
  <c r="Q25" i="47"/>
  <c r="P25" i="47"/>
  <c r="P15" i="47"/>
  <c r="Q15" i="47"/>
  <c r="R15" i="47"/>
  <c r="S15" i="47"/>
  <c r="S13" i="47"/>
  <c r="R13" i="47"/>
  <c r="Q13" i="47"/>
  <c r="P13" i="47"/>
  <c r="P11" i="47"/>
  <c r="Q11" i="47"/>
  <c r="R11" i="47"/>
  <c r="S11" i="47"/>
  <c r="S9" i="47"/>
  <c r="R9" i="47"/>
  <c r="Q9" i="47"/>
  <c r="P9" i="47"/>
  <c r="Q4" i="47" l="1"/>
  <c r="M4" i="47"/>
  <c r="I11" i="31"/>
  <c r="E12" i="31"/>
  <c r="M6" i="37"/>
  <c r="L14" i="47" s="1"/>
  <c r="N6" i="37"/>
  <c r="L12" i="47" s="1"/>
  <c r="M8" i="37"/>
  <c r="L34" i="47" s="1"/>
  <c r="N8" i="37"/>
  <c r="L32" i="47" s="1"/>
  <c r="M10" i="37"/>
  <c r="L38" i="47" s="1"/>
  <c r="N10" i="37"/>
  <c r="L36" i="47" s="1"/>
  <c r="M12" i="37"/>
  <c r="L58" i="47" s="1"/>
  <c r="N12" i="37"/>
  <c r="L56" i="47" s="1"/>
  <c r="M14" i="37"/>
  <c r="L62" i="47" s="1"/>
  <c r="N14" i="37"/>
  <c r="L60" i="47" s="1"/>
  <c r="M16" i="37"/>
  <c r="L82" i="47" s="1"/>
  <c r="N16" i="37"/>
  <c r="L80" i="47" s="1"/>
  <c r="M18" i="37"/>
  <c r="L86" i="47" s="1"/>
  <c r="N18" i="37"/>
  <c r="L84" i="47" s="1"/>
  <c r="M20" i="37"/>
  <c r="L106" i="47" s="1"/>
  <c r="N20" i="37"/>
  <c r="L104" i="47" s="1"/>
  <c r="M22" i="37"/>
  <c r="L110" i="47" s="1"/>
  <c r="N22" i="37"/>
  <c r="L108" i="47" s="1"/>
  <c r="M24" i="37"/>
  <c r="L130" i="47" s="1"/>
  <c r="N24" i="37"/>
  <c r="L128" i="47" s="1"/>
  <c r="M26" i="37"/>
  <c r="L138" i="47" s="1"/>
  <c r="N26" i="37"/>
  <c r="L136" i="47" s="1"/>
  <c r="M27" i="37"/>
  <c r="L134" i="47" s="1"/>
  <c r="N27" i="37"/>
  <c r="L132" i="47" s="1"/>
  <c r="M29" i="37"/>
  <c r="L142" i="47" s="1"/>
  <c r="N29" i="37"/>
  <c r="L140" i="47" s="1"/>
  <c r="M30" i="37"/>
  <c r="L154" i="47" s="1"/>
  <c r="N30" i="37"/>
  <c r="L152" i="47" s="1"/>
  <c r="M32" i="37"/>
  <c r="L158" i="47" s="1"/>
  <c r="N32" i="37"/>
  <c r="L156" i="47" s="1"/>
  <c r="M34" i="37"/>
  <c r="L178" i="47" s="1"/>
  <c r="N34" i="37"/>
  <c r="L176" i="47" s="1"/>
  <c r="M36" i="37"/>
  <c r="L182" i="47" s="1"/>
  <c r="N36" i="37"/>
  <c r="L180" i="47" s="1"/>
  <c r="M38" i="37"/>
  <c r="L202" i="47" s="1"/>
  <c r="N38" i="37"/>
  <c r="L200" i="47" s="1"/>
  <c r="M40" i="37"/>
  <c r="L206" i="47" s="1"/>
  <c r="N40" i="37"/>
  <c r="L204" i="47" s="1"/>
  <c r="M42" i="37"/>
  <c r="L226" i="47" s="1"/>
  <c r="N42" i="37"/>
  <c r="L224" i="47" s="1"/>
  <c r="M44" i="37"/>
  <c r="L230" i="47" s="1"/>
  <c r="N44" i="37"/>
  <c r="L228" i="47" s="1"/>
  <c r="M46" i="37"/>
  <c r="L250" i="47" s="1"/>
  <c r="N46" i="37"/>
  <c r="L248" i="47" s="1"/>
  <c r="M48" i="37"/>
  <c r="L254" i="47" s="1"/>
  <c r="N48" i="37"/>
  <c r="L252" i="47" s="1"/>
  <c r="M50" i="37"/>
  <c r="L274" i="47" s="1"/>
  <c r="N50" i="37"/>
  <c r="L272" i="47" s="1"/>
  <c r="M52" i="37"/>
  <c r="L278" i="47" s="1"/>
  <c r="N52" i="37"/>
  <c r="L276" i="47" s="1"/>
  <c r="M54" i="37"/>
  <c r="L298" i="47" s="1"/>
  <c r="N54" i="37"/>
  <c r="L296" i="47" s="1"/>
  <c r="M56" i="37"/>
  <c r="L302" i="47" s="1"/>
  <c r="N56" i="37"/>
  <c r="L300" i="47" s="1"/>
  <c r="M58" i="37"/>
  <c r="L322" i="47" s="1"/>
  <c r="N58" i="37"/>
  <c r="L320" i="47" s="1"/>
  <c r="M60" i="37"/>
  <c r="L326" i="47" s="1"/>
  <c r="N60" i="37"/>
  <c r="L324" i="47" s="1"/>
  <c r="N4" i="37"/>
  <c r="M4" i="37"/>
  <c r="K12" i="40" l="1"/>
  <c r="L8" i="47"/>
  <c r="K10" i="40"/>
  <c r="L10" i="47"/>
  <c r="F12" i="31"/>
  <c r="F10" i="31"/>
  <c r="F35" i="31"/>
  <c r="H11" i="31"/>
  <c r="H13" i="31"/>
  <c r="A5" i="46"/>
  <c r="F5" i="46"/>
  <c r="F4" i="31"/>
  <c r="L9" i="46"/>
  <c r="L8" i="46"/>
  <c r="L6" i="46"/>
  <c r="L5" i="46"/>
  <c r="G9" i="46"/>
  <c r="G8" i="46"/>
  <c r="G6" i="46"/>
  <c r="G5" i="46"/>
  <c r="F9" i="46"/>
  <c r="F8" i="46"/>
  <c r="F6" i="46"/>
  <c r="Q194" i="47" l="1"/>
  <c r="AB9" i="47"/>
  <c r="AB8" i="47"/>
  <c r="Q218" i="47" l="1"/>
  <c r="Q266" i="47"/>
  <c r="Q196" i="47"/>
  <c r="Q78" i="47"/>
  <c r="Q96" i="47"/>
  <c r="Q268" i="47"/>
  <c r="Q246" i="47"/>
  <c r="Q288" i="47"/>
  <c r="Q172" i="47"/>
  <c r="Q24" i="47"/>
  <c r="Q220" i="47"/>
  <c r="Q76" i="47"/>
  <c r="Q264" i="47"/>
  <c r="Q74" i="47"/>
  <c r="Q48" i="47"/>
  <c r="Q52" i="47"/>
  <c r="Q54" i="47"/>
  <c r="Q148" i="47"/>
  <c r="Q170" i="47"/>
  <c r="Q174" i="47"/>
  <c r="Q192" i="47"/>
  <c r="Q240" i="47"/>
  <c r="Q150" i="47"/>
  <c r="Q26" i="47"/>
  <c r="Q124" i="47"/>
  <c r="Q336" i="47"/>
  <c r="Q340" i="47"/>
  <c r="Q294" i="47"/>
  <c r="Q100" i="47"/>
  <c r="Q222" i="47"/>
  <c r="Q244" i="47"/>
  <c r="Q144" i="47"/>
  <c r="Q216" i="47"/>
  <c r="Q30" i="47"/>
  <c r="Q146" i="47"/>
  <c r="Q342" i="47"/>
  <c r="Q292" i="47"/>
  <c r="Q102" i="47"/>
  <c r="Q72" i="47"/>
  <c r="Q242" i="47"/>
  <c r="Q28" i="47"/>
  <c r="Q168" i="47"/>
  <c r="Q198" i="47"/>
  <c r="Q126" i="47"/>
  <c r="Q338" i="47"/>
  <c r="S48" i="47"/>
  <c r="Q120" i="47"/>
  <c r="Q98" i="47"/>
  <c r="R124" i="47"/>
  <c r="Q270" i="47"/>
  <c r="Q290" i="47"/>
  <c r="AD9" i="47"/>
  <c r="S246" i="47" s="1"/>
  <c r="AD8" i="47"/>
  <c r="AC9" i="47"/>
  <c r="R194" i="47" s="1"/>
  <c r="AC8" i="47"/>
  <c r="AA9" i="47"/>
  <c r="AA8" i="47"/>
  <c r="O4" i="47"/>
  <c r="S4" i="47" s="1"/>
  <c r="N4" i="47"/>
  <c r="R4" i="47" s="1"/>
  <c r="L4" i="47"/>
  <c r="P4" i="47" s="1"/>
  <c r="R338" i="47" l="1"/>
  <c r="S192" i="47"/>
  <c r="R126" i="47"/>
  <c r="S98" i="47"/>
  <c r="S242" i="47"/>
  <c r="R246" i="47"/>
  <c r="R146" i="47"/>
  <c r="S342" i="47"/>
  <c r="R98" i="47"/>
  <c r="R336" i="47"/>
  <c r="S76" i="47"/>
  <c r="S146" i="47"/>
  <c r="R72" i="47"/>
  <c r="R168" i="47"/>
  <c r="R294" i="47"/>
  <c r="R290" i="47"/>
  <c r="S340" i="47"/>
  <c r="S222" i="47"/>
  <c r="R96" i="47"/>
  <c r="R30" i="47"/>
  <c r="S72" i="47"/>
  <c r="R120" i="47"/>
  <c r="S120" i="47"/>
  <c r="R52" i="47"/>
  <c r="S124" i="47"/>
  <c r="S270" i="47"/>
  <c r="S220" i="47"/>
  <c r="R222" i="47"/>
  <c r="S294" i="47"/>
  <c r="S240" i="47"/>
  <c r="S100" i="47"/>
  <c r="S28" i="47"/>
  <c r="R100" i="47"/>
  <c r="R220" i="47"/>
  <c r="S126" i="47"/>
  <c r="S218" i="47"/>
  <c r="R150" i="47"/>
  <c r="S172" i="47"/>
  <c r="R24" i="47"/>
  <c r="S78" i="47"/>
  <c r="S288" i="47"/>
  <c r="S74" i="47"/>
  <c r="R240" i="47"/>
  <c r="P326" i="47"/>
  <c r="P278" i="47"/>
  <c r="P230" i="47"/>
  <c r="P182" i="47"/>
  <c r="P110" i="47"/>
  <c r="P62" i="47"/>
  <c r="P14" i="47"/>
  <c r="P128" i="47"/>
  <c r="P32" i="47"/>
  <c r="P324" i="47"/>
  <c r="P276" i="47"/>
  <c r="P228" i="47"/>
  <c r="P180" i="47"/>
  <c r="P108" i="47"/>
  <c r="P60" i="47"/>
  <c r="P12" i="47"/>
  <c r="P200" i="47"/>
  <c r="P322" i="47"/>
  <c r="P274" i="47"/>
  <c r="P226" i="47"/>
  <c r="P178" i="47"/>
  <c r="P106" i="47"/>
  <c r="P58" i="47"/>
  <c r="P10" i="47"/>
  <c r="P320" i="47"/>
  <c r="P272" i="47"/>
  <c r="P224" i="47"/>
  <c r="P176" i="47"/>
  <c r="P104" i="47"/>
  <c r="P56" i="47"/>
  <c r="P8" i="47"/>
  <c r="P152" i="47"/>
  <c r="P302" i="47"/>
  <c r="P254" i="47"/>
  <c r="P206" i="47"/>
  <c r="P158" i="47"/>
  <c r="P134" i="47"/>
  <c r="P86" i="47"/>
  <c r="P38" i="47"/>
  <c r="P80" i="47"/>
  <c r="P300" i="47"/>
  <c r="P252" i="47"/>
  <c r="P204" i="47"/>
  <c r="P156" i="47"/>
  <c r="P132" i="47"/>
  <c r="P84" i="47"/>
  <c r="P36" i="47"/>
  <c r="P298" i="47"/>
  <c r="P250" i="47"/>
  <c r="P202" i="47"/>
  <c r="P154" i="47"/>
  <c r="P130" i="47"/>
  <c r="P82" i="47"/>
  <c r="P34" i="47"/>
  <c r="P296" i="47"/>
  <c r="P248" i="47"/>
  <c r="P54" i="47"/>
  <c r="P100" i="47"/>
  <c r="P124" i="47"/>
  <c r="P72" i="47"/>
  <c r="P192" i="47"/>
  <c r="P170" i="47"/>
  <c r="P240" i="47"/>
  <c r="P146" i="47"/>
  <c r="P28" i="47"/>
  <c r="P290" i="47"/>
  <c r="P218" i="47"/>
  <c r="P96" i="47"/>
  <c r="P74" i="47"/>
  <c r="P148" i="47"/>
  <c r="P144" i="47"/>
  <c r="P266" i="47"/>
  <c r="P270" i="47"/>
  <c r="P98" i="47"/>
  <c r="P220" i="47"/>
  <c r="P244" i="47"/>
  <c r="P52" i="47"/>
  <c r="P48" i="47"/>
  <c r="P336" i="47"/>
  <c r="P242" i="47"/>
  <c r="P294" i="47"/>
  <c r="P102" i="47"/>
  <c r="P268" i="47"/>
  <c r="P342" i="47"/>
  <c r="P150" i="47"/>
  <c r="P216" i="47"/>
  <c r="P292" i="47"/>
  <c r="P194" i="47"/>
  <c r="P338" i="47"/>
  <c r="P172" i="47"/>
  <c r="P222" i="47"/>
  <c r="P168" i="47"/>
  <c r="P198" i="47"/>
  <c r="P30" i="47"/>
  <c r="P246" i="47"/>
  <c r="P288" i="47"/>
  <c r="P196" i="47"/>
  <c r="P174" i="47"/>
  <c r="P340" i="47"/>
  <c r="P76" i="47"/>
  <c r="P126" i="47"/>
  <c r="P264" i="47"/>
  <c r="P78" i="47"/>
  <c r="P120" i="47"/>
  <c r="P26" i="47"/>
  <c r="P24" i="47"/>
  <c r="S102" i="47"/>
  <c r="R218" i="47"/>
  <c r="R342" i="47"/>
  <c r="S194" i="47"/>
  <c r="S52" i="47"/>
  <c r="R198" i="47"/>
  <c r="S168" i="47"/>
  <c r="R216" i="47"/>
  <c r="R78" i="47"/>
  <c r="S198" i="47"/>
  <c r="S266" i="47"/>
  <c r="S268" i="47"/>
  <c r="S96" i="47"/>
  <c r="S54" i="47"/>
  <c r="R196" i="47"/>
  <c r="S148" i="47"/>
  <c r="R292" i="47"/>
  <c r="R48" i="47"/>
  <c r="R174" i="47"/>
  <c r="R172" i="47"/>
  <c r="R264" i="47"/>
  <c r="S216" i="47"/>
  <c r="R268" i="47"/>
  <c r="R288" i="47"/>
  <c r="S264" i="47"/>
  <c r="R102" i="47"/>
  <c r="R144" i="47"/>
  <c r="S290" i="47"/>
  <c r="S174" i="47"/>
  <c r="S336" i="47"/>
  <c r="R244" i="47"/>
  <c r="R170" i="47"/>
  <c r="R26" i="47"/>
  <c r="S170" i="47"/>
  <c r="R74" i="47"/>
  <c r="S196" i="47"/>
  <c r="S26" i="47"/>
  <c r="R54" i="47"/>
  <c r="S24" i="47"/>
  <c r="S144" i="47"/>
  <c r="R266" i="47"/>
  <c r="R148" i="47"/>
  <c r="R28" i="47"/>
  <c r="R242" i="47"/>
  <c r="S338" i="47"/>
  <c r="R76" i="47"/>
  <c r="S292" i="47"/>
  <c r="R270" i="47"/>
  <c r="R192" i="47"/>
  <c r="R340" i="47"/>
  <c r="S244" i="47"/>
  <c r="S30" i="47"/>
  <c r="S150" i="47"/>
  <c r="L4" i="40"/>
  <c r="I13" i="31"/>
  <c r="G13" i="31"/>
  <c r="G11" i="31"/>
  <c r="AA58" i="37"/>
  <c r="AB58" i="37"/>
  <c r="AA60" i="37"/>
  <c r="AB60" i="37"/>
  <c r="U60" i="37"/>
  <c r="V60" i="37"/>
  <c r="U58" i="37"/>
  <c r="V58" i="37"/>
  <c r="Q58" i="37"/>
  <c r="R58" i="37"/>
  <c r="Q60" i="37"/>
  <c r="R60" i="37"/>
  <c r="M326" i="47" l="1"/>
  <c r="Q326" i="47" s="1"/>
  <c r="O326" i="47"/>
  <c r="S326" i="47" s="1"/>
  <c r="M320" i="47"/>
  <c r="Q320" i="47" s="1"/>
  <c r="M322" i="47"/>
  <c r="Q322" i="47" s="1"/>
  <c r="N326" i="47"/>
  <c r="R326" i="47" s="1"/>
  <c r="M324" i="47"/>
  <c r="Q324" i="47" s="1"/>
  <c r="N324" i="47"/>
  <c r="R324" i="47" s="1"/>
  <c r="N320" i="47"/>
  <c r="R320" i="47" s="1"/>
  <c r="N322" i="47"/>
  <c r="R322" i="47" s="1"/>
  <c r="O320" i="47"/>
  <c r="S320" i="47" s="1"/>
  <c r="O322" i="47"/>
  <c r="S322" i="47" s="1"/>
  <c r="O324" i="47"/>
  <c r="S324" i="47" s="1"/>
  <c r="AA54" i="37"/>
  <c r="AB54" i="37"/>
  <c r="AA56" i="37"/>
  <c r="AB56" i="37"/>
  <c r="U54" i="37"/>
  <c r="V54" i="37"/>
  <c r="U56" i="37"/>
  <c r="V56" i="37"/>
  <c r="Q54" i="37"/>
  <c r="R54" i="37"/>
  <c r="Q56" i="37"/>
  <c r="R56" i="37"/>
  <c r="N298" i="47" l="1"/>
  <c r="R298" i="47" s="1"/>
  <c r="N302" i="47"/>
  <c r="R302" i="47" s="1"/>
  <c r="O300" i="47"/>
  <c r="S300" i="47" s="1"/>
  <c r="O298" i="47"/>
  <c r="S298" i="47" s="1"/>
  <c r="M300" i="47"/>
  <c r="Q300" i="47" s="1"/>
  <c r="M302" i="47"/>
  <c r="Q302" i="47" s="1"/>
  <c r="M296" i="47"/>
  <c r="Q296" i="47" s="1"/>
  <c r="M298" i="47"/>
  <c r="Q298" i="47" s="1"/>
  <c r="N296" i="47"/>
  <c r="R296" i="47" s="1"/>
  <c r="O302" i="47"/>
  <c r="S302" i="47" s="1"/>
  <c r="O296" i="47"/>
  <c r="S296" i="47" s="1"/>
  <c r="N300" i="47"/>
  <c r="R300" i="47" s="1"/>
  <c r="AA30" i="37"/>
  <c r="AB30" i="37"/>
  <c r="AA32" i="37"/>
  <c r="AB32" i="37"/>
  <c r="AA34" i="37"/>
  <c r="AB34" i="37"/>
  <c r="AA36" i="37"/>
  <c r="AB36" i="37"/>
  <c r="AA38" i="37"/>
  <c r="AB38" i="37"/>
  <c r="AA40" i="37"/>
  <c r="AB40" i="37"/>
  <c r="AA42" i="37"/>
  <c r="AB42" i="37"/>
  <c r="AA44" i="37"/>
  <c r="AB44" i="37"/>
  <c r="AA46" i="37"/>
  <c r="AB46" i="37"/>
  <c r="AA48" i="37"/>
  <c r="AB48" i="37"/>
  <c r="AA50" i="37"/>
  <c r="AB50" i="37"/>
  <c r="AA52" i="37"/>
  <c r="AB52" i="37"/>
  <c r="U30" i="37"/>
  <c r="V30" i="37"/>
  <c r="U32" i="37"/>
  <c r="V32" i="37"/>
  <c r="U34" i="37"/>
  <c r="V34" i="37"/>
  <c r="U36" i="37"/>
  <c r="V36" i="37"/>
  <c r="U38" i="37"/>
  <c r="V38" i="37"/>
  <c r="U40" i="37"/>
  <c r="V40" i="37"/>
  <c r="U42" i="37"/>
  <c r="V42" i="37"/>
  <c r="U44" i="37"/>
  <c r="V44" i="37"/>
  <c r="U46" i="37"/>
  <c r="V46" i="37"/>
  <c r="U48" i="37"/>
  <c r="V48" i="37"/>
  <c r="U50" i="37"/>
  <c r="V50" i="37"/>
  <c r="U52" i="37"/>
  <c r="V52" i="37"/>
  <c r="Q30" i="37"/>
  <c r="R30" i="37"/>
  <c r="Q32" i="37"/>
  <c r="R32" i="37"/>
  <c r="Q34" i="37"/>
  <c r="R34" i="37"/>
  <c r="Q36" i="37"/>
  <c r="R36" i="37"/>
  <c r="Q38" i="37"/>
  <c r="R38" i="37"/>
  <c r="Q40" i="37"/>
  <c r="R40" i="37"/>
  <c r="Q42" i="37"/>
  <c r="R42" i="37"/>
  <c r="Q44" i="37"/>
  <c r="R44" i="37"/>
  <c r="Q46" i="37"/>
  <c r="R46" i="37"/>
  <c r="Q48" i="37"/>
  <c r="R48" i="37"/>
  <c r="Q50" i="37"/>
  <c r="R50" i="37"/>
  <c r="Q52" i="37"/>
  <c r="R52" i="37"/>
  <c r="N152" i="47" l="1"/>
  <c r="R152" i="47" s="1"/>
  <c r="M204" i="47"/>
  <c r="Q204" i="47" s="1"/>
  <c r="O254" i="47"/>
  <c r="S254" i="47" s="1"/>
  <c r="O152" i="47"/>
  <c r="S152" i="47" s="1"/>
  <c r="N276" i="47"/>
  <c r="R276" i="47" s="1"/>
  <c r="M276" i="47"/>
  <c r="Q276" i="47" s="1"/>
  <c r="N278" i="47"/>
  <c r="R278" i="47" s="1"/>
  <c r="M278" i="47"/>
  <c r="Q278" i="47" s="1"/>
  <c r="M176" i="47"/>
  <c r="Q176" i="47" s="1"/>
  <c r="N248" i="47"/>
  <c r="R248" i="47" s="1"/>
  <c r="N204" i="47"/>
  <c r="R204" i="47" s="1"/>
  <c r="O156" i="47"/>
  <c r="S156" i="47" s="1"/>
  <c r="N206" i="47"/>
  <c r="R206" i="47" s="1"/>
  <c r="O158" i="47"/>
  <c r="S158" i="47" s="1"/>
  <c r="N200" i="47"/>
  <c r="R200" i="47" s="1"/>
  <c r="O248" i="47"/>
  <c r="S248" i="47" s="1"/>
  <c r="M200" i="47"/>
  <c r="Q200" i="47" s="1"/>
  <c r="N180" i="47"/>
  <c r="R180" i="47" s="1"/>
  <c r="O228" i="47"/>
  <c r="S228" i="47" s="1"/>
  <c r="M180" i="47"/>
  <c r="Q180" i="47" s="1"/>
  <c r="N182" i="47"/>
  <c r="R182" i="47" s="1"/>
  <c r="O230" i="47"/>
  <c r="S230" i="47" s="1"/>
  <c r="M182" i="47"/>
  <c r="Q182" i="47" s="1"/>
  <c r="N272" i="47"/>
  <c r="R272" i="47" s="1"/>
  <c r="N176" i="47"/>
  <c r="R176" i="47" s="1"/>
  <c r="O224" i="47"/>
  <c r="S224" i="47" s="1"/>
  <c r="M272" i="47"/>
  <c r="Q272" i="47" s="1"/>
  <c r="N178" i="47"/>
  <c r="R178" i="47" s="1"/>
  <c r="M178" i="47"/>
  <c r="Q178" i="47" s="1"/>
  <c r="N274" i="47"/>
  <c r="R274" i="47" s="1"/>
  <c r="O226" i="47"/>
  <c r="S226" i="47" s="1"/>
  <c r="M274" i="47"/>
  <c r="Q274" i="47" s="1"/>
  <c r="N252" i="47"/>
  <c r="R252" i="47" s="1"/>
  <c r="N156" i="47"/>
  <c r="R156" i="47" s="1"/>
  <c r="O204" i="47"/>
  <c r="S204" i="47" s="1"/>
  <c r="M252" i="47"/>
  <c r="Q252" i="47" s="1"/>
  <c r="M156" i="47"/>
  <c r="Q156" i="47" s="1"/>
  <c r="N254" i="47"/>
  <c r="R254" i="47" s="1"/>
  <c r="N158" i="47"/>
  <c r="R158" i="47" s="1"/>
  <c r="O206" i="47"/>
  <c r="S206" i="47" s="1"/>
  <c r="M254" i="47"/>
  <c r="Q254" i="47" s="1"/>
  <c r="M158" i="47"/>
  <c r="Q158" i="47" s="1"/>
  <c r="M248" i="47"/>
  <c r="Q248" i="47" s="1"/>
  <c r="N250" i="47"/>
  <c r="R250" i="47" s="1"/>
  <c r="M154" i="47"/>
  <c r="Q154" i="47" s="1"/>
  <c r="N230" i="47"/>
  <c r="R230" i="47" s="1"/>
  <c r="O278" i="47"/>
  <c r="S278" i="47" s="1"/>
  <c r="O182" i="47"/>
  <c r="S182" i="47" s="1"/>
  <c r="M230" i="47"/>
  <c r="Q230" i="47" s="1"/>
  <c r="O200" i="47"/>
  <c r="S200" i="47" s="1"/>
  <c r="M152" i="47"/>
  <c r="Q152" i="47" s="1"/>
  <c r="N154" i="47"/>
  <c r="R154" i="47" s="1"/>
  <c r="O202" i="47"/>
  <c r="S202" i="47" s="1"/>
  <c r="M250" i="47"/>
  <c r="Q250" i="47" s="1"/>
  <c r="N228" i="47"/>
  <c r="R228" i="47" s="1"/>
  <c r="O276" i="47"/>
  <c r="S276" i="47" s="1"/>
  <c r="O180" i="47"/>
  <c r="S180" i="47" s="1"/>
  <c r="M228" i="47"/>
  <c r="Q228" i="47" s="1"/>
  <c r="N224" i="47"/>
  <c r="R224" i="47" s="1"/>
  <c r="O272" i="47"/>
  <c r="S272" i="47" s="1"/>
  <c r="O176" i="47"/>
  <c r="S176" i="47" s="1"/>
  <c r="M224" i="47"/>
  <c r="Q224" i="47" s="1"/>
  <c r="N226" i="47"/>
  <c r="R226" i="47" s="1"/>
  <c r="O274" i="47"/>
  <c r="S274" i="47" s="1"/>
  <c r="O178" i="47"/>
  <c r="S178" i="47" s="1"/>
  <c r="M226" i="47"/>
  <c r="Q226" i="47" s="1"/>
  <c r="O252" i="47"/>
  <c r="S252" i="47" s="1"/>
  <c r="M206" i="47"/>
  <c r="Q206" i="47" s="1"/>
  <c r="N202" i="47"/>
  <c r="R202" i="47" s="1"/>
  <c r="O250" i="47"/>
  <c r="S250" i="47" s="1"/>
  <c r="O154" i="47"/>
  <c r="S154" i="47" s="1"/>
  <c r="M202" i="47"/>
  <c r="Q202" i="47" s="1"/>
  <c r="AA24" i="37"/>
  <c r="AB24" i="37"/>
  <c r="AA26" i="37"/>
  <c r="M138" i="47" s="1"/>
  <c r="AB26" i="37"/>
  <c r="M136" i="47" s="1"/>
  <c r="AA27" i="37"/>
  <c r="AB27" i="37"/>
  <c r="AA29" i="37"/>
  <c r="M142" i="47" s="1"/>
  <c r="AB29" i="37"/>
  <c r="M140" i="47" s="1"/>
  <c r="U24" i="37"/>
  <c r="V24" i="37"/>
  <c r="U26" i="37"/>
  <c r="O138" i="47" s="1"/>
  <c r="V26" i="37"/>
  <c r="O136" i="47" s="1"/>
  <c r="U27" i="37"/>
  <c r="V27" i="37"/>
  <c r="U29" i="37"/>
  <c r="O142" i="47" s="1"/>
  <c r="V29" i="37"/>
  <c r="O140" i="47" s="1"/>
  <c r="Q24" i="37"/>
  <c r="R24" i="37"/>
  <c r="Q26" i="37"/>
  <c r="N138" i="47" s="1"/>
  <c r="R26" i="37"/>
  <c r="N136" i="47" s="1"/>
  <c r="Q27" i="37"/>
  <c r="R27" i="37"/>
  <c r="Q29" i="37"/>
  <c r="N142" i="47" s="1"/>
  <c r="R29" i="37"/>
  <c r="N140" i="47" s="1"/>
  <c r="AB22" i="37"/>
  <c r="AA22" i="37"/>
  <c r="AB20" i="37"/>
  <c r="AA20" i="37"/>
  <c r="V22" i="37"/>
  <c r="U22" i="37"/>
  <c r="V20" i="37"/>
  <c r="U20" i="37"/>
  <c r="R22" i="37"/>
  <c r="Q22" i="37"/>
  <c r="R20" i="37"/>
  <c r="Q20" i="37"/>
  <c r="AB18" i="37"/>
  <c r="AA18" i="37"/>
  <c r="AB16" i="37"/>
  <c r="AA16" i="37"/>
  <c r="V18" i="37"/>
  <c r="U18" i="37"/>
  <c r="V16" i="37"/>
  <c r="U16" i="37"/>
  <c r="R18" i="37"/>
  <c r="Q18" i="37"/>
  <c r="R16" i="37"/>
  <c r="Q16" i="37"/>
  <c r="R14" i="37"/>
  <c r="Q14" i="37"/>
  <c r="AB10" i="37"/>
  <c r="AA10" i="37"/>
  <c r="V10" i="37"/>
  <c r="U10" i="37"/>
  <c r="R10" i="37"/>
  <c r="Q10" i="37"/>
  <c r="AB8" i="37"/>
  <c r="AA8" i="37"/>
  <c r="V8" i="37"/>
  <c r="U8" i="37"/>
  <c r="R8" i="37"/>
  <c r="Q8" i="37"/>
  <c r="AB14" i="37"/>
  <c r="AA14" i="37"/>
  <c r="V14" i="37"/>
  <c r="U14" i="37"/>
  <c r="AB12" i="37"/>
  <c r="AA12" i="37"/>
  <c r="V12" i="37"/>
  <c r="U12" i="37"/>
  <c r="R12" i="37"/>
  <c r="Q12" i="37"/>
  <c r="AB6" i="37"/>
  <c r="M12" i="47" s="1"/>
  <c r="AA6" i="37"/>
  <c r="M14" i="47" s="1"/>
  <c r="V6" i="37"/>
  <c r="O12" i="47" s="1"/>
  <c r="U6" i="37"/>
  <c r="O14" i="47" s="1"/>
  <c r="R6" i="37"/>
  <c r="N12" i="47" s="1"/>
  <c r="Q6" i="37"/>
  <c r="N14" i="47" s="1"/>
  <c r="AB4" i="37"/>
  <c r="M8" i="47" s="1"/>
  <c r="AA4" i="37"/>
  <c r="M10" i="47" s="1"/>
  <c r="V4" i="37"/>
  <c r="O8" i="47" s="1"/>
  <c r="U4" i="37"/>
  <c r="O10" i="47" s="1"/>
  <c r="R4" i="37"/>
  <c r="N8" i="47" s="1"/>
  <c r="Q4" i="37"/>
  <c r="N10" i="47" s="1"/>
  <c r="D18" i="31"/>
  <c r="C5" i="46"/>
  <c r="F36" i="31"/>
  <c r="U20" i="40"/>
  <c r="K20" i="40"/>
  <c r="J26" i="40"/>
  <c r="P35" i="31"/>
  <c r="T22" i="40"/>
  <c r="T28" i="40"/>
  <c r="T26" i="40"/>
  <c r="T24" i="40"/>
  <c r="J28" i="40"/>
  <c r="J24" i="40"/>
  <c r="J22" i="40"/>
  <c r="C6" i="46"/>
  <c r="K6" i="46" s="1"/>
  <c r="R24" i="40"/>
  <c r="H24" i="40"/>
  <c r="R28" i="40"/>
  <c r="R26" i="40"/>
  <c r="R22" i="40"/>
  <c r="H28" i="40"/>
  <c r="B9" i="46"/>
  <c r="B8" i="46"/>
  <c r="B6" i="46"/>
  <c r="A9" i="46"/>
  <c r="H9" i="46" s="1"/>
  <c r="A8" i="46"/>
  <c r="H8" i="46" s="1"/>
  <c r="A6" i="46"/>
  <c r="F18" i="31"/>
  <c r="D35" i="31"/>
  <c r="C9" i="46"/>
  <c r="C8" i="46"/>
  <c r="J8" i="46" s="1"/>
  <c r="T56" i="40"/>
  <c r="S56" i="40"/>
  <c r="J56" i="40"/>
  <c r="I56" i="40"/>
  <c r="N24" i="31"/>
  <c r="P25" i="31"/>
  <c r="P24" i="31"/>
  <c r="R23" i="31"/>
  <c r="D24" i="31"/>
  <c r="H24" i="31" s="1"/>
  <c r="J24" i="31" s="1"/>
  <c r="N35" i="31"/>
  <c r="N30" i="31"/>
  <c r="N18" i="31"/>
  <c r="F25" i="31"/>
  <c r="F24" i="31"/>
  <c r="I22" i="31"/>
  <c r="H26" i="40"/>
  <c r="H22" i="40"/>
  <c r="D4" i="38"/>
  <c r="C4" i="38"/>
  <c r="P18" i="31"/>
  <c r="P19" i="31"/>
  <c r="R17" i="31"/>
  <c r="D30" i="31"/>
  <c r="R16" i="40"/>
  <c r="R14" i="40"/>
  <c r="R12" i="40"/>
  <c r="R29" i="31"/>
  <c r="R34" i="31"/>
  <c r="M68" i="31" s="1"/>
  <c r="M12" i="31"/>
  <c r="E66" i="31"/>
  <c r="I33" i="31"/>
  <c r="I28" i="31"/>
  <c r="I16" i="31"/>
  <c r="F19" i="31"/>
  <c r="F31" i="31"/>
  <c r="F30" i="31"/>
  <c r="P31" i="31"/>
  <c r="P30" i="31"/>
  <c r="M67" i="31"/>
  <c r="D3" i="38"/>
  <c r="N12" i="39"/>
  <c r="P9" i="39"/>
  <c r="P7" i="39"/>
  <c r="P6" i="39"/>
  <c r="K8" i="46"/>
  <c r="J9" i="46" l="1"/>
  <c r="M9" i="46" s="1"/>
  <c r="T11" i="40" s="1"/>
  <c r="M62" i="47"/>
  <c r="Q62" i="47" s="1"/>
  <c r="N82" i="47"/>
  <c r="R82" i="47" s="1"/>
  <c r="M60" i="47"/>
  <c r="Q60" i="47" s="1"/>
  <c r="N80" i="47"/>
  <c r="R80" i="47" s="1"/>
  <c r="O104" i="47"/>
  <c r="S104" i="47" s="1"/>
  <c r="N34" i="47"/>
  <c r="R34" i="47" s="1"/>
  <c r="N86" i="47"/>
  <c r="R86" i="47" s="1"/>
  <c r="O110" i="47"/>
  <c r="S110" i="47" s="1"/>
  <c r="O132" i="47"/>
  <c r="S132" i="47" s="1"/>
  <c r="N32" i="47"/>
  <c r="R32" i="47" s="1"/>
  <c r="N84" i="47"/>
  <c r="R84" i="47" s="1"/>
  <c r="O108" i="47"/>
  <c r="S108" i="47" s="1"/>
  <c r="O134" i="47"/>
  <c r="S134" i="47" s="1"/>
  <c r="O34" i="47"/>
  <c r="S34" i="47" s="1"/>
  <c r="O82" i="47"/>
  <c r="S82" i="47" s="1"/>
  <c r="M106" i="47"/>
  <c r="Q106" i="47" s="1"/>
  <c r="O32" i="47"/>
  <c r="S32" i="47" s="1"/>
  <c r="O80" i="47"/>
  <c r="S80" i="47" s="1"/>
  <c r="M104" i="47"/>
  <c r="Q104" i="47" s="1"/>
  <c r="M38" i="47"/>
  <c r="Q38" i="47" s="1"/>
  <c r="O106" i="47"/>
  <c r="S106" i="47" s="1"/>
  <c r="M32" i="47"/>
  <c r="Q32" i="47" s="1"/>
  <c r="O84" i="47"/>
  <c r="S84" i="47" s="1"/>
  <c r="M108" i="47"/>
  <c r="Q108" i="47" s="1"/>
  <c r="O130" i="47"/>
  <c r="S130" i="47" s="1"/>
  <c r="O86" i="47"/>
  <c r="S86" i="47" s="1"/>
  <c r="O128" i="47"/>
  <c r="S128" i="47" s="1"/>
  <c r="N58" i="47"/>
  <c r="R58" i="47" s="1"/>
  <c r="M82" i="47"/>
  <c r="Q82" i="47" s="1"/>
  <c r="M58" i="47"/>
  <c r="Q58" i="47" s="1"/>
  <c r="M34" i="47"/>
  <c r="Q34" i="47" s="1"/>
  <c r="M110" i="47"/>
  <c r="Q110" i="47" s="1"/>
  <c r="N38" i="47"/>
  <c r="R38" i="47" s="1"/>
  <c r="N56" i="47"/>
  <c r="R56" i="47" s="1"/>
  <c r="N36" i="47"/>
  <c r="R36" i="47" s="1"/>
  <c r="M80" i="47"/>
  <c r="Q80" i="47" s="1"/>
  <c r="O58" i="47"/>
  <c r="S58" i="47" s="1"/>
  <c r="O38" i="47"/>
  <c r="S38" i="47" s="1"/>
  <c r="M86" i="47"/>
  <c r="Q86" i="47" s="1"/>
  <c r="N132" i="47"/>
  <c r="R132" i="47" s="1"/>
  <c r="M132" i="47"/>
  <c r="Q132" i="47" s="1"/>
  <c r="O56" i="47"/>
  <c r="S56" i="47" s="1"/>
  <c r="O36" i="47"/>
  <c r="S36" i="47" s="1"/>
  <c r="M84" i="47"/>
  <c r="Q84" i="47" s="1"/>
  <c r="N134" i="47"/>
  <c r="R134" i="47" s="1"/>
  <c r="M134" i="47"/>
  <c r="Q134" i="47" s="1"/>
  <c r="N106" i="47"/>
  <c r="R106" i="47" s="1"/>
  <c r="M56" i="47"/>
  <c r="Q56" i="47" s="1"/>
  <c r="M36" i="47"/>
  <c r="Q36" i="47" s="1"/>
  <c r="N104" i="47"/>
  <c r="R104" i="47" s="1"/>
  <c r="N62" i="47"/>
  <c r="R62" i="47" s="1"/>
  <c r="N110" i="47"/>
  <c r="R110" i="47" s="1"/>
  <c r="M128" i="47"/>
  <c r="Q128" i="47" s="1"/>
  <c r="O62" i="47"/>
  <c r="S62" i="47" s="1"/>
  <c r="N128" i="47"/>
  <c r="R128" i="47" s="1"/>
  <c r="O60" i="47"/>
  <c r="S60" i="47" s="1"/>
  <c r="N60" i="47"/>
  <c r="R60" i="47" s="1"/>
  <c r="N108" i="47"/>
  <c r="R108" i="47" s="1"/>
  <c r="N130" i="47"/>
  <c r="R130" i="47" s="1"/>
  <c r="M130" i="47"/>
  <c r="Q130" i="47" s="1"/>
  <c r="G18" i="31"/>
  <c r="I18" i="31" s="1"/>
  <c r="H35" i="31"/>
  <c r="J35" i="31" s="1"/>
  <c r="E68" i="31" s="1"/>
  <c r="H36" i="31"/>
  <c r="J36" i="31" s="1"/>
  <c r="E67" i="31" s="1"/>
  <c r="K5" i="46"/>
  <c r="H5" i="46"/>
  <c r="H6" i="46"/>
  <c r="J6" i="46"/>
  <c r="M6" i="46" s="1"/>
  <c r="O11" i="31" s="1"/>
  <c r="O13" i="31" s="1"/>
  <c r="J5" i="46"/>
  <c r="L10" i="40"/>
  <c r="K24" i="40" s="1" a="1"/>
  <c r="K24" i="40" s="1"/>
  <c r="M24" i="40" s="1"/>
  <c r="Q10" i="47"/>
  <c r="L12" i="40"/>
  <c r="K25" i="40" s="1" a="1"/>
  <c r="K25" i="40" s="1"/>
  <c r="P25" i="40" s="1"/>
  <c r="Q8" i="47"/>
  <c r="R14" i="47"/>
  <c r="M10" i="40"/>
  <c r="K26" i="40" s="1" a="1"/>
  <c r="K26" i="40" s="1"/>
  <c r="P26" i="40" s="1"/>
  <c r="R10" i="47"/>
  <c r="S14" i="47"/>
  <c r="M12" i="40"/>
  <c r="K27" i="40" s="1" a="1"/>
  <c r="K27" i="40" s="1"/>
  <c r="L27" i="40" s="1"/>
  <c r="R8" i="47"/>
  <c r="S12" i="47"/>
  <c r="R12" i="47"/>
  <c r="S10" i="47"/>
  <c r="N10" i="40"/>
  <c r="K28" i="40" s="1" a="1"/>
  <c r="K28" i="40" s="1"/>
  <c r="I57" i="40" s="1"/>
  <c r="Q14" i="47"/>
  <c r="N12" i="40"/>
  <c r="K29" i="40" s="1" a="1"/>
  <c r="K29" i="40" s="1"/>
  <c r="J57" i="40" s="1"/>
  <c r="S8" i="47"/>
  <c r="Q12" i="47"/>
  <c r="K9" i="46"/>
  <c r="N9" i="46" s="1"/>
  <c r="H18" i="31"/>
  <c r="J18" i="31" s="1"/>
  <c r="H19" i="31"/>
  <c r="J19" i="31" s="1"/>
  <c r="H12" i="31"/>
  <c r="G31" i="31" s="1"/>
  <c r="I31" i="31" s="1"/>
  <c r="I10" i="31"/>
  <c r="G35" i="31" s="1"/>
  <c r="D70" i="31" s="1"/>
  <c r="H10" i="31"/>
  <c r="G30" i="31" s="1"/>
  <c r="I30" i="31" s="1"/>
  <c r="I12" i="31"/>
  <c r="G36" i="31" s="1"/>
  <c r="D69" i="31" s="1"/>
  <c r="G10" i="31"/>
  <c r="G24" i="31" s="1"/>
  <c r="I24" i="31" s="1"/>
  <c r="G12" i="31"/>
  <c r="G25" i="31" s="1"/>
  <c r="I25" i="31" s="1"/>
  <c r="G19" i="31"/>
  <c r="I19" i="31" s="1"/>
  <c r="M8" i="46"/>
  <c r="N8" i="46" s="1"/>
  <c r="T13" i="40"/>
  <c r="T17" i="40"/>
  <c r="T15" i="40"/>
  <c r="H31" i="31"/>
  <c r="J31" i="31" s="1"/>
  <c r="K22" i="40" a="1"/>
  <c r="K22" i="40" s="1"/>
  <c r="O22" i="40" s="1"/>
  <c r="H30" i="31"/>
  <c r="J30" i="31" s="1"/>
  <c r="K23" i="40" a="1"/>
  <c r="K23" i="40" s="1"/>
  <c r="L23" i="40" s="1"/>
  <c r="H25" i="31"/>
  <c r="J25" i="31" s="1"/>
  <c r="D68" i="31" l="1"/>
  <c r="M5" i="46"/>
  <c r="N5" i="46" s="1"/>
  <c r="P5" i="46" s="1"/>
  <c r="P9" i="46"/>
  <c r="X11" i="40" s="1"/>
  <c r="P8" i="46"/>
  <c r="X10" i="40" s="1"/>
  <c r="O8" i="46"/>
  <c r="W10" i="40" s="1"/>
  <c r="O29" i="40"/>
  <c r="J61" i="40" s="1"/>
  <c r="O9" i="46"/>
  <c r="W11" i="40" s="1"/>
  <c r="P29" i="40"/>
  <c r="J62" i="40" s="1"/>
  <c r="M29" i="40"/>
  <c r="J59" i="40" s="1"/>
  <c r="L29" i="40"/>
  <c r="J58" i="40" s="1"/>
  <c r="N29" i="40"/>
  <c r="J60" i="40" s="1"/>
  <c r="M25" i="40"/>
  <c r="L25" i="40"/>
  <c r="O25" i="40"/>
  <c r="N25" i="40"/>
  <c r="N6" i="46"/>
  <c r="P11" i="31" s="1"/>
  <c r="T10" i="40"/>
  <c r="T12" i="40" s="1"/>
  <c r="M22" i="40"/>
  <c r="L22" i="40"/>
  <c r="N23" i="40"/>
  <c r="N22" i="40"/>
  <c r="D67" i="31"/>
  <c r="I35" i="31"/>
  <c r="E70" i="31" s="1"/>
  <c r="L28" i="40"/>
  <c r="I58" i="40" s="1"/>
  <c r="N28" i="40"/>
  <c r="I60" i="40" s="1"/>
  <c r="M28" i="40"/>
  <c r="I59" i="40" s="1"/>
  <c r="I36" i="31"/>
  <c r="E69" i="31" s="1"/>
  <c r="O28" i="40"/>
  <c r="I61" i="40" s="1"/>
  <c r="O27" i="40"/>
  <c r="O24" i="40"/>
  <c r="N26" i="40"/>
  <c r="U11" i="40"/>
  <c r="Q9" i="46"/>
  <c r="V11" i="40" s="1"/>
  <c r="L26" i="40"/>
  <c r="P23" i="40"/>
  <c r="M27" i="40"/>
  <c r="P24" i="40"/>
  <c r="M26" i="40"/>
  <c r="P27" i="40"/>
  <c r="O26" i="40"/>
  <c r="U10" i="40"/>
  <c r="Q8" i="46"/>
  <c r="V10" i="40" s="1"/>
  <c r="M23" i="40"/>
  <c r="N24" i="40"/>
  <c r="P22" i="40"/>
  <c r="O23" i="40"/>
  <c r="N27" i="40"/>
  <c r="P28" i="40"/>
  <c r="I62" i="40" s="1"/>
  <c r="L24" i="40"/>
  <c r="O5" i="46" l="1"/>
  <c r="R10" i="31" s="1"/>
  <c r="R12" i="31" s="1"/>
  <c r="R30" i="31" s="1"/>
  <c r="O10" i="31"/>
  <c r="O12" i="31" s="1"/>
  <c r="P6" i="46"/>
  <c r="S11" i="31" s="1"/>
  <c r="S10" i="31"/>
  <c r="S12" i="31" s="1"/>
  <c r="R35" i="31" s="1"/>
  <c r="N68" i="31" s="1"/>
  <c r="Q5" i="46"/>
  <c r="Q10" i="31" s="1"/>
  <c r="O6" i="46"/>
  <c r="R11" i="31" s="1"/>
  <c r="Q31" i="31" s="1"/>
  <c r="Q6" i="46"/>
  <c r="Q11" i="31" s="1"/>
  <c r="Q13" i="31" s="1"/>
  <c r="R25" i="31" s="1"/>
  <c r="T14" i="40"/>
  <c r="T16" i="40"/>
  <c r="P10" i="31"/>
  <c r="Q18" i="31" s="1"/>
  <c r="X16" i="40"/>
  <c r="X28" i="40" s="1"/>
  <c r="S60" i="40" s="1"/>
  <c r="U28" i="40"/>
  <c r="S57" i="40" s="1"/>
  <c r="X12" i="40"/>
  <c r="V28" i="40" s="1"/>
  <c r="S58" i="40" s="1"/>
  <c r="X14" i="40"/>
  <c r="W28" i="40" s="1"/>
  <c r="S59" i="40" s="1"/>
  <c r="U29" i="40"/>
  <c r="T57" i="40" s="1"/>
  <c r="X17" i="40"/>
  <c r="X29" i="40" s="1"/>
  <c r="T60" i="40" s="1"/>
  <c r="X13" i="40"/>
  <c r="V29" i="40" s="1"/>
  <c r="T58" i="40" s="1"/>
  <c r="X15" i="40"/>
  <c r="W29" i="40" s="1"/>
  <c r="T59" i="40" s="1"/>
  <c r="U27" i="40"/>
  <c r="W17" i="40"/>
  <c r="X27" i="40" s="1"/>
  <c r="W13" i="40"/>
  <c r="V27" i="40" s="1"/>
  <c r="W15" i="40"/>
  <c r="W27" i="40" s="1"/>
  <c r="V16" i="40"/>
  <c r="X24" i="40" s="1"/>
  <c r="V12" i="40"/>
  <c r="V24" i="40" s="1"/>
  <c r="V14" i="40"/>
  <c r="W24" i="40" s="1"/>
  <c r="U24" i="40"/>
  <c r="V15" i="40"/>
  <c r="W25" i="40" s="1"/>
  <c r="U25" i="40"/>
  <c r="V17" i="40"/>
  <c r="X25" i="40" s="1"/>
  <c r="V13" i="40"/>
  <c r="V25" i="40" s="1"/>
  <c r="P13" i="31"/>
  <c r="R19" i="31" s="1"/>
  <c r="Q19" i="31"/>
  <c r="U12" i="40"/>
  <c r="V22" i="40" s="1"/>
  <c r="U16" i="40"/>
  <c r="X22" i="40" s="1"/>
  <c r="U14" i="40"/>
  <c r="W22" i="40" s="1"/>
  <c r="U22" i="40"/>
  <c r="U15" i="40"/>
  <c r="W23" i="40" s="1"/>
  <c r="U13" i="40"/>
  <c r="V23" i="40" s="1"/>
  <c r="U17" i="40"/>
  <c r="X23" i="40" s="1"/>
  <c r="U23" i="40"/>
  <c r="W16" i="40"/>
  <c r="X26" i="40" s="1"/>
  <c r="W14" i="40"/>
  <c r="W26" i="40" s="1"/>
  <c r="U26" i="40"/>
  <c r="W12" i="40"/>
  <c r="V26" i="40" s="1"/>
  <c r="S13" i="31" l="1"/>
  <c r="R36" i="31" s="1"/>
  <c r="Q36" i="31"/>
  <c r="Q12" i="31"/>
  <c r="R24" i="31" s="1"/>
  <c r="Q24" i="31"/>
  <c r="Q35" i="31"/>
  <c r="N67" i="31" s="1"/>
  <c r="P12" i="31"/>
  <c r="R18" i="31" s="1"/>
  <c r="R13" i="31"/>
  <c r="R31" i="31" s="1"/>
  <c r="Q25" i="31"/>
  <c r="Q30" i="31"/>
  <c r="P50" i="47"/>
  <c r="R50" i="47"/>
  <c r="S50" i="47"/>
  <c r="Q50" i="47"/>
  <c r="Q122" i="47"/>
  <c r="R122" i="47"/>
  <c r="S122" i="47"/>
  <c r="P122" i="4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<sst xmlns="http://schemas.openxmlformats.org/spreadsheetml/2006/main" count="3613" uniqueCount="339">
  <si>
    <t>CASRN: 115-96-8</t>
  </si>
  <si>
    <t>The risk calculator workbook contains the following spreadsheets: Dashboard, Bridge Table, RR, Health Data, Inhalation Exposure, Dermal Crosswalk, Dermal Exposures, List Values, and Exposure Factors. The workbook is designed such that the user need only to use the first two spreadsheets which have tabs colored green and contain the results of the risk calculator i.e. the Dashboard and the RR. The remaining spreadsheets contain data storage and calculation spreadsheets.</t>
  </si>
  <si>
    <t>Tab(s)</t>
  </si>
  <si>
    <t>Description</t>
  </si>
  <si>
    <t>Dashboard</t>
  </si>
  <si>
    <t>The Dashboard is an interactive spreadsheet that allows a user to view exposure results for a selected Occupational Exposure Scenario (OES) and with a single PPE option of their choosing (i.e. respirator APF or Glove Protection Factor PF). The user can select the desired OES, PPE options and for dermal exposures the worker type (either an average adult or a female of reproductive age) from a drop-down menu. The exposure estimates are shown in the “Exposure Outputs” section for both inhalation and dermal routes and for high-end and central tendency exposures. For inhalation exposures the columns show results for both worker and ONU exposures. The “Risk Estimation” sections are separated into acute, chronic non-cancer, cancer, and sub-chronic non-cancer sections. For each section there is a brief description of the hazard endpoint and the hazard value i.e. HEC for non-cancer effects from inhalation exposure, HED for non-cancer effects from dermal exposure or a slope factor for cancer and the benchmark MOEs or benchmark values for cancer risk are provided to the right of the hazard value. The risk estimations show two columns of risk estimates: one column for exposures without PPE and one column for the results of the user-selected PPE option. These two columns allow the user to compare with and without PPE results side-by-side. The Dashboard automatically shades the cancer risk and MOE cells when they exceed the cancer benchmark or the benchmark MOE value.</t>
  </si>
  <si>
    <t>Bridge Table</t>
  </si>
  <si>
    <t xml:space="preserve">The table provides summary of the risk estimates for inhalation and dermal exposures for all occupational exposure scenarios.  Risk estimates that exceed the benchmark (i.e., MOEs less than the benchmark MOE or cancer risks greater than the cancer risk benchmark) are highlighted by bolding the number and shading the cell. </t>
  </si>
  <si>
    <t>RR</t>
  </si>
  <si>
    <t>The RR spreadsheet is an expanded version of the Dashboard. Similar to the Dashboard the RR allows the user to select a OES. However, the user also selects to see results for a worker or ONU and, instead of requiring a user to select a single exposure reduction option, the Heat Map displays all the PPE options. The RR spreadsheet has a column each for no PPE and each PPE option (i.e. APF or PF). The RR spreadsheet has a row for each toxicity endpoint, and each row shows the cancer risk or MOE values. Similar to the Dashboard, the RR spreadsheet shades results if the MOE or cancer risk exceeds the benchmark MOE or cancer benchmark.</t>
  </si>
  <si>
    <t>Health Data, Inhalation Exposure, Dermal Crosswalk, Dermal Exposures, List Values, and Exposure Factors</t>
  </si>
  <si>
    <t>As described above the remaining spreadsheets are data storage and calculation spreadsheets. These worksheets store the inhalation and dermal exposure estimates, health hazard values, and some of the risk calculations. The user does not need to access these worksheets to use the Dashboard and RR spreadsheets as described above; all results are automatically loaded into the Dashboard and RR spreadsheets.</t>
  </si>
  <si>
    <t>Condition of Use</t>
  </si>
  <si>
    <t>Throughput</t>
  </si>
  <si>
    <t>Scenario</t>
  </si>
  <si>
    <t>Personal Protective Equipment (PPE)</t>
  </si>
  <si>
    <t>Dermal</t>
  </si>
  <si>
    <t>Select the OES (select)</t>
  </si>
  <si>
    <t>Select the Throughput (select)</t>
  </si>
  <si>
    <t>Description/Number of Sites</t>
  </si>
  <si>
    <t>Respirator Protection Factor (Select)</t>
  </si>
  <si>
    <t>Glove Protection Factor (Select)</t>
  </si>
  <si>
    <t xml:space="preserve">Worker Type (select)
</t>
  </si>
  <si>
    <t>1 - Manufacturing - Import - Repackaging</t>
  </si>
  <si>
    <t>2,500-lb throughput</t>
  </si>
  <si>
    <t>Average Adult Worker</t>
  </si>
  <si>
    <t>8-hr TWA Exposures</t>
  </si>
  <si>
    <t>Exposure Outputs</t>
  </si>
  <si>
    <t>Category</t>
  </si>
  <si>
    <t>Exposure Level</t>
  </si>
  <si>
    <t>8-hour TWA</t>
  </si>
  <si>
    <t>Acute, Non-Cancer Exposures</t>
  </si>
  <si>
    <t>Subchronic, Non-Cancer Exposures</t>
  </si>
  <si>
    <t>Chronic, Non-Cancer Exposures</t>
  </si>
  <si>
    <t>Chronic, Cancer Exposures</t>
  </si>
  <si>
    <t>Potential Dose Rate</t>
  </si>
  <si>
    <t>Acute Retained Dose</t>
  </si>
  <si>
    <t>Subchronic Retained Dose, Non-Cancer</t>
  </si>
  <si>
    <t>Chronic Retained Dose, Non-Cancer</t>
  </si>
  <si>
    <t>Chronic Retained Dose, Cancer</t>
  </si>
  <si>
    <r>
      <t>C</t>
    </r>
    <r>
      <rPr>
        <b/>
        <vertAlign val="subscript"/>
        <sz val="10"/>
        <rFont val="Calibri"/>
        <family val="2"/>
        <scheme val="minor"/>
      </rPr>
      <t>TCEP, 8-hr TWA</t>
    </r>
    <r>
      <rPr>
        <b/>
        <sz val="10"/>
        <rFont val="Calibri"/>
        <family val="2"/>
        <scheme val="minor"/>
      </rPr>
      <t xml:space="preserve"> (mg/m</t>
    </r>
    <r>
      <rPr>
        <b/>
        <vertAlign val="superscript"/>
        <sz val="10"/>
        <rFont val="Calibri"/>
        <family val="2"/>
        <scheme val="minor"/>
      </rPr>
      <t>3</t>
    </r>
    <r>
      <rPr>
        <b/>
        <sz val="10"/>
        <rFont val="Calibri"/>
        <family val="2"/>
        <scheme val="minor"/>
      </rPr>
      <t>)</t>
    </r>
  </si>
  <si>
    <r>
      <t>AC</t>
    </r>
    <r>
      <rPr>
        <b/>
        <vertAlign val="subscript"/>
        <sz val="10"/>
        <rFont val="Calibri"/>
        <family val="2"/>
        <scheme val="minor"/>
      </rPr>
      <t>TCEP</t>
    </r>
    <r>
      <rPr>
        <b/>
        <sz val="10"/>
        <rFont val="Calibri"/>
        <family val="2"/>
        <scheme val="minor"/>
      </rPr>
      <t xml:space="preserve"> (mg/m</t>
    </r>
    <r>
      <rPr>
        <b/>
        <vertAlign val="superscript"/>
        <sz val="10"/>
        <rFont val="Calibri"/>
        <family val="2"/>
        <scheme val="minor"/>
      </rPr>
      <t>3</t>
    </r>
    <r>
      <rPr>
        <b/>
        <sz val="10"/>
        <rFont val="Calibri"/>
        <family val="2"/>
        <scheme val="minor"/>
      </rPr>
      <t>)</t>
    </r>
  </si>
  <si>
    <r>
      <t>ADC</t>
    </r>
    <r>
      <rPr>
        <b/>
        <vertAlign val="subscript"/>
        <sz val="10"/>
        <rFont val="Calibri"/>
        <family val="2"/>
        <scheme val="minor"/>
      </rPr>
      <t>TCEP, subchronic</t>
    </r>
    <r>
      <rPr>
        <b/>
        <sz val="10"/>
        <rFont val="Calibri"/>
        <family val="2"/>
        <scheme val="minor"/>
      </rPr>
      <t xml:space="preserve"> (mg/m</t>
    </r>
    <r>
      <rPr>
        <b/>
        <vertAlign val="superscript"/>
        <sz val="10"/>
        <rFont val="Calibri"/>
        <family val="2"/>
        <scheme val="minor"/>
      </rPr>
      <t>3</t>
    </r>
    <r>
      <rPr>
        <b/>
        <sz val="10"/>
        <rFont val="Calibri"/>
        <family val="2"/>
        <scheme val="minor"/>
      </rPr>
      <t>)</t>
    </r>
  </si>
  <si>
    <r>
      <t>ADC</t>
    </r>
    <r>
      <rPr>
        <b/>
        <vertAlign val="subscript"/>
        <sz val="10"/>
        <rFont val="Calibri"/>
        <family val="2"/>
        <scheme val="minor"/>
      </rPr>
      <t>TCEP</t>
    </r>
    <r>
      <rPr>
        <b/>
        <sz val="10"/>
        <rFont val="Calibri"/>
        <family val="2"/>
        <scheme val="minor"/>
      </rPr>
      <t xml:space="preserve"> (mg/m</t>
    </r>
    <r>
      <rPr>
        <b/>
        <vertAlign val="superscript"/>
        <sz val="10"/>
        <rFont val="Calibri"/>
        <family val="2"/>
        <scheme val="minor"/>
      </rPr>
      <t>3</t>
    </r>
    <r>
      <rPr>
        <b/>
        <sz val="10"/>
        <rFont val="Calibri"/>
        <family val="2"/>
        <scheme val="minor"/>
      </rPr>
      <t>)</t>
    </r>
  </si>
  <si>
    <r>
      <t>LADC</t>
    </r>
    <r>
      <rPr>
        <b/>
        <vertAlign val="subscript"/>
        <sz val="10"/>
        <rFont val="Calibri"/>
        <family val="2"/>
        <scheme val="minor"/>
      </rPr>
      <t>TCEP</t>
    </r>
    <r>
      <rPr>
        <b/>
        <sz val="10"/>
        <rFont val="Calibri"/>
        <family val="2"/>
        <scheme val="minor"/>
      </rPr>
      <t xml:space="preserve"> (mg/m</t>
    </r>
    <r>
      <rPr>
        <b/>
        <vertAlign val="superscript"/>
        <sz val="10"/>
        <rFont val="Calibri"/>
        <family val="2"/>
        <scheme val="minor"/>
      </rPr>
      <t>3</t>
    </r>
    <r>
      <rPr>
        <b/>
        <sz val="10"/>
        <rFont val="Calibri"/>
        <family val="2"/>
        <scheme val="minor"/>
      </rPr>
      <t>)</t>
    </r>
  </si>
  <si>
    <r>
      <t>APDR</t>
    </r>
    <r>
      <rPr>
        <b/>
        <vertAlign val="subscript"/>
        <sz val="10"/>
        <color theme="1"/>
        <rFont val="Calibri"/>
        <family val="2"/>
        <scheme val="minor"/>
      </rPr>
      <t>exp</t>
    </r>
    <r>
      <rPr>
        <b/>
        <sz val="10"/>
        <color theme="1"/>
        <rFont val="Calibri"/>
        <family val="2"/>
        <scheme val="minor"/>
      </rPr>
      <t xml:space="preserve"> (mg/day)</t>
    </r>
  </si>
  <si>
    <r>
      <t>ARD</t>
    </r>
    <r>
      <rPr>
        <b/>
        <vertAlign val="subscript"/>
        <sz val="10"/>
        <rFont val="Calibri"/>
        <family val="2"/>
        <scheme val="minor"/>
      </rPr>
      <t>TCEP</t>
    </r>
    <r>
      <rPr>
        <b/>
        <sz val="10"/>
        <rFont val="Calibri"/>
        <family val="2"/>
        <scheme val="minor"/>
      </rPr>
      <t xml:space="preserve"> (mg/kg-day)</t>
    </r>
  </si>
  <si>
    <r>
      <t>SCRD</t>
    </r>
    <r>
      <rPr>
        <b/>
        <vertAlign val="subscript"/>
        <sz val="10"/>
        <rFont val="Calibri"/>
        <family val="2"/>
        <scheme val="minor"/>
      </rPr>
      <t xml:space="preserve">TCEP </t>
    </r>
    <r>
      <rPr>
        <b/>
        <sz val="10"/>
        <rFont val="Calibri"/>
        <family val="2"/>
        <scheme val="minor"/>
      </rPr>
      <t>(mg/kg-day)</t>
    </r>
  </si>
  <si>
    <r>
      <t>CRD</t>
    </r>
    <r>
      <rPr>
        <b/>
        <vertAlign val="subscript"/>
        <sz val="10"/>
        <rFont val="Calibri"/>
        <family val="2"/>
        <scheme val="minor"/>
      </rPr>
      <t>TCEP</t>
    </r>
    <r>
      <rPr>
        <b/>
        <sz val="10"/>
        <rFont val="Calibri"/>
        <family val="2"/>
        <scheme val="minor"/>
      </rPr>
      <t xml:space="preserve"> (mg/kg-day)</t>
    </r>
  </si>
  <si>
    <r>
      <t>CRD</t>
    </r>
    <r>
      <rPr>
        <b/>
        <vertAlign val="subscript"/>
        <sz val="10"/>
        <rFont val="Calibri"/>
        <family val="2"/>
        <scheme val="minor"/>
      </rPr>
      <t xml:space="preserve">TCEP </t>
    </r>
    <r>
      <rPr>
        <b/>
        <sz val="10"/>
        <rFont val="Calibri"/>
        <family val="2"/>
        <scheme val="minor"/>
      </rPr>
      <t>(mg/kg-day)</t>
    </r>
  </si>
  <si>
    <t>Worker</t>
  </si>
  <si>
    <t>High End</t>
  </si>
  <si>
    <t>Worker, No Gloves</t>
  </si>
  <si>
    <t>ONU</t>
  </si>
  <si>
    <t>Central Tendency</t>
  </si>
  <si>
    <t>Risk Estimation for Acute Inhalation Exposures</t>
  </si>
  <si>
    <t>Risk Estimation for Acute Dermal Exposures</t>
  </si>
  <si>
    <t>Health Effect, Endpoint and Study</t>
  </si>
  <si>
    <r>
      <t>HEC (mg/m</t>
    </r>
    <r>
      <rPr>
        <b/>
        <vertAlign val="superscript"/>
        <sz val="10"/>
        <rFont val="Calibri"/>
        <family val="2"/>
        <scheme val="minor"/>
      </rPr>
      <t>3</t>
    </r>
    <r>
      <rPr>
        <b/>
        <sz val="10"/>
        <rFont val="Calibri"/>
        <family val="2"/>
        <scheme val="minor"/>
      </rPr>
      <t>)</t>
    </r>
  </si>
  <si>
    <t>Benchmark MOE 
(= Total UF)</t>
  </si>
  <si>
    <t>Acute Exposure Estimates</t>
  </si>
  <si>
    <t>HED (mg/kg)</t>
  </si>
  <si>
    <t>Gloved Scenarios</t>
  </si>
  <si>
    <t>Worker MOE</t>
  </si>
  <si>
    <t>ONU MOE</t>
  </si>
  <si>
    <t>Worker MOE, No Gloves</t>
  </si>
  <si>
    <t>Tox1</t>
  </si>
  <si>
    <t>Risk Estimation for Subchronic, Non-Cancer Inhalation Exposures</t>
  </si>
  <si>
    <t>Risk Estimation for Sub-chronic, Non-Cancer Dermal Exposures</t>
  </si>
  <si>
    <t>Sub-Chronic Exposure Estimates</t>
  </si>
  <si>
    <t>Sub-chronic Exposure Estimates</t>
  </si>
  <si>
    <t>Tox2</t>
  </si>
  <si>
    <t>Reproductive toxicity</t>
  </si>
  <si>
    <t>Risk Estimation for Chronic, Non-Cancer Inhalation Exposures</t>
  </si>
  <si>
    <t>Risk Estimation for Chronic, Non-Cancer Dermal Exposures</t>
  </si>
  <si>
    <t>Chronic Exposure Estimates</t>
  </si>
  <si>
    <t>Cancer Risks</t>
  </si>
  <si>
    <t>Chronic Cancer Exposure Estimates</t>
  </si>
  <si>
    <t>Risk Estimate</t>
  </si>
  <si>
    <r>
      <t>IUR (mg/m</t>
    </r>
    <r>
      <rPr>
        <b/>
        <vertAlign val="superscript"/>
        <sz val="10"/>
        <color theme="1"/>
        <rFont val="Calibri"/>
        <family val="2"/>
        <scheme val="minor"/>
      </rPr>
      <t>3</t>
    </r>
    <r>
      <rPr>
        <b/>
        <sz val="10"/>
        <color theme="1"/>
        <rFont val="Calibri"/>
        <family val="2"/>
        <scheme val="minor"/>
      </rPr>
      <t>)</t>
    </r>
    <r>
      <rPr>
        <b/>
        <vertAlign val="superscript"/>
        <sz val="10"/>
        <color theme="1"/>
        <rFont val="Calibri"/>
        <family val="2"/>
        <scheme val="minor"/>
      </rPr>
      <t>-1</t>
    </r>
  </si>
  <si>
    <t>Benchmark</t>
  </si>
  <si>
    <t xml:space="preserve">Worker </t>
  </si>
  <si>
    <t xml:space="preserve">ONU </t>
  </si>
  <si>
    <r>
      <t>CSF (mg/kg-d)</t>
    </r>
    <r>
      <rPr>
        <b/>
        <vertAlign val="superscript"/>
        <sz val="10"/>
        <color theme="1"/>
        <rFont val="Calibri"/>
        <family val="2"/>
        <scheme val="minor"/>
      </rPr>
      <t>-1</t>
    </r>
  </si>
  <si>
    <t>Tox3</t>
  </si>
  <si>
    <t>Inhalation Cancer Risk Estimates</t>
  </si>
  <si>
    <t>Cancer Risk</t>
  </si>
  <si>
    <t>Dermal Cancer Risk Estimates</t>
  </si>
  <si>
    <t>High-End</t>
  </si>
  <si>
    <t>ONU: 50th Percentile</t>
  </si>
  <si>
    <t>ONU: 95th Percentile</t>
  </si>
  <si>
    <t>Worker: 50th Percentile</t>
  </si>
  <si>
    <t>Worker: 95th Percentile</t>
  </si>
  <si>
    <t>Summary of Risk Estimates for Inhalation and Dermal Exposures to Workers by Condition of Use</t>
  </si>
  <si>
    <t>Benchmarks</t>
  </si>
  <si>
    <t>OES Group</t>
  </si>
  <si>
    <t>Population</t>
  </si>
  <si>
    <t>Exposure Route</t>
  </si>
  <si>
    <t>Life Cycle Stage/ Category</t>
  </si>
  <si>
    <t>Subcategory</t>
  </si>
  <si>
    <t>Occupational Exposure Scenario</t>
  </si>
  <si>
    <t>Exposure Route and Duration</t>
  </si>
  <si>
    <t>Risk Estimates for No PPE</t>
  </si>
  <si>
    <t>Risk Estimates with PPE</t>
  </si>
  <si>
    <t>Select the PPE APF or PF for Each OES, Receptor, and Endpoint</t>
  </si>
  <si>
    <t>Subchronic, Non-Cancer (bench-mark MOE = 30)</t>
  </si>
  <si>
    <t>Chronic Non-cancer (bench­mark MOE = 30)</t>
  </si>
  <si>
    <t>Acute Non-cancer</t>
  </si>
  <si>
    <t>Subchronic Non-Cancer</t>
  </si>
  <si>
    <t>Chronic Non-cancer</t>
  </si>
  <si>
    <t>Cancer</t>
  </si>
  <si>
    <t>Inhalation</t>
  </si>
  <si>
    <t>Manufacturing / Import</t>
  </si>
  <si>
    <t>Import</t>
  </si>
  <si>
    <t>Manufacturing - Import - Repackaging</t>
  </si>
  <si>
    <t>Inhalation
8-hr TWA</t>
  </si>
  <si>
    <t>APF</t>
  </si>
  <si>
    <t>25,000-lb throughput</t>
  </si>
  <si>
    <t>N/A</t>
  </si>
  <si>
    <t>PF</t>
  </si>
  <si>
    <t>2a</t>
  </si>
  <si>
    <t>Processing / Processing - incorporation into formulation, mixture or reaction product</t>
  </si>
  <si>
    <t>Flame retardant in: Paint and coating manufacturing</t>
  </si>
  <si>
    <t>Processing - Incorporation - Paints &amp; Coatings - 1-part coatings</t>
  </si>
  <si>
    <t>2b</t>
  </si>
  <si>
    <t>Processing - Incorporation - Paints &amp; Coatings - 2-part reactive coatings</t>
  </si>
  <si>
    <t>Flame retardant in: Polymers (e.g. polyester resin)</t>
  </si>
  <si>
    <t>Formulation of TCEP into 2-part Reactive Resins</t>
  </si>
  <si>
    <t>Processing / Processing - incorporation into article</t>
  </si>
  <si>
    <t>Flame retardant (e.g., aircraft interiors</t>
  </si>
  <si>
    <t>Processing into 2-part Resin Article</t>
  </si>
  <si>
    <t>Processing / Recycling</t>
  </si>
  <si>
    <t>Recycling</t>
  </si>
  <si>
    <t>Processing - Recycling Electronics</t>
  </si>
  <si>
    <t>6a</t>
  </si>
  <si>
    <t>Commercial Use / Paints and Coatings</t>
  </si>
  <si>
    <t>Paints and Coatings</t>
  </si>
  <si>
    <t>Commercial Use - Paints &amp; Coatings - Spray (1-part coatings, 1-day application)</t>
  </si>
  <si>
    <t>6b</t>
  </si>
  <si>
    <t>Commercial Use - Paints &amp; Coatings - Spray (1-part coatings, 2-day application)</t>
  </si>
  <si>
    <t>6c</t>
  </si>
  <si>
    <t>Commercial Use - Paints &amp; Coatings - Spray (1-part coatings, 250-day application)</t>
  </si>
  <si>
    <t>6d</t>
  </si>
  <si>
    <t>Commercial Use - Paints &amp; Coatings - Spray (2-part reactive coatings, 1-day application)</t>
  </si>
  <si>
    <t>6e</t>
  </si>
  <si>
    <t>Commercial Use - Paints &amp; Coatings - Spray (2-part reactive coatings, 2-day application)</t>
  </si>
  <si>
    <t>6f</t>
  </si>
  <si>
    <t>Commercial Use - Paints &amp; Coatings - Spray (2-part reactive coatings, 250-day application)</t>
  </si>
  <si>
    <t>Industrial Use / Other Use</t>
  </si>
  <si>
    <t>Aircraft interiors and aerospace products</t>
  </si>
  <si>
    <t>Industrial/Commercial Use - Installation of Aerospace Products*</t>
  </si>
  <si>
    <t>--</t>
  </si>
  <si>
    <t>Commercial Use / Other Use</t>
  </si>
  <si>
    <t>e.g., Laboratory Chemicals</t>
  </si>
  <si>
    <t>Laboratory Chemicals</t>
  </si>
  <si>
    <t>N/A = not assessed because ONUs are not assumed to be wearing PPE</t>
  </si>
  <si>
    <t>- - = exposure data were not available</t>
  </si>
  <si>
    <t>*Only one data point identified. However, different parameters are used for calculating high-end and central tendency ADC and LADC. Therefore, a high-end and central tendency are presented based on the single data point.</t>
  </si>
  <si>
    <t>Inhalation Exposure</t>
  </si>
  <si>
    <t>Occupational Exposure Scenario (OES)</t>
  </si>
  <si>
    <t>Dermal Exposure</t>
  </si>
  <si>
    <t>Exposure Type 
(select)</t>
  </si>
  <si>
    <t>Worker Type
(Select)</t>
  </si>
  <si>
    <t>Sub-chronic Retained Dose, Non-Cancer</t>
  </si>
  <si>
    <r>
      <t>SCRD</t>
    </r>
    <r>
      <rPr>
        <b/>
        <vertAlign val="subscript"/>
        <sz val="10"/>
        <rFont val="Calibri"/>
        <family val="2"/>
        <scheme val="minor"/>
      </rPr>
      <t>TCEP</t>
    </r>
    <r>
      <rPr>
        <b/>
        <sz val="10"/>
        <rFont val="Calibri"/>
        <family val="2"/>
        <scheme val="minor"/>
      </rPr>
      <t xml:space="preserve"> (mg/kg-day)</t>
    </r>
  </si>
  <si>
    <t>Risk Estimation for Inhalation Exposures</t>
  </si>
  <si>
    <t>Risk Estimation for Dermal Exposures</t>
  </si>
  <si>
    <t>Risk Type</t>
  </si>
  <si>
    <t>Toxicity Endpoint</t>
  </si>
  <si>
    <t>Study</t>
  </si>
  <si>
    <t>No Respirator</t>
  </si>
  <si>
    <t>APF = 10</t>
  </si>
  <si>
    <t>APF = 25</t>
  </si>
  <si>
    <t>APF = 50</t>
  </si>
  <si>
    <t>APF = 1,000</t>
  </si>
  <si>
    <t>APF = 10,000</t>
  </si>
  <si>
    <t>No Gloves</t>
  </si>
  <si>
    <t>PF = 5</t>
  </si>
  <si>
    <t>PF = 10</t>
  </si>
  <si>
    <t>PF = 20</t>
  </si>
  <si>
    <t>Acute, Non-Cancer</t>
  </si>
  <si>
    <t>Sub-chronic, Non-Cancer</t>
  </si>
  <si>
    <t>{Chen, 2015, xxx@@author-year}</t>
  </si>
  <si>
    <t>Chronic, Non-Cancer</t>
  </si>
  <si>
    <t>Chronic, Cancer</t>
  </si>
  <si>
    <t>No Gloves 
(PF = 1)</t>
  </si>
  <si>
    <t>Protective Gloves 
(PF = 5)</t>
  </si>
  <si>
    <t>Protective Gloves 
(Commercial uses, PF = 10)</t>
  </si>
  <si>
    <t>=</t>
  </si>
  <si>
    <t>Protective Gloves 
(Industrial uses, PF = 20)</t>
  </si>
  <si>
    <t>Look-up Values and Risk Parameter Values</t>
  </si>
  <si>
    <t>Acute and Chronic, Non-Cancer Parameters</t>
  </si>
  <si>
    <t>Cancer Parameters</t>
  </si>
  <si>
    <t>Look-up Table Values</t>
  </si>
  <si>
    <t>Code</t>
  </si>
  <si>
    <r>
      <t>HEC (mg/m</t>
    </r>
    <r>
      <rPr>
        <b/>
        <vertAlign val="superscript"/>
        <sz val="11"/>
        <color theme="1"/>
        <rFont val="Calibri"/>
        <family val="2"/>
        <scheme val="minor"/>
      </rPr>
      <t>3</t>
    </r>
    <r>
      <rPr>
        <b/>
        <sz val="11"/>
        <color theme="1"/>
        <rFont val="Calibri"/>
        <family val="2"/>
      </rPr>
      <t>)</t>
    </r>
  </si>
  <si>
    <t>HED (mg/kg-d)</t>
  </si>
  <si>
    <t>Benchmark MOE</t>
  </si>
  <si>
    <r>
      <t>IUR (mg/m</t>
    </r>
    <r>
      <rPr>
        <b/>
        <vertAlign val="superscript"/>
        <sz val="11"/>
        <color theme="1"/>
        <rFont val="Calibri"/>
        <family val="2"/>
        <scheme val="minor"/>
      </rPr>
      <t>3</t>
    </r>
    <r>
      <rPr>
        <b/>
        <sz val="11"/>
        <color theme="1"/>
        <rFont val="Calibri"/>
        <family val="2"/>
        <scheme val="minor"/>
      </rPr>
      <t>)</t>
    </r>
    <r>
      <rPr>
        <b/>
        <vertAlign val="superscript"/>
        <sz val="11"/>
        <color theme="1"/>
        <rFont val="Calibri"/>
        <family val="2"/>
        <scheme val="minor"/>
      </rPr>
      <t>-1</t>
    </r>
  </si>
  <si>
    <r>
      <t>CSF (mg/kg-d)</t>
    </r>
    <r>
      <rPr>
        <b/>
        <vertAlign val="superscript"/>
        <sz val="11"/>
        <color theme="1"/>
        <rFont val="Calibri"/>
        <family val="2"/>
        <scheme val="minor"/>
      </rPr>
      <t>-1</t>
    </r>
  </si>
  <si>
    <t>Exposure Percentiles</t>
  </si>
  <si>
    <t>Target Cancer Risk Level</t>
  </si>
  <si>
    <t>Short-term (Sub-chronic) and Chronic, Non-Cancer</t>
  </si>
  <si>
    <t>HEC conversion factor</t>
  </si>
  <si>
    <t>ppm/mg/m3</t>
  </si>
  <si>
    <t>TCEP MW</t>
  </si>
  <si>
    <t>g/mol</t>
  </si>
  <si>
    <t>Molar Volume</t>
  </si>
  <si>
    <t>L/mol</t>
  </si>
  <si>
    <t>Exposure Frequency</t>
  </si>
  <si>
    <t>Eight Hour  TWA Exposures</t>
  </si>
  <si>
    <t>24-hr Acute Exposures</t>
  </si>
  <si>
    <t>COU Group (Internal)</t>
  </si>
  <si>
    <t>Exposure (day/yr)</t>
  </si>
  <si>
    <r>
      <t>Pre-adjusted AC</t>
    </r>
    <r>
      <rPr>
        <b/>
        <vertAlign val="subscript"/>
        <sz val="10"/>
        <rFont val="Calibri"/>
        <family val="2"/>
        <scheme val="minor"/>
      </rPr>
      <t>TCEP</t>
    </r>
    <r>
      <rPr>
        <b/>
        <sz val="10"/>
        <rFont val="Calibri"/>
        <family val="2"/>
        <scheme val="minor"/>
      </rPr>
      <t xml:space="preserve"> (mg/m</t>
    </r>
    <r>
      <rPr>
        <b/>
        <vertAlign val="superscript"/>
        <sz val="10"/>
        <rFont val="Calibri"/>
        <family val="2"/>
        <scheme val="minor"/>
      </rPr>
      <t>3</t>
    </r>
    <r>
      <rPr>
        <b/>
        <sz val="10"/>
        <rFont val="Calibri"/>
        <family val="2"/>
        <scheme val="minor"/>
      </rPr>
      <t>)</t>
    </r>
  </si>
  <si>
    <r>
      <t>Breathing Rate adjusted AC</t>
    </r>
    <r>
      <rPr>
        <b/>
        <vertAlign val="subscript"/>
        <sz val="10"/>
        <rFont val="Calibri"/>
        <family val="2"/>
        <scheme val="minor"/>
      </rPr>
      <t>TCEP</t>
    </r>
    <r>
      <rPr>
        <b/>
        <sz val="10"/>
        <rFont val="Calibri"/>
        <family val="2"/>
        <scheme val="minor"/>
      </rPr>
      <t xml:space="preserve"> (mg/m</t>
    </r>
    <r>
      <rPr>
        <b/>
        <vertAlign val="superscript"/>
        <sz val="10"/>
        <rFont val="Calibri"/>
        <family val="2"/>
        <scheme val="minor"/>
      </rPr>
      <t>3</t>
    </r>
    <r>
      <rPr>
        <b/>
        <sz val="10"/>
        <rFont val="Calibri"/>
        <family val="2"/>
        <scheme val="minor"/>
      </rPr>
      <t>)</t>
    </r>
  </si>
  <si>
    <r>
      <t>Pre-adjusted ADC</t>
    </r>
    <r>
      <rPr>
        <b/>
        <vertAlign val="subscript"/>
        <sz val="10"/>
        <rFont val="Calibri"/>
        <family val="2"/>
        <scheme val="minor"/>
      </rPr>
      <t>TCEP</t>
    </r>
    <r>
      <rPr>
        <b/>
        <sz val="10"/>
        <rFont val="Calibri"/>
        <family val="2"/>
        <scheme val="minor"/>
      </rPr>
      <t xml:space="preserve"> (mg/m</t>
    </r>
    <r>
      <rPr>
        <b/>
        <vertAlign val="superscript"/>
        <sz val="10"/>
        <rFont val="Calibri"/>
        <family val="2"/>
        <scheme val="minor"/>
      </rPr>
      <t>3</t>
    </r>
    <r>
      <rPr>
        <b/>
        <sz val="10"/>
        <rFont val="Calibri"/>
        <family val="2"/>
        <scheme val="minor"/>
      </rPr>
      <t>)</t>
    </r>
  </si>
  <si>
    <r>
      <t>Breathing Rate adjusted ADC</t>
    </r>
    <r>
      <rPr>
        <b/>
        <vertAlign val="subscript"/>
        <sz val="10"/>
        <rFont val="Calibri"/>
        <family val="2"/>
        <scheme val="minor"/>
      </rPr>
      <t>TCEP</t>
    </r>
    <r>
      <rPr>
        <b/>
        <sz val="10"/>
        <rFont val="Calibri"/>
        <family val="2"/>
        <scheme val="minor"/>
      </rPr>
      <t xml:space="preserve"> (mg/m</t>
    </r>
    <r>
      <rPr>
        <b/>
        <vertAlign val="superscript"/>
        <sz val="10"/>
        <rFont val="Calibri"/>
        <family val="2"/>
        <scheme val="minor"/>
      </rPr>
      <t>3</t>
    </r>
    <r>
      <rPr>
        <b/>
        <sz val="10"/>
        <rFont val="Calibri"/>
        <family val="2"/>
        <scheme val="minor"/>
      </rPr>
      <t>)</t>
    </r>
  </si>
  <si>
    <r>
      <t>Pre-adjusted LADC</t>
    </r>
    <r>
      <rPr>
        <b/>
        <vertAlign val="subscript"/>
        <sz val="10"/>
        <rFont val="Calibri"/>
        <family val="2"/>
        <scheme val="minor"/>
      </rPr>
      <t>TCEP</t>
    </r>
    <r>
      <rPr>
        <b/>
        <sz val="10"/>
        <rFont val="Calibri"/>
        <family val="2"/>
        <scheme val="minor"/>
      </rPr>
      <t xml:space="preserve"> (mg/m</t>
    </r>
    <r>
      <rPr>
        <b/>
        <vertAlign val="superscript"/>
        <sz val="10"/>
        <rFont val="Calibri"/>
        <family val="2"/>
        <scheme val="minor"/>
      </rPr>
      <t>3</t>
    </r>
    <r>
      <rPr>
        <b/>
        <sz val="10"/>
        <rFont val="Calibri"/>
        <family val="2"/>
        <scheme val="minor"/>
      </rPr>
      <t>)</t>
    </r>
  </si>
  <si>
    <r>
      <t>Breathing Rate adjusted LADC</t>
    </r>
    <r>
      <rPr>
        <b/>
        <vertAlign val="subscript"/>
        <sz val="10"/>
        <rFont val="Calibri"/>
        <family val="2"/>
        <scheme val="minor"/>
      </rPr>
      <t>TCEP</t>
    </r>
    <r>
      <rPr>
        <b/>
        <sz val="10"/>
        <rFont val="Calibri"/>
        <family val="2"/>
        <scheme val="minor"/>
      </rPr>
      <t xml:space="preserve"> (mg/m</t>
    </r>
    <r>
      <rPr>
        <b/>
        <vertAlign val="superscript"/>
        <sz val="10"/>
        <rFont val="Calibri"/>
        <family val="2"/>
        <scheme val="minor"/>
      </rPr>
      <t>3</t>
    </r>
    <r>
      <rPr>
        <b/>
        <sz val="10"/>
        <rFont val="Calibri"/>
        <family val="2"/>
        <scheme val="minor"/>
      </rPr>
      <t>)</t>
    </r>
  </si>
  <si>
    <t>Subchronic Exposure Days (day/yr)</t>
  </si>
  <si>
    <r>
      <t>Pre-adjusted ADC</t>
    </r>
    <r>
      <rPr>
        <b/>
        <vertAlign val="subscript"/>
        <sz val="10"/>
        <rFont val="Calibri"/>
        <family val="2"/>
        <scheme val="minor"/>
      </rPr>
      <t>TCEP, subchronic</t>
    </r>
    <r>
      <rPr>
        <b/>
        <sz val="10"/>
        <rFont val="Calibri"/>
        <family val="2"/>
        <scheme val="minor"/>
      </rPr>
      <t xml:space="preserve"> (mg/m</t>
    </r>
    <r>
      <rPr>
        <b/>
        <vertAlign val="superscript"/>
        <sz val="10"/>
        <rFont val="Calibri"/>
        <family val="2"/>
        <scheme val="minor"/>
      </rPr>
      <t>3</t>
    </r>
    <r>
      <rPr>
        <b/>
        <sz val="10"/>
        <rFont val="Calibri"/>
        <family val="2"/>
        <scheme val="minor"/>
      </rPr>
      <t>)</t>
    </r>
  </si>
  <si>
    <r>
      <t>Breathing Rate adjusted ADC</t>
    </r>
    <r>
      <rPr>
        <b/>
        <vertAlign val="subscript"/>
        <sz val="10"/>
        <rFont val="Calibri"/>
        <family val="2"/>
        <scheme val="minor"/>
      </rPr>
      <t>TCEP, subchronic</t>
    </r>
    <r>
      <rPr>
        <b/>
        <sz val="10"/>
        <rFont val="Calibri"/>
        <family val="2"/>
        <scheme val="minor"/>
      </rPr>
      <t xml:space="preserve"> (mg/m</t>
    </r>
    <r>
      <rPr>
        <b/>
        <vertAlign val="superscript"/>
        <sz val="10"/>
        <rFont val="Calibri"/>
        <family val="2"/>
        <scheme val="minor"/>
      </rPr>
      <t>3</t>
    </r>
    <r>
      <rPr>
        <b/>
        <sz val="10"/>
        <rFont val="Calibri"/>
        <family val="2"/>
        <scheme val="minor"/>
      </rPr>
      <t>)</t>
    </r>
  </si>
  <si>
    <t>OES Number</t>
  </si>
  <si>
    <t>8 hr Data Points</t>
  </si>
  <si>
    <t>Total Datapoints</t>
  </si>
  <si>
    <t>Sources &amp; Notes</t>
  </si>
  <si>
    <t>Data Type</t>
  </si>
  <si>
    <t>1A</t>
  </si>
  <si>
    <t>8-hr shift; 1 site</t>
  </si>
  <si>
    <t>none</t>
  </si>
  <si>
    <t>See Monte Carlo simulation</t>
  </si>
  <si>
    <t>Modeled Data</t>
  </si>
  <si>
    <t>1B</t>
  </si>
  <si>
    <t>2a - Processing - Incorporation - Paints &amp; Coatings - 1-part coatings</t>
  </si>
  <si>
    <t>2b - Processing - Incorporation - Paints &amp; Coatings - 2-part reactive coatings</t>
  </si>
  <si>
    <t>2A</t>
  </si>
  <si>
    <t>3 - Formulation of TCEP into 2-part Reactive Resins</t>
  </si>
  <si>
    <t>2B</t>
  </si>
  <si>
    <t>4 - Processing into 2-part Resin Article</t>
  </si>
  <si>
    <t>3A</t>
  </si>
  <si>
    <t>5 - Processing - Recycling Electronics</t>
  </si>
  <si>
    <t>8-hr shift</t>
  </si>
  <si>
    <t>Makinen et al., 2009 (HEROID 2560628); HHE Reports (HEROID 5098163) and (HEROID 6558307)</t>
  </si>
  <si>
    <t>Monitoring Data</t>
  </si>
  <si>
    <t>1C</t>
  </si>
  <si>
    <t>6a - Commercial Use - Paints &amp; Coatings - Spray (1-part coatings, 1-day application)</t>
  </si>
  <si>
    <t>Spray 1-day application; waterborne paints &amp; coatings (mist)</t>
  </si>
  <si>
    <t>Auto Refinishing Model Data</t>
  </si>
  <si>
    <t>6b - Commercial Use - Paints &amp; Coatings - Spray (1-part coatings, 2-day application)</t>
  </si>
  <si>
    <t>Spray 2-day application; waterborne paints &amp; coatings (mist)</t>
  </si>
  <si>
    <t>6c - Commercial Use - Paints &amp; Coatings - Spray (1-part coatings, 250-day application)</t>
  </si>
  <si>
    <t>Spray 250-day application; waterborne paints &amp; coatings (mist)</t>
  </si>
  <si>
    <t>6d - Commercial Use - Paints &amp; Coatings - Spray (2-part reactive coatings, 1-day application)</t>
  </si>
  <si>
    <t>Spray 1-day application; resin paints &amp; coatings (mist)</t>
  </si>
  <si>
    <t>6e - Commercial Use - Paints &amp; Coatings - Spray (2-part reactive coatings, 2-day application)</t>
  </si>
  <si>
    <t>Spray 2-day application; resin paints &amp; coatings (mist)</t>
  </si>
  <si>
    <t>6f - Commercial Use - Paints &amp; Coatings - Spray (2-part reactive coatings, 250-day application)</t>
  </si>
  <si>
    <t>Spray 250-day application; resin paints &amp; coatings (mist)</t>
  </si>
  <si>
    <t>2C</t>
  </si>
  <si>
    <t>7 - Industrial/Commercial Use - Installation of Aerospace Products</t>
  </si>
  <si>
    <t>Makinen et al., 2009 (HEROID 2560628)</t>
  </si>
  <si>
    <t>4B</t>
  </si>
  <si>
    <t>8 - Laboratory Chemicals</t>
  </si>
  <si>
    <t>Calculated High-End Doses</t>
  </si>
  <si>
    <t>Calculated Central Tendency Doses</t>
  </si>
  <si>
    <t>Acute Potential Dose Rate</t>
  </si>
  <si>
    <t>Subchronic Retained Dose, Cancer</t>
  </si>
  <si>
    <t>Max Yderm</t>
  </si>
  <si>
    <t>Fraction Asborbed</t>
  </si>
  <si>
    <r>
      <t>Quantity Remaining on Skin (mg/cm</t>
    </r>
    <r>
      <rPr>
        <b/>
        <vertAlign val="superscript"/>
        <sz val="11"/>
        <color theme="1"/>
        <rFont val="Calibri"/>
        <family val="2"/>
        <scheme val="minor"/>
      </rPr>
      <t>2</t>
    </r>
    <r>
      <rPr>
        <b/>
        <sz val="11"/>
        <color theme="1"/>
        <rFont val="Calibri"/>
        <family val="2"/>
        <scheme val="minor"/>
      </rPr>
      <t>-event)</t>
    </r>
  </si>
  <si>
    <r>
      <t>Surface Area (cm</t>
    </r>
    <r>
      <rPr>
        <vertAlign val="superscript"/>
        <sz val="11"/>
        <color theme="1"/>
        <rFont val="Calibri"/>
        <family val="2"/>
        <scheme val="minor"/>
      </rPr>
      <t>2</t>
    </r>
    <r>
      <rPr>
        <sz val="11"/>
        <color theme="1"/>
        <rFont val="Calibri"/>
        <family val="2"/>
        <scheme val="minor"/>
      </rPr>
      <t>)</t>
    </r>
  </si>
  <si>
    <r>
      <t>APDR</t>
    </r>
    <r>
      <rPr>
        <b/>
        <vertAlign val="subscript"/>
        <sz val="11"/>
        <color theme="1"/>
        <rFont val="Calibri"/>
        <family val="2"/>
        <scheme val="minor"/>
      </rPr>
      <t>exp</t>
    </r>
    <r>
      <rPr>
        <b/>
        <sz val="11"/>
        <color theme="1"/>
        <rFont val="Calibri"/>
        <family val="2"/>
        <scheme val="minor"/>
      </rPr>
      <t xml:space="preserve"> (mg/day)</t>
    </r>
  </si>
  <si>
    <r>
      <t>ARD</t>
    </r>
    <r>
      <rPr>
        <b/>
        <vertAlign val="subscript"/>
        <sz val="11"/>
        <rFont val="Calibri"/>
        <family val="2"/>
        <scheme val="minor"/>
      </rPr>
      <t>TCEP</t>
    </r>
    <r>
      <rPr>
        <b/>
        <sz val="11"/>
        <rFont val="Calibri"/>
        <family val="2"/>
        <scheme val="minor"/>
      </rPr>
      <t xml:space="preserve"> (mg/kg-day)</t>
    </r>
  </si>
  <si>
    <r>
      <t>CRD</t>
    </r>
    <r>
      <rPr>
        <b/>
        <vertAlign val="subscript"/>
        <sz val="11"/>
        <rFont val="Calibri"/>
        <family val="2"/>
        <scheme val="minor"/>
      </rPr>
      <t xml:space="preserve">TCEP </t>
    </r>
    <r>
      <rPr>
        <b/>
        <sz val="11"/>
        <rFont val="Calibri"/>
        <family val="2"/>
        <scheme val="minor"/>
      </rPr>
      <t>(mg/kg-day)</t>
    </r>
  </si>
  <si>
    <r>
      <t>SCRD</t>
    </r>
    <r>
      <rPr>
        <b/>
        <vertAlign val="subscript"/>
        <sz val="11"/>
        <rFont val="Calibri"/>
        <family val="2"/>
        <scheme val="minor"/>
      </rPr>
      <t xml:space="preserve">TCEP </t>
    </r>
    <r>
      <rPr>
        <b/>
        <sz val="11"/>
        <rFont val="Calibri"/>
        <family val="2"/>
        <scheme val="minor"/>
      </rPr>
      <t>(mg/kg-day)</t>
    </r>
  </si>
  <si>
    <t>For Dashboard</t>
  </si>
  <si>
    <t>Dermal Calculation Numbers</t>
  </si>
  <si>
    <t>Calculated Doses</t>
  </si>
  <si>
    <t>Exposure Category</t>
  </si>
  <si>
    <r>
      <t>Max Y</t>
    </r>
    <r>
      <rPr>
        <b/>
        <vertAlign val="subscript"/>
        <sz val="11"/>
        <color rgb="FF000000"/>
        <rFont val="Calibri"/>
        <family val="2"/>
        <scheme val="minor"/>
      </rPr>
      <t>derm</t>
    </r>
  </si>
  <si>
    <r>
      <t>Fraction Absorbed, F</t>
    </r>
    <r>
      <rPr>
        <vertAlign val="subscript"/>
        <sz val="11"/>
        <color theme="1"/>
        <rFont val="Calibri"/>
        <family val="2"/>
        <scheme val="minor"/>
      </rPr>
      <t>abs</t>
    </r>
  </si>
  <si>
    <t>Exposure Frequency (EF)
(days/yr)</t>
  </si>
  <si>
    <t>Exposure Frequency (FT)
(event/day)</t>
  </si>
  <si>
    <r>
      <t>2-Hand Surface Area (cm</t>
    </r>
    <r>
      <rPr>
        <b/>
        <vertAlign val="superscript"/>
        <sz val="11"/>
        <color theme="1"/>
        <rFont val="Calibri"/>
        <family val="2"/>
        <scheme val="minor"/>
      </rPr>
      <t>2</t>
    </r>
    <r>
      <rPr>
        <b/>
        <sz val="11"/>
        <color theme="1"/>
        <rFont val="Calibri"/>
        <family val="2"/>
        <scheme val="minor"/>
      </rPr>
      <t>)</t>
    </r>
  </si>
  <si>
    <t>Body Weight (kg)</t>
  </si>
  <si>
    <r>
      <t>Quantity Remaining on Skin (Qu) 
(mg/cm</t>
    </r>
    <r>
      <rPr>
        <b/>
        <vertAlign val="superscript"/>
        <sz val="11"/>
        <color theme="1"/>
        <rFont val="Calibri"/>
        <family val="2"/>
        <scheme val="minor"/>
      </rPr>
      <t>2</t>
    </r>
    <r>
      <rPr>
        <b/>
        <sz val="11"/>
        <color theme="1"/>
        <rFont val="Calibri"/>
        <family val="2"/>
        <scheme val="minor"/>
      </rPr>
      <t>-event)</t>
    </r>
  </si>
  <si>
    <t>Worker Type</t>
  </si>
  <si>
    <t>For Risk Reduction (RR) Heat Map</t>
  </si>
  <si>
    <t>Conditions of Use</t>
  </si>
  <si>
    <t>Exposure Data Types</t>
  </si>
  <si>
    <t>Dermal Exposure Scenario - Assigned Glove Protection Factor</t>
  </si>
  <si>
    <t>No gloves, PF = 1</t>
  </si>
  <si>
    <t>General uses, PF = 5</t>
  </si>
  <si>
    <t>Commercial uses, PF = 10</t>
  </si>
  <si>
    <t>Industrial uses, PF = 20</t>
  </si>
  <si>
    <t>Inhalation Exposure Type</t>
  </si>
  <si>
    <t>Dermal Worker Type</t>
  </si>
  <si>
    <t>Female of Reproductive Age</t>
  </si>
  <si>
    <t>BMDL Percentile</t>
  </si>
  <si>
    <t>Assigned Protection Factor</t>
  </si>
  <si>
    <t>Throughputs/Dermal Scenarios</t>
  </si>
  <si>
    <t>Exposure Factors</t>
  </si>
  <si>
    <t>Characterization of Value</t>
  </si>
  <si>
    <t>Body Weight, BW (kg)</t>
  </si>
  <si>
    <r>
      <t>1 Hand Surface Area (cm</t>
    </r>
    <r>
      <rPr>
        <b/>
        <vertAlign val="superscript"/>
        <sz val="11"/>
        <color theme="1"/>
        <rFont val="Calibri"/>
        <family val="2"/>
        <scheme val="minor"/>
      </rPr>
      <t>2</t>
    </r>
    <r>
      <rPr>
        <b/>
        <sz val="11"/>
        <color theme="1"/>
        <rFont val="Calibri"/>
        <family val="2"/>
        <scheme val="minor"/>
      </rPr>
      <t>)</t>
    </r>
  </si>
  <si>
    <r>
      <t>2 Hand Surface Area (cm</t>
    </r>
    <r>
      <rPr>
        <b/>
        <vertAlign val="superscript"/>
        <sz val="11"/>
        <color theme="1"/>
        <rFont val="Calibri"/>
        <family val="2"/>
        <scheme val="minor"/>
      </rPr>
      <t>2</t>
    </r>
    <r>
      <rPr>
        <b/>
        <sz val="11"/>
        <color theme="1"/>
        <rFont val="Calibri"/>
        <family val="2"/>
        <scheme val="minor"/>
      </rPr>
      <t>)</t>
    </r>
  </si>
  <si>
    <t>Working Years - High-End (yr)</t>
  </si>
  <si>
    <t>Working Years - Central Tendency (yr)</t>
  </si>
  <si>
    <t>Lifetime</t>
  </si>
  <si>
    <r>
      <t>Worker Breathing Rate (m</t>
    </r>
    <r>
      <rPr>
        <vertAlign val="superscript"/>
        <sz val="11"/>
        <color theme="1"/>
        <rFont val="Calibri"/>
        <family val="2"/>
        <scheme val="minor"/>
      </rPr>
      <t>3</t>
    </r>
    <r>
      <rPr>
        <sz val="11"/>
        <color theme="1"/>
        <rFont val="Calibri"/>
        <family val="2"/>
        <scheme val="minor"/>
      </rPr>
      <t>/hr)</t>
    </r>
  </si>
  <si>
    <t>Discrete</t>
  </si>
  <si>
    <r>
      <t>Resting Breathing Rate (m</t>
    </r>
    <r>
      <rPr>
        <vertAlign val="superscript"/>
        <sz val="11"/>
        <color theme="1"/>
        <rFont val="Calibri"/>
        <family val="2"/>
        <scheme val="minor"/>
      </rPr>
      <t>3</t>
    </r>
    <r>
      <rPr>
        <sz val="11"/>
        <color theme="1"/>
        <rFont val="Calibri"/>
        <family val="2"/>
        <scheme val="minor"/>
      </rPr>
      <t>/hr)</t>
    </r>
  </si>
  <si>
    <t>Woman of Childbearing Age Exposure Factors:</t>
  </si>
  <si>
    <t>Body Weight:</t>
  </si>
  <si>
    <t>From the Exposure Factors Handbook Table 8-5: Mean and Percentile Body Weights (kg) for Females Derived from NHANES (1990-2006) (1)</t>
  </si>
  <si>
    <t>(1) U.S. Environmental Protection Agency (EPA). (2011) Exposure Factors Handbook: 2011 Edition. National Center for Environmental Assessment, Washington, DC; EPA/600/R-09/052F. Available from the National Technical Information Service, Springfield, VA, and online at http://www.epa.gov/ncea/efh.</t>
  </si>
  <si>
    <t xml:space="preserve">(2) U.S. Bureau of Labor Statistics (BLS), Current Population Survey (CPS) tenure data: Employee Tenure News Release (2014). http://www.bls.gov/news.release/archives/tenure_09182014.htm </t>
  </si>
  <si>
    <t>(3) U.S. Census Bureau, Survey of Income and Program Participation (SIPP): SIPP introduction and history (2019). https://www.census.gov/programs-surveys/sipp/about/sipp-introduction-history.html</t>
  </si>
  <si>
    <t>Tremors (S)</t>
  </si>
  <si>
    <t>Full-shift</t>
  </si>
  <si>
    <t>Acute Non-cancer (bench­mark MOE = 30)</t>
  </si>
  <si>
    <t>Supplemental Information File: Risk Calculator for Occupational Exposures</t>
  </si>
  <si>
    <t>Risk Evaluation for Tris(2-chloroethyl) Phosphate
(TCEP)</t>
  </si>
  <si>
    <t>September 2024</t>
  </si>
  <si>
    <t>Description of this workbook</t>
  </si>
  <si>
    <t>Moser et al. (2015)</t>
  </si>
  <si>
    <t>Renal tubule adenomas and    carcinomas in male Fischer 344 rats (S)</t>
  </si>
  <si>
    <t>NTP (1991)</t>
  </si>
  <si>
    <r>
      <t>Cancer (bench­mark = 10</t>
    </r>
    <r>
      <rPr>
        <b/>
        <vertAlign val="superscript"/>
        <sz val="9.5"/>
        <color rgb="FF000000"/>
        <rFont val="Calibri"/>
        <family val="2"/>
        <scheme val="minor"/>
      </rPr>
      <t>-4</t>
    </r>
    <r>
      <rPr>
        <b/>
        <sz val="9.5"/>
        <color rgb="FF000000"/>
        <rFont val="Calibri"/>
        <family val="2"/>
        <scheme val="minor"/>
      </rPr>
      <t>)</t>
    </r>
  </si>
  <si>
    <r>
      <t>Cancer (bench­mark = 10</t>
    </r>
    <r>
      <rPr>
        <b/>
        <vertAlign val="superscript"/>
        <sz val="9.5"/>
        <color rgb="FF000000"/>
        <rFont val="Calibri"/>
        <family val="2"/>
        <scheme val="minor"/>
      </rPr>
      <t>‑4</t>
    </r>
    <r>
      <rPr>
        <b/>
        <sz val="9.5"/>
        <color rgb="FF000000"/>
        <rFont val="Calibri"/>
        <family val="2"/>
        <scheme val="minor"/>
      </rPr>
      <t>)</t>
    </r>
  </si>
  <si>
    <r>
      <t>Acute Non-cancer HEC (mg/m</t>
    </r>
    <r>
      <rPr>
        <b/>
        <vertAlign val="superscript"/>
        <sz val="9.5"/>
        <color rgb="FF000000"/>
        <rFont val="Calibri"/>
        <family val="2"/>
        <scheme val="minor"/>
      </rPr>
      <t>3</t>
    </r>
    <r>
      <rPr>
        <b/>
        <sz val="9.5"/>
        <color rgb="FF000000"/>
        <rFont val="Calibri"/>
        <family val="2"/>
        <scheme val="minor"/>
      </rPr>
      <t>) and HED (mg/kg-d)</t>
    </r>
  </si>
  <si>
    <r>
      <t>Short-term (Sub-chronic) HEC (mg/m</t>
    </r>
    <r>
      <rPr>
        <b/>
        <vertAlign val="superscript"/>
        <sz val="9.5"/>
        <color rgb="FF000000"/>
        <rFont val="Calibri"/>
        <family val="2"/>
        <scheme val="minor"/>
      </rPr>
      <t>3</t>
    </r>
    <r>
      <rPr>
        <b/>
        <sz val="9.5"/>
        <color rgb="FF000000"/>
        <rFont val="Calibri"/>
        <family val="2"/>
        <scheme val="minor"/>
      </rPr>
      <t>) and HED (mg/kg-d)</t>
    </r>
  </si>
  <si>
    <r>
      <t>Chronic Non-cancer HEC (mg/m</t>
    </r>
    <r>
      <rPr>
        <b/>
        <vertAlign val="superscript"/>
        <sz val="9.5"/>
        <color rgb="FF000000"/>
        <rFont val="Calibri"/>
        <family val="2"/>
        <scheme val="minor"/>
      </rPr>
      <t>3</t>
    </r>
    <r>
      <rPr>
        <b/>
        <sz val="9.5"/>
        <color rgb="FF000000"/>
        <rFont val="Calibri"/>
        <family val="2"/>
        <scheme val="minor"/>
      </rPr>
      <t>) and HED (mg/kg-d)</t>
    </r>
  </si>
  <si>
    <r>
      <t>Cancer IUR (mg/m</t>
    </r>
    <r>
      <rPr>
        <b/>
        <vertAlign val="superscript"/>
        <sz val="9.5"/>
        <color rgb="FF000000"/>
        <rFont val="Calibri"/>
        <family val="2"/>
        <scheme val="minor"/>
      </rPr>
      <t>3</t>
    </r>
    <r>
      <rPr>
        <b/>
        <sz val="9.5"/>
        <color rgb="FF000000"/>
        <rFont val="Calibri"/>
        <family val="2"/>
        <scheme val="minor"/>
      </rPr>
      <t>)</t>
    </r>
    <r>
      <rPr>
        <b/>
        <vertAlign val="superscript"/>
        <sz val="9.5"/>
        <color rgb="FF000000"/>
        <rFont val="Calibri"/>
        <family val="2"/>
        <scheme val="minor"/>
      </rPr>
      <t>-1</t>
    </r>
    <r>
      <rPr>
        <b/>
        <sz val="9.5"/>
        <color rgb="FF000000"/>
        <rFont val="Calibri"/>
        <family val="2"/>
        <scheme val="minor"/>
      </rPr>
      <t xml:space="preserve"> and CSF (mg/kg-d)</t>
    </r>
    <r>
      <rPr>
        <b/>
        <vertAlign val="superscript"/>
        <sz val="9.5"/>
        <color rgb="FF000000"/>
        <rFont val="Calibri"/>
        <family val="2"/>
        <scheme val="minor"/>
      </rPr>
      <t>-1</t>
    </r>
  </si>
  <si>
    <t>Age 16 to &lt; 21 years: 65.9 kg (mean)</t>
  </si>
  <si>
    <t>Age 21 to &lt; 30 years: 71.9 kg (mean)</t>
  </si>
  <si>
    <t>Age 30 to &lt; 40 years: 74.8 kg (mean)</t>
  </si>
  <si>
    <t>Age 40 to &lt; 50 years: 77.1 kg (mean)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</si>
</sst>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0.000"/>
    <numFmt numFmtId="166" formatCode="0.0E+00"/>
    <numFmt numFmtId="167" formatCode="0.0000"/>
    <numFmt numFmtId="168" formatCode="0.0%"/>
    <numFmt numFmtId="169" formatCode="0.00000000"/>
    <numFmt numFmtId="170" formatCode="0E+00"/>
  </numFmts>
  <fonts count="57" x14ac:knownFonts="1">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b/>
      <sz val="14"/>
      <color theme="1"/>
      <name val="Calibri"/>
      <family val="2"/>
      <scheme val="minor"/>
    </font>
    <font>
      <b/>
      <vertAlign val="superscript"/>
      <sz val="11"/>
      <color theme="1"/>
      <name val="Calibri"/>
      <family val="2"/>
      <scheme val="minor"/>
    </font>
    <font>
      <b/>
      <sz val="16"/>
      <color theme="1"/>
      <name val="Calibri"/>
      <family val="2"/>
      <scheme val="minor"/>
    </font>
    <font>
      <sz val="10"/>
      <color theme="1"/>
      <name val="Calibri"/>
      <family val="2"/>
      <scheme val="minor"/>
    </font>
    <font>
      <b/>
      <sz val="10"/>
      <color theme="1"/>
      <name val="Calibri"/>
      <family val="2"/>
      <scheme val="minor"/>
    </font>
    <font>
      <b/>
      <sz val="10"/>
      <name val="Calibri"/>
      <family val="2"/>
      <scheme val="minor"/>
    </font>
    <font>
      <b/>
      <vertAlign val="subscript"/>
      <sz val="10"/>
      <name val="Calibri"/>
      <family val="2"/>
      <scheme val="minor"/>
    </font>
    <font>
      <b/>
      <sz val="16"/>
      <name val="Calibri"/>
      <family val="2"/>
      <scheme val="minor"/>
    </font>
    <font>
      <sz val="10"/>
      <name val="Calibri"/>
      <family val="2"/>
      <scheme val="minor"/>
    </font>
    <font>
      <b/>
      <vertAlign val="superscript"/>
      <sz val="10"/>
      <color theme="1"/>
      <name val="Calibri"/>
      <family val="2"/>
      <scheme val="minor"/>
    </font>
    <font>
      <sz val="11"/>
      <color theme="0" tint="-4.9989318521683403E-2"/>
      <name val="Calibri"/>
      <family val="2"/>
      <scheme val="minor"/>
    </font>
    <font>
      <b/>
      <vertAlign val="subscript"/>
      <sz val="10"/>
      <color theme="1"/>
      <name val="Calibri"/>
      <family val="2"/>
      <scheme val="minor"/>
    </font>
    <font>
      <sz val="11"/>
      <color rgb="FFFF0000"/>
      <name val="Calibri"/>
      <family val="2"/>
      <scheme val="minor"/>
    </font>
    <font>
      <sz val="11"/>
      <color theme="1"/>
      <name val="Calibri"/>
      <family val="2"/>
      <scheme val="minor"/>
    </font>
    <font>
      <i/>
      <sz val="11"/>
      <color theme="1"/>
      <name val="Calibri"/>
      <family val="2"/>
      <scheme val="minor"/>
    </font>
    <font>
      <b/>
      <sz val="11"/>
      <color rgb="FFFF0000"/>
      <name val="Calibri"/>
      <family val="2"/>
      <scheme val="minor"/>
    </font>
    <font>
      <sz val="10"/>
      <color rgb="FF000000"/>
      <name val="Calibri"/>
      <family val="2"/>
    </font>
    <font>
      <b/>
      <sz val="10"/>
      <color rgb="FF000000"/>
      <name val="Calibri"/>
      <family val="2"/>
      <scheme val="minor"/>
    </font>
    <font>
      <b/>
      <i/>
      <sz val="16"/>
      <name val="Calibri"/>
      <family val="2"/>
      <scheme val="minor"/>
    </font>
    <font>
      <sz val="14"/>
      <color theme="1"/>
      <name val="Calibri"/>
      <family val="2"/>
      <scheme val="minor"/>
    </font>
    <font>
      <sz val="14"/>
      <name val="Calibri"/>
      <family val="2"/>
      <scheme val="minor"/>
    </font>
    <font>
      <b/>
      <i/>
      <sz val="14"/>
      <name val="Calibri"/>
      <family val="2"/>
      <scheme val="minor"/>
    </font>
    <font>
      <b/>
      <sz val="14"/>
      <name val="Calibri"/>
      <family val="2"/>
      <scheme val="minor"/>
    </font>
    <font>
      <sz val="11"/>
      <color rgb="FF000000"/>
      <name val="Calibri"/>
      <family val="2"/>
    </font>
    <font>
      <b/>
      <sz val="11"/>
      <color theme="9" tint="0.79998168889431442"/>
      <name val="Calibri"/>
      <family val="2"/>
      <scheme val="minor"/>
    </font>
    <font>
      <b/>
      <i/>
      <sz val="10"/>
      <name val="Calibri"/>
      <family val="2"/>
      <scheme val="minor"/>
    </font>
    <font>
      <b/>
      <sz val="10"/>
      <color theme="8" tint="0.79998168889431442"/>
      <name val="Calibri"/>
      <family val="2"/>
      <scheme val="minor"/>
    </font>
    <font>
      <sz val="10"/>
      <color rgb="FFFF0000"/>
      <name val="Calibri"/>
      <family val="2"/>
      <scheme val="minor"/>
    </font>
    <font>
      <sz val="10"/>
      <color theme="0" tint="-4.9989318521683403E-2"/>
      <name val="Calibri"/>
      <family val="2"/>
      <scheme val="minor"/>
    </font>
    <font>
      <sz val="10"/>
      <name val="Arial"/>
      <family val="2"/>
    </font>
    <font>
      <b/>
      <sz val="11"/>
      <color theme="1"/>
      <name val="Calibri"/>
      <family val="2"/>
    </font>
    <font>
      <b/>
      <vertAlign val="superscript"/>
      <sz val="10"/>
      <name val="Calibri"/>
      <family val="2"/>
      <scheme val="minor"/>
    </font>
    <font>
      <sz val="8"/>
      <name val="Calibri"/>
      <family val="2"/>
      <scheme val="minor"/>
    </font>
    <font>
      <b/>
      <sz val="16"/>
      <color theme="1"/>
      <name val="Times New Roman"/>
      <family val="1"/>
    </font>
    <font>
      <b/>
      <i/>
      <sz val="14"/>
      <color theme="1"/>
      <name val="Times New Roman"/>
      <family val="1"/>
    </font>
    <font>
      <b/>
      <sz val="11"/>
      <color rgb="FF000000"/>
      <name val="Calibri"/>
      <family val="2"/>
      <scheme val="minor"/>
    </font>
    <font>
      <b/>
      <vertAlign val="subscript"/>
      <sz val="11"/>
      <color rgb="FF000000"/>
      <name val="Calibri"/>
      <family val="2"/>
      <scheme val="minor"/>
    </font>
    <font>
      <vertAlign val="subscript"/>
      <sz val="11"/>
      <color theme="1"/>
      <name val="Calibri"/>
      <family val="2"/>
      <scheme val="minor"/>
    </font>
    <font>
      <b/>
      <vertAlign val="subscript"/>
      <sz val="11"/>
      <color theme="1"/>
      <name val="Calibri"/>
      <family val="2"/>
      <scheme val="minor"/>
    </font>
    <font>
      <b/>
      <vertAlign val="subscript"/>
      <sz val="11"/>
      <name val="Calibri"/>
      <family val="2"/>
      <scheme val="minor"/>
    </font>
    <font>
      <sz val="10"/>
      <color theme="1"/>
      <name val="Calibri"/>
      <family val="2"/>
    </font>
    <font>
      <vertAlign val="superscript"/>
      <sz val="11"/>
      <color theme="1"/>
      <name val="Calibri"/>
      <family val="2"/>
      <scheme val="minor"/>
    </font>
    <font>
      <sz val="16"/>
      <color rgb="FFFF0000"/>
      <name val="Times New Roman"/>
      <family val="1"/>
    </font>
    <font>
      <sz val="14"/>
      <color rgb="FFFF0000"/>
      <name val="Times New Roman"/>
      <family val="1"/>
    </font>
    <font>
      <u/>
      <sz val="11"/>
      <color theme="10"/>
      <name val="Calibri"/>
      <family val="2"/>
      <scheme val="minor"/>
    </font>
    <font>
      <b/>
      <sz val="12"/>
      <color theme="1"/>
      <name val="Calibri"/>
      <family val="2"/>
      <scheme val="minor"/>
    </font>
    <font>
      <b/>
      <sz val="9.5"/>
      <color theme="1"/>
      <name val="Calibri"/>
      <family val="2"/>
      <scheme val="minor"/>
    </font>
    <font>
      <b/>
      <sz val="9.5"/>
      <color rgb="FF000000"/>
      <name val="Calibri"/>
      <family val="2"/>
      <scheme val="minor"/>
    </font>
    <font>
      <b/>
      <vertAlign val="superscript"/>
      <sz val="9.5"/>
      <color rgb="FF000000"/>
      <name val="Calibri"/>
      <family val="2"/>
      <scheme val="minor"/>
    </font>
    <font>
      <sz val="9.5"/>
      <color theme="1"/>
      <name val="Calibri"/>
      <family val="2"/>
      <scheme val="minor"/>
    </font>
    <font>
      <sz val="9.5"/>
      <color rgb="FF000000"/>
      <name val="Calibri"/>
      <family val="2"/>
      <scheme val="minor"/>
    </font>
    <font>
      <sz val="8"/>
      <color theme="1"/>
      <name val="Calibri"/>
      <family val="2"/>
      <scheme val="minor"/>
    </font>
    <font>
      <b/>
      <sz val="10"/>
      <color theme="1"/>
      <name val="Calibri"/>
      <family val="2"/>
    </font>
  </fonts>
  <fills count="23">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8" tint="0.39994506668294322"/>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rgb="FFFFFFFF"/>
        <bgColor rgb="FF000000"/>
      </patternFill>
    </fill>
    <fill>
      <patternFill patternType="solid">
        <fgColor theme="0"/>
        <bgColor theme="4" tint="0.79998168889431442"/>
      </patternFill>
    </fill>
    <fill>
      <patternFill patternType="solid">
        <fgColor theme="9" tint="-0.249977111117893"/>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8" tint="-0.249977111117893"/>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7" tint="0.39997558519241921"/>
        <bgColor indexed="64"/>
      </patternFill>
    </fill>
    <fill>
      <patternFill patternType="solid">
        <fgColor theme="6" tint="0.59999389629810485"/>
        <bgColor indexed="64"/>
      </patternFill>
    </fill>
    <fill>
      <patternFill patternType="solid">
        <fgColor theme="0" tint="-0.34998626667073579"/>
        <bgColor indexed="64"/>
      </patternFill>
    </fill>
    <fill>
      <patternFill patternType="solid">
        <fgColor rgb="FF92D050"/>
        <bgColor indexed="64"/>
      </patternFill>
    </fill>
    <fill>
      <patternFill patternType="solid">
        <fgColor theme="0" tint="-0.14999847407452621"/>
        <bgColor indexed="64"/>
      </patternFill>
    </fill>
    <fill>
      <patternFill patternType="solid">
        <fgColor theme="6" tint="0.39994506668294322"/>
        <bgColor indexed="64"/>
      </patternFill>
    </fill>
  </fills>
  <borders count="1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medium">
        <color auto="1"/>
      </left>
      <right/>
      <top style="medium">
        <color auto="1"/>
      </top>
      <bottom style="thin">
        <color auto="1"/>
      </bottom>
      <diagonal/>
    </border>
    <border>
      <left style="thin">
        <color auto="1"/>
      </left>
      <right/>
      <top style="dashed">
        <color auto="1"/>
      </top>
      <bottom/>
      <diagonal/>
    </border>
    <border>
      <left style="thin">
        <color auto="1"/>
      </left>
      <right/>
      <top/>
      <bottom style="dashed">
        <color auto="1"/>
      </bottom>
      <diagonal/>
    </border>
    <border>
      <left/>
      <right/>
      <top/>
      <bottom style="dashed">
        <color auto="1"/>
      </bottom>
      <diagonal/>
    </border>
    <border>
      <left/>
      <right style="thin">
        <color auto="1"/>
      </right>
      <top/>
      <bottom style="dashed">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tint="-0.14996795556505021"/>
      </left>
      <right/>
      <top style="thin">
        <color theme="0" tint="-0.14996795556505021"/>
      </top>
      <bottom style="thin">
        <color theme="0" tint="-0.14996795556505021"/>
      </bottom>
      <diagonal/>
    </border>
    <border>
      <left style="thin">
        <color auto="1"/>
      </left>
      <right style="thin">
        <color auto="1"/>
      </right>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right/>
      <top/>
      <bottom style="medium">
        <color auto="1"/>
      </bottom>
      <diagonal/>
    </border>
    <border>
      <left style="thin">
        <color auto="1"/>
      </left>
      <right style="thin">
        <color auto="1"/>
      </right>
      <top style="thin">
        <color auto="1"/>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auto="1"/>
      </left>
      <right style="thin">
        <color auto="1"/>
      </right>
      <top/>
      <bottom style="medium">
        <color auto="1"/>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auto="1"/>
      </left>
      <right style="thin">
        <color indexed="64"/>
      </right>
      <top/>
      <bottom/>
      <diagonal/>
    </border>
    <border>
      <left style="thin">
        <color indexed="64"/>
      </left>
      <right style="medium">
        <color indexed="64"/>
      </right>
      <top/>
      <bottom style="medium">
        <color indexed="64"/>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indexed="64"/>
      </left>
      <right style="medium">
        <color auto="1"/>
      </right>
      <top style="thin">
        <color indexed="64"/>
      </top>
      <bottom style="medium">
        <color indexed="64"/>
      </bottom>
      <diagonal/>
    </border>
    <border>
      <left style="medium">
        <color auto="1"/>
      </left>
      <right style="medium">
        <color auto="1"/>
      </right>
      <top style="thin">
        <color auto="1"/>
      </top>
      <bottom style="thin">
        <color auto="1"/>
      </bottom>
      <diagonal/>
    </border>
    <border>
      <left style="medium">
        <color auto="1"/>
      </left>
      <right style="medium">
        <color auto="1"/>
      </right>
      <top style="medium">
        <color auto="1"/>
      </top>
      <bottom/>
      <diagonal/>
    </border>
    <border>
      <left/>
      <right/>
      <top style="medium">
        <color auto="1"/>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top style="medium">
        <color auto="1"/>
      </top>
      <bottom/>
      <diagonal/>
    </border>
    <border>
      <left/>
      <right style="thin">
        <color indexed="64"/>
      </right>
      <top style="medium">
        <color auto="1"/>
      </top>
      <bottom style="thin">
        <color auto="1"/>
      </bottom>
      <diagonal/>
    </border>
    <border>
      <left/>
      <right style="thin">
        <color indexed="64"/>
      </right>
      <top style="medium">
        <color indexed="64"/>
      </top>
      <bottom style="medium">
        <color indexed="64"/>
      </bottom>
      <diagonal/>
    </border>
    <border>
      <left/>
      <right style="thin">
        <color auto="1"/>
      </right>
      <top style="thin">
        <color auto="1"/>
      </top>
      <bottom style="medium">
        <color indexed="64"/>
      </bottom>
      <diagonal/>
    </border>
    <border>
      <left/>
      <right/>
      <top style="medium">
        <color indexed="64"/>
      </top>
      <bottom style="medium">
        <color indexed="64"/>
      </bottom>
      <diagonal/>
    </border>
    <border>
      <left/>
      <right style="thin">
        <color auto="1"/>
      </right>
      <top/>
      <bottom style="medium">
        <color indexed="64"/>
      </bottom>
      <diagonal/>
    </border>
    <border>
      <left/>
      <right style="thin">
        <color indexed="64"/>
      </right>
      <top style="medium">
        <color indexed="64"/>
      </top>
      <bottom/>
      <diagonal/>
    </border>
    <border>
      <left style="medium">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top style="thin">
        <color indexed="64"/>
      </top>
      <bottom style="medium">
        <color indexed="64"/>
      </bottom>
      <diagonal/>
    </border>
    <border>
      <left style="medium">
        <color auto="1"/>
      </left>
      <right/>
      <top/>
      <bottom/>
      <diagonal/>
    </border>
    <border>
      <left style="medium">
        <color auto="1"/>
      </left>
      <right style="medium">
        <color auto="1"/>
      </right>
      <top style="thin">
        <color auto="1"/>
      </top>
      <bottom/>
      <diagonal/>
    </border>
    <border>
      <left/>
      <right style="medium">
        <color indexed="64"/>
      </right>
      <top/>
      <bottom style="medium">
        <color indexed="64"/>
      </bottom>
      <diagonal/>
    </border>
    <border>
      <left style="medium">
        <color auto="1"/>
      </left>
      <right style="medium">
        <color indexed="64"/>
      </right>
      <top style="medium">
        <color auto="1"/>
      </top>
      <bottom style="medium">
        <color auto="1"/>
      </bottom>
      <diagonal/>
    </border>
    <border>
      <left/>
      <right style="thin">
        <color auto="1"/>
      </right>
      <top style="dashed">
        <color auto="1"/>
      </top>
      <bottom style="dashed">
        <color indexed="64"/>
      </bottom>
      <diagonal/>
    </border>
    <border>
      <left/>
      <right/>
      <top style="dashed">
        <color auto="1"/>
      </top>
      <bottom style="dashed">
        <color indexed="64"/>
      </bottom>
      <diagonal/>
    </border>
    <border>
      <left style="medium">
        <color indexed="64"/>
      </left>
      <right/>
      <top/>
      <bottom style="medium">
        <color indexed="64"/>
      </bottom>
      <diagonal/>
    </border>
    <border>
      <left style="medium">
        <color indexed="64"/>
      </left>
      <right style="hair">
        <color indexed="64"/>
      </right>
      <top style="hair">
        <color indexed="64"/>
      </top>
      <bottom/>
      <diagonal/>
    </border>
    <border>
      <left style="medium">
        <color indexed="64"/>
      </left>
      <right style="hair">
        <color indexed="64"/>
      </right>
      <top/>
      <bottom/>
      <diagonal/>
    </border>
    <border>
      <left style="thin">
        <color auto="1"/>
      </left>
      <right/>
      <top style="medium">
        <color auto="1"/>
      </top>
      <bottom/>
      <diagonal/>
    </border>
    <border>
      <left/>
      <right style="thin">
        <color auto="1"/>
      </right>
      <top style="thin">
        <color auto="1"/>
      </top>
      <bottom style="thin">
        <color auto="1"/>
      </bottom>
      <diagonal/>
    </border>
    <border>
      <left style="medium">
        <color indexed="64"/>
      </left>
      <right style="medium">
        <color indexed="64"/>
      </right>
      <top/>
      <bottom style="thin">
        <color indexed="64"/>
      </bottom>
      <diagonal/>
    </border>
    <border>
      <left style="thin">
        <color auto="1"/>
      </left>
      <right/>
      <top style="dashed">
        <color auto="1"/>
      </top>
      <bottom style="thin">
        <color indexed="64"/>
      </bottom>
      <diagonal/>
    </border>
    <border>
      <left/>
      <right/>
      <top style="dashed">
        <color auto="1"/>
      </top>
      <bottom style="thin">
        <color indexed="64"/>
      </bottom>
      <diagonal/>
    </border>
    <border>
      <left/>
      <right style="thin">
        <color auto="1"/>
      </right>
      <top style="dashed">
        <color indexed="64"/>
      </top>
      <bottom style="thin">
        <color auto="1"/>
      </bottom>
      <diagonal/>
    </border>
    <border>
      <left style="medium">
        <color indexed="64"/>
      </left>
      <right style="hair">
        <color indexed="64"/>
      </right>
      <top/>
      <bottom style="dashed">
        <color indexed="64"/>
      </bottom>
      <diagonal/>
    </border>
    <border>
      <left style="medium">
        <color indexed="64"/>
      </left>
      <right style="hair">
        <color indexed="64"/>
      </right>
      <top style="dashed">
        <color indexed="64"/>
      </top>
      <bottom/>
      <diagonal/>
    </border>
    <border>
      <left style="medium">
        <color indexed="64"/>
      </left>
      <right style="hair">
        <color indexed="64"/>
      </right>
      <top/>
      <bottom style="medium">
        <color indexed="64"/>
      </bottom>
      <diagonal/>
    </border>
    <border>
      <left/>
      <right style="medium">
        <color indexed="64"/>
      </right>
      <top/>
      <bottom style="thin">
        <color indexed="64"/>
      </bottom>
      <diagonal/>
    </border>
    <border>
      <left style="thin">
        <color auto="1"/>
      </left>
      <right/>
      <top/>
      <bottom style="medium">
        <color indexed="64"/>
      </bottom>
      <diagonal/>
    </border>
    <border>
      <left style="medium">
        <color indexed="64"/>
      </left>
      <right style="medium">
        <color indexed="64"/>
      </right>
      <top style="medium">
        <color indexed="64"/>
      </top>
      <bottom style="thin">
        <color theme="1"/>
      </bottom>
      <diagonal/>
    </border>
    <border>
      <left style="medium">
        <color indexed="64"/>
      </left>
      <right style="medium">
        <color indexed="64"/>
      </right>
      <top style="thin">
        <color theme="1"/>
      </top>
      <bottom style="medium">
        <color indexed="64"/>
      </bottom>
      <diagonal/>
    </border>
    <border>
      <left style="medium">
        <color theme="1"/>
      </left>
      <right style="medium">
        <color theme="1"/>
      </right>
      <top style="medium">
        <color theme="1"/>
      </top>
      <bottom/>
      <diagonal/>
    </border>
    <border>
      <left style="medium">
        <color indexed="64"/>
      </left>
      <right/>
      <top/>
      <bottom style="thin">
        <color indexed="64"/>
      </bottom>
      <diagonal/>
    </border>
    <border>
      <left/>
      <right/>
      <top style="dashed">
        <color auto="1"/>
      </top>
      <bottom/>
      <diagonal/>
    </border>
    <border>
      <left style="hair">
        <color indexed="64"/>
      </left>
      <right/>
      <top style="medium">
        <color indexed="64"/>
      </top>
      <bottom/>
      <diagonal/>
    </border>
    <border>
      <left/>
      <right style="hair">
        <color indexed="64"/>
      </right>
      <top style="medium">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medium">
        <color indexed="64"/>
      </bottom>
      <diagonal/>
    </border>
    <border>
      <left/>
      <right style="hair">
        <color indexed="64"/>
      </right>
      <top/>
      <bottom style="medium">
        <color indexed="64"/>
      </bottom>
      <diagonal/>
    </border>
    <border>
      <left style="hair">
        <color indexed="64"/>
      </left>
      <right style="medium">
        <color indexed="64"/>
      </right>
      <top style="hair">
        <color indexed="64"/>
      </top>
      <bottom/>
      <diagonal/>
    </border>
    <border>
      <left style="hair">
        <color indexed="64"/>
      </left>
      <right style="medium">
        <color indexed="64"/>
      </right>
      <top/>
      <bottom style="medium">
        <color indexed="64"/>
      </bottom>
      <diagonal/>
    </border>
    <border>
      <left style="medium">
        <color indexed="64"/>
      </left>
      <right style="thin">
        <color auto="1"/>
      </right>
      <top/>
      <bottom style="medium">
        <color indexed="64"/>
      </bottom>
      <diagonal/>
    </border>
    <border>
      <left style="medium">
        <color indexed="64"/>
      </left>
      <right style="medium">
        <color indexed="64"/>
      </right>
      <top/>
      <bottom style="double">
        <color indexed="64"/>
      </bottom>
      <diagonal/>
    </border>
    <border>
      <left/>
      <right style="medium">
        <color indexed="64"/>
      </right>
      <top/>
      <bottom style="double">
        <color indexed="64"/>
      </bottom>
      <diagonal/>
    </border>
    <border>
      <left style="medium">
        <color indexed="64"/>
      </left>
      <right style="medium">
        <color indexed="64"/>
      </right>
      <top style="double">
        <color indexed="64"/>
      </top>
      <bottom/>
      <diagonal/>
    </border>
    <border>
      <left/>
      <right style="medium">
        <color indexed="64"/>
      </right>
      <top style="double">
        <color indexed="64"/>
      </top>
      <bottom/>
      <diagonal/>
    </border>
    <border>
      <left style="medium">
        <color indexed="64"/>
      </left>
      <right/>
      <top style="thin">
        <color indexed="64"/>
      </top>
      <bottom/>
      <diagonal/>
    </border>
    <border>
      <left/>
      <right style="medium">
        <color indexed="64"/>
      </right>
      <top style="thin">
        <color indexed="64"/>
      </top>
      <bottom/>
      <diagonal/>
    </border>
    <border>
      <left style="hair">
        <color indexed="64"/>
      </left>
      <right style="medium">
        <color indexed="64"/>
      </right>
      <top/>
      <bottom style="hair">
        <color indexed="64"/>
      </bottom>
      <diagonal/>
    </border>
  </borders>
  <cellStyleXfs count="4">
    <xf numFmtId="0" fontId="0" fillId="0" borderId="0"/>
    <xf numFmtId="9" fontId="17" fillId="0" borderId="0" applyFont="0" applyFill="0" applyBorder="0" applyAlignment="0" applyProtection="0"/>
    <xf numFmtId="0" fontId="33" fillId="0" borderId="0"/>
    <xf numFmtId="0" fontId="48" fillId="0" borderId="0" applyNumberFormat="0" applyFill="0" applyBorder="0" applyAlignment="0" applyProtection="0"/>
  </cellStyleXfs>
  <cellXfs count="692">
    <xf numFmtId="0" fontId="0" fillId="0" borderId="0" xfId="0"/>
    <xf numFmtId="0" fontId="4" fillId="3" borderId="0" xfId="0" applyFont="1" applyFill="1"/>
    <xf numFmtId="0" fontId="0" fillId="3" borderId="0" xfId="0" applyFill="1"/>
    <xf numFmtId="0" fontId="0" fillId="3" borderId="2" xfId="0" applyFill="1" applyBorder="1"/>
    <xf numFmtId="0" fontId="0" fillId="3" borderId="3" xfId="0" applyFill="1" applyBorder="1"/>
    <xf numFmtId="0" fontId="1" fillId="3" borderId="3" xfId="0" applyFont="1" applyFill="1" applyBorder="1"/>
    <xf numFmtId="0" fontId="0" fillId="3" borderId="5" xfId="0" applyFill="1" applyBorder="1"/>
    <xf numFmtId="166" fontId="0" fillId="3" borderId="7" xfId="0" applyNumberFormat="1" applyFill="1" applyBorder="1"/>
    <xf numFmtId="0" fontId="0" fillId="3" borderId="6" xfId="0" applyFill="1" applyBorder="1"/>
    <xf numFmtId="0" fontId="0" fillId="3" borderId="8" xfId="0" applyFill="1" applyBorder="1"/>
    <xf numFmtId="0" fontId="3" fillId="3" borderId="0" xfId="0" applyFont="1" applyFill="1" applyAlignment="1">
      <alignment vertical="center" wrapText="1"/>
    </xf>
    <xf numFmtId="0" fontId="0" fillId="3" borderId="0" xfId="0" applyFill="1" applyAlignment="1">
      <alignment horizontal="center" vertical="center"/>
    </xf>
    <xf numFmtId="0" fontId="0" fillId="3" borderId="0" xfId="0" applyFill="1" applyAlignment="1">
      <alignment vertical="center"/>
    </xf>
    <xf numFmtId="0" fontId="6" fillId="3" borderId="0" xfId="0" applyFont="1" applyFill="1" applyAlignment="1">
      <alignment vertical="center"/>
    </xf>
    <xf numFmtId="0" fontId="2" fillId="3" borderId="0" xfId="0" applyFont="1" applyFill="1" applyAlignment="1">
      <alignment vertical="center"/>
    </xf>
    <xf numFmtId="0" fontId="7" fillId="0" borderId="0" xfId="0" applyFont="1" applyAlignment="1">
      <alignment horizontal="center"/>
    </xf>
    <xf numFmtId="0" fontId="7" fillId="3" borderId="0" xfId="0" applyFont="1" applyFill="1"/>
    <xf numFmtId="0" fontId="7" fillId="0" borderId="0" xfId="0" applyFont="1" applyAlignment="1">
      <alignment wrapText="1"/>
    </xf>
    <xf numFmtId="0" fontId="7" fillId="0" borderId="0" xfId="0" applyFont="1"/>
    <xf numFmtId="0" fontId="3" fillId="3" borderId="0" xfId="0" applyFont="1" applyFill="1" applyAlignment="1">
      <alignment horizontal="center" vertical="center" wrapText="1"/>
    </xf>
    <xf numFmtId="0" fontId="2" fillId="3" borderId="0" xfId="0" applyFont="1" applyFill="1" applyAlignment="1">
      <alignment horizontal="center" vertical="center"/>
    </xf>
    <xf numFmtId="0" fontId="11" fillId="3" borderId="0" xfId="0" applyFont="1" applyFill="1" applyAlignment="1">
      <alignment vertical="center"/>
    </xf>
    <xf numFmtId="0" fontId="2" fillId="3" borderId="0" xfId="0" applyFont="1" applyFill="1" applyAlignment="1">
      <alignment vertical="center" wrapText="1"/>
    </xf>
    <xf numFmtId="0" fontId="7" fillId="2" borderId="22" xfId="0" applyFont="1" applyFill="1" applyBorder="1" applyAlignment="1">
      <alignment horizontal="center" vertical="center"/>
    </xf>
    <xf numFmtId="0" fontId="12" fillId="3" borderId="0" xfId="0" applyFont="1" applyFill="1" applyAlignment="1">
      <alignment vertical="center"/>
    </xf>
    <xf numFmtId="0" fontId="12" fillId="3" borderId="0" xfId="0" applyFont="1" applyFill="1" applyAlignment="1">
      <alignment horizontal="center" vertical="center" wrapText="1"/>
    </xf>
    <xf numFmtId="0" fontId="12" fillId="3" borderId="0" xfId="0" applyFont="1" applyFill="1" applyAlignment="1">
      <alignment horizontal="center" vertical="center"/>
    </xf>
    <xf numFmtId="0" fontId="14" fillId="3" borderId="0" xfId="0" applyFont="1" applyFill="1" applyAlignment="1">
      <alignment vertical="center"/>
    </xf>
    <xf numFmtId="0" fontId="14" fillId="3" borderId="0" xfId="0" applyFont="1" applyFill="1" applyAlignment="1">
      <alignment vertical="center" wrapText="1"/>
    </xf>
    <xf numFmtId="0" fontId="0" fillId="3" borderId="24" xfId="0" applyFill="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7" fillId="0" borderId="0" xfId="0" applyFont="1" applyAlignment="1">
      <alignment horizontal="center" vertical="center"/>
    </xf>
    <xf numFmtId="164" fontId="7" fillId="0" borderId="0" xfId="0" applyNumberFormat="1" applyFont="1" applyAlignment="1">
      <alignment horizontal="center" vertical="center"/>
    </xf>
    <xf numFmtId="0" fontId="7" fillId="0" borderId="0" xfId="0" applyFont="1" applyAlignment="1">
      <alignment horizontal="left" vertical="center" wrapText="1"/>
    </xf>
    <xf numFmtId="0" fontId="9" fillId="0" borderId="0" xfId="0" applyFont="1" applyAlignment="1">
      <alignment vertical="center" wrapText="1"/>
    </xf>
    <xf numFmtId="0" fontId="8" fillId="0" borderId="0" xfId="0" applyFont="1" applyAlignment="1">
      <alignment vertical="center" wrapText="1"/>
    </xf>
    <xf numFmtId="1" fontId="7" fillId="0" borderId="1" xfId="0" applyNumberFormat="1" applyFont="1" applyBorder="1" applyAlignment="1">
      <alignment horizontal="center" vertical="center"/>
    </xf>
    <xf numFmtId="0" fontId="16" fillId="3" borderId="0" xfId="0" applyFont="1" applyFill="1" applyAlignment="1">
      <alignment vertical="center"/>
    </xf>
    <xf numFmtId="0" fontId="16" fillId="3" borderId="0" xfId="0" applyFont="1" applyFill="1" applyAlignment="1">
      <alignment horizontal="center" vertical="center"/>
    </xf>
    <xf numFmtId="0" fontId="16" fillId="3" borderId="0" xfId="0" applyFont="1" applyFill="1" applyAlignment="1">
      <alignment vertical="center" wrapText="1"/>
    </xf>
    <xf numFmtId="2" fontId="12" fillId="3" borderId="0" xfId="0" applyNumberFormat="1" applyFont="1" applyFill="1" applyAlignment="1">
      <alignment horizontal="center" vertical="center" wrapText="1"/>
    </xf>
    <xf numFmtId="1" fontId="9" fillId="3" borderId="0" xfId="0" applyNumberFormat="1" applyFont="1" applyFill="1" applyAlignment="1">
      <alignment horizontal="center" vertical="center" wrapText="1"/>
    </xf>
    <xf numFmtId="0" fontId="0" fillId="3" borderId="0" xfId="0" applyFill="1" applyAlignment="1">
      <alignment horizontal="center"/>
    </xf>
    <xf numFmtId="0" fontId="1" fillId="3" borderId="0" xfId="0" applyFont="1" applyFill="1"/>
    <xf numFmtId="0" fontId="18" fillId="3" borderId="0" xfId="0" applyFont="1" applyFill="1"/>
    <xf numFmtId="0" fontId="8" fillId="0" borderId="0" xfId="0" applyFont="1"/>
    <xf numFmtId="0" fontId="8" fillId="0" borderId="0" xfId="0" applyFont="1" applyAlignment="1">
      <alignment vertical="center"/>
    </xf>
    <xf numFmtId="1" fontId="7" fillId="0" borderId="0" xfId="0" applyNumberFormat="1" applyFont="1" applyAlignment="1">
      <alignment horizontal="center" vertical="center" wrapText="1"/>
    </xf>
    <xf numFmtId="0" fontId="19" fillId="0" borderId="0" xfId="0" applyFont="1"/>
    <xf numFmtId="0" fontId="20" fillId="7" borderId="1" xfId="0" applyFont="1" applyFill="1" applyBorder="1" applyAlignment="1">
      <alignment horizontal="center" vertical="center" wrapText="1"/>
    </xf>
    <xf numFmtId="0" fontId="3" fillId="3" borderId="0" xfId="0" applyFont="1" applyFill="1" applyAlignment="1">
      <alignment horizontal="left" vertical="center"/>
    </xf>
    <xf numFmtId="0" fontId="22" fillId="3" borderId="0" xfId="0" applyFont="1" applyFill="1" applyAlignment="1">
      <alignment vertical="center"/>
    </xf>
    <xf numFmtId="0" fontId="7" fillId="8" borderId="1" xfId="0" applyFont="1" applyFill="1" applyBorder="1" applyAlignment="1">
      <alignment horizontal="left" vertical="center"/>
    </xf>
    <xf numFmtId="0" fontId="23" fillId="3" borderId="0" xfId="0" applyFont="1" applyFill="1"/>
    <xf numFmtId="0" fontId="0" fillId="3" borderId="0" xfId="0" applyFill="1" applyAlignment="1">
      <alignment horizontal="left" vertical="top"/>
    </xf>
    <xf numFmtId="165" fontId="0" fillId="3" borderId="1" xfId="0" applyNumberFormat="1" applyFill="1" applyBorder="1" applyAlignment="1">
      <alignment horizontal="left" vertical="top"/>
    </xf>
    <xf numFmtId="0" fontId="0" fillId="3" borderId="1" xfId="0" applyFill="1" applyBorder="1" applyAlignment="1">
      <alignment horizontal="left" vertical="top"/>
    </xf>
    <xf numFmtId="2" fontId="12" fillId="3" borderId="0" xfId="0" applyNumberFormat="1" applyFont="1" applyFill="1" applyAlignment="1">
      <alignment horizontal="center" vertical="center"/>
    </xf>
    <xf numFmtId="0" fontId="11" fillId="3" borderId="32" xfId="0" applyFont="1" applyFill="1" applyBorder="1" applyAlignment="1">
      <alignment vertical="center"/>
    </xf>
    <xf numFmtId="0" fontId="2" fillId="3" borderId="32" xfId="0" applyFont="1" applyFill="1" applyBorder="1" applyAlignment="1">
      <alignment horizontal="center" vertical="center" wrapText="1"/>
    </xf>
    <xf numFmtId="0" fontId="3" fillId="3" borderId="32" xfId="0" applyFont="1" applyFill="1" applyBorder="1" applyAlignment="1">
      <alignment vertical="center" wrapText="1"/>
    </xf>
    <xf numFmtId="2" fontId="12" fillId="0" borderId="15" xfId="0" applyNumberFormat="1" applyFont="1" applyBorder="1" applyAlignment="1">
      <alignment horizontal="center" vertical="center"/>
    </xf>
    <xf numFmtId="2" fontId="12" fillId="0" borderId="16" xfId="0" applyNumberFormat="1" applyFont="1" applyBorder="1" applyAlignment="1">
      <alignment horizontal="center" vertical="center"/>
    </xf>
    <xf numFmtId="0" fontId="7" fillId="3" borderId="16" xfId="0" applyFont="1" applyFill="1" applyBorder="1" applyAlignment="1">
      <alignment horizontal="center" vertical="center"/>
    </xf>
    <xf numFmtId="0" fontId="9" fillId="5" borderId="37" xfId="0" applyFont="1" applyFill="1" applyBorder="1" applyAlignment="1">
      <alignment horizontal="center" vertical="center" wrapText="1"/>
    </xf>
    <xf numFmtId="0" fontId="9" fillId="5" borderId="40" xfId="0" applyFont="1" applyFill="1" applyBorder="1" applyAlignment="1">
      <alignment horizontal="center" vertical="center" wrapText="1"/>
    </xf>
    <xf numFmtId="0" fontId="12" fillId="3" borderId="0" xfId="0" applyFont="1" applyFill="1" applyAlignment="1">
      <alignment vertical="center" wrapText="1"/>
    </xf>
    <xf numFmtId="2" fontId="12" fillId="3" borderId="0" xfId="0" applyNumberFormat="1" applyFont="1" applyFill="1" applyAlignment="1">
      <alignment horizontal="left" vertical="center"/>
    </xf>
    <xf numFmtId="0" fontId="9" fillId="3" borderId="0" xfId="0" applyFont="1" applyFill="1" applyAlignment="1">
      <alignment vertical="center" wrapText="1"/>
    </xf>
    <xf numFmtId="0" fontId="7" fillId="3" borderId="0" xfId="0" applyFont="1" applyFill="1" applyAlignment="1">
      <alignment vertical="center" wrapText="1"/>
    </xf>
    <xf numFmtId="167" fontId="0" fillId="3" borderId="0" xfId="0" applyNumberFormat="1" applyFill="1" applyAlignment="1">
      <alignment horizontal="center" vertical="center"/>
    </xf>
    <xf numFmtId="2" fontId="0" fillId="3" borderId="0" xfId="0" applyNumberFormat="1" applyFill="1" applyAlignment="1">
      <alignment horizontal="center" vertical="center"/>
    </xf>
    <xf numFmtId="0" fontId="7" fillId="0" borderId="1" xfId="0" applyFont="1" applyBorder="1" applyAlignment="1">
      <alignment vertical="center" wrapText="1"/>
    </xf>
    <xf numFmtId="2" fontId="12" fillId="0" borderId="25" xfId="0" applyNumberFormat="1" applyFont="1" applyBorder="1" applyAlignment="1">
      <alignment horizontal="center" vertical="center"/>
    </xf>
    <xf numFmtId="0" fontId="8" fillId="2" borderId="26" xfId="0" applyFont="1" applyFill="1" applyBorder="1" applyAlignment="1">
      <alignment vertical="center" wrapText="1"/>
    </xf>
    <xf numFmtId="1" fontId="8" fillId="2" borderId="26" xfId="0" applyNumberFormat="1" applyFont="1" applyFill="1" applyBorder="1" applyAlignment="1">
      <alignment vertical="center" wrapText="1"/>
    </xf>
    <xf numFmtId="0" fontId="8" fillId="2" borderId="28" xfId="0" applyFont="1" applyFill="1" applyBorder="1" applyAlignment="1">
      <alignment vertical="center" wrapText="1"/>
    </xf>
    <xf numFmtId="0" fontId="8" fillId="2" borderId="35" xfId="0" applyFont="1" applyFill="1" applyBorder="1" applyAlignment="1">
      <alignment vertical="center" wrapText="1"/>
    </xf>
    <xf numFmtId="0" fontId="27" fillId="0" borderId="0" xfId="0" applyFont="1" applyAlignment="1">
      <alignment vertical="center"/>
    </xf>
    <xf numFmtId="0" fontId="7" fillId="10" borderId="45" xfId="0" applyFont="1" applyFill="1" applyBorder="1" applyAlignment="1">
      <alignment vertical="center"/>
    </xf>
    <xf numFmtId="0" fontId="7" fillId="10" borderId="47" xfId="0" applyFont="1" applyFill="1" applyBorder="1" applyAlignment="1">
      <alignment vertical="center"/>
    </xf>
    <xf numFmtId="0" fontId="26" fillId="4" borderId="19" xfId="0" applyFont="1" applyFill="1" applyBorder="1" applyAlignment="1">
      <alignment horizontal="center" vertical="center" wrapText="1"/>
    </xf>
    <xf numFmtId="0" fontId="7" fillId="3" borderId="25" xfId="0" applyFont="1" applyFill="1" applyBorder="1" applyAlignment="1">
      <alignment horizontal="center" vertical="center"/>
    </xf>
    <xf numFmtId="0" fontId="8" fillId="5" borderId="40" xfId="0" applyFont="1" applyFill="1" applyBorder="1" applyAlignment="1">
      <alignment horizontal="center" wrapText="1"/>
    </xf>
    <xf numFmtId="0" fontId="8" fillId="5" borderId="41" xfId="0" applyFont="1" applyFill="1" applyBorder="1" applyAlignment="1">
      <alignment horizontal="center" vertical="center"/>
    </xf>
    <xf numFmtId="2" fontId="12" fillId="0" borderId="19" xfId="0" applyNumberFormat="1" applyFont="1" applyBorder="1" applyAlignment="1">
      <alignment horizontal="center" vertical="center"/>
    </xf>
    <xf numFmtId="2" fontId="12" fillId="0" borderId="43" xfId="0" applyNumberFormat="1" applyFont="1" applyBorder="1" applyAlignment="1">
      <alignment horizontal="center" vertical="center"/>
    </xf>
    <xf numFmtId="11" fontId="0" fillId="3" borderId="1" xfId="0" applyNumberFormat="1" applyFill="1" applyBorder="1" applyAlignment="1">
      <alignment horizontal="center" vertical="center"/>
    </xf>
    <xf numFmtId="0" fontId="21" fillId="5" borderId="1" xfId="0" applyFont="1" applyFill="1" applyBorder="1" applyAlignment="1">
      <alignment horizontal="left" vertical="center" wrapText="1"/>
    </xf>
    <xf numFmtId="0" fontId="0" fillId="12" borderId="1" xfId="0" applyFill="1" applyBorder="1" applyAlignment="1">
      <alignment horizontal="center" vertical="center"/>
    </xf>
    <xf numFmtId="0" fontId="9" fillId="3" borderId="0" xfId="0" applyFont="1" applyFill="1" applyAlignment="1">
      <alignment horizontal="center" vertical="center" wrapText="1"/>
    </xf>
    <xf numFmtId="1" fontId="12" fillId="3" borderId="0" xfId="0" applyNumberFormat="1" applyFont="1" applyFill="1" applyAlignment="1">
      <alignment vertical="center"/>
    </xf>
    <xf numFmtId="0" fontId="0" fillId="5" borderId="1" xfId="0" applyFill="1" applyBorder="1" applyAlignment="1">
      <alignment vertical="center"/>
    </xf>
    <xf numFmtId="2" fontId="12" fillId="0" borderId="38" xfId="0" applyNumberFormat="1" applyFont="1" applyBorder="1" applyAlignment="1">
      <alignment horizontal="center" vertical="center"/>
    </xf>
    <xf numFmtId="0" fontId="9" fillId="5" borderId="20"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28" fillId="3" borderId="0" xfId="0" applyFont="1" applyFill="1" applyAlignment="1">
      <alignment horizontal="center" vertical="center"/>
    </xf>
    <xf numFmtId="165" fontId="12" fillId="3" borderId="0" xfId="0" applyNumberFormat="1" applyFont="1" applyFill="1" applyAlignment="1">
      <alignment horizontal="center" vertical="center"/>
    </xf>
    <xf numFmtId="2" fontId="12" fillId="0" borderId="36" xfId="0" applyNumberFormat="1" applyFont="1" applyBorder="1" applyAlignment="1">
      <alignment horizontal="center" vertical="center"/>
    </xf>
    <xf numFmtId="2" fontId="12" fillId="0" borderId="30" xfId="0" applyNumberFormat="1" applyFont="1" applyBorder="1" applyAlignment="1">
      <alignment horizontal="center" vertical="center"/>
    </xf>
    <xf numFmtId="0" fontId="8" fillId="13" borderId="48" xfId="0" applyFont="1" applyFill="1" applyBorder="1" applyAlignment="1">
      <alignment horizontal="center" vertical="center"/>
    </xf>
    <xf numFmtId="0" fontId="8" fillId="13" borderId="57" xfId="0" applyFont="1" applyFill="1" applyBorder="1" applyAlignment="1">
      <alignment horizontal="center" vertical="center"/>
    </xf>
    <xf numFmtId="0" fontId="12" fillId="13" borderId="57" xfId="0" applyFont="1" applyFill="1" applyBorder="1" applyAlignment="1">
      <alignment vertical="center"/>
    </xf>
    <xf numFmtId="0" fontId="1" fillId="6" borderId="53" xfId="0" applyFont="1" applyFill="1" applyBorder="1" applyAlignment="1">
      <alignment horizontal="left" wrapText="1"/>
    </xf>
    <xf numFmtId="0" fontId="1" fillId="6" borderId="69" xfId="0" applyFont="1" applyFill="1" applyBorder="1" applyAlignment="1">
      <alignment horizontal="left" wrapText="1"/>
    </xf>
    <xf numFmtId="0" fontId="7" fillId="3" borderId="0" xfId="0" applyFont="1" applyFill="1" applyAlignment="1">
      <alignment vertical="center"/>
    </xf>
    <xf numFmtId="0" fontId="7" fillId="3" borderId="0" xfId="0" applyFont="1" applyFill="1" applyAlignment="1">
      <alignment horizontal="center" vertical="center"/>
    </xf>
    <xf numFmtId="0" fontId="7" fillId="3" borderId="0" xfId="0" applyFont="1" applyFill="1" applyAlignment="1">
      <alignment horizontal="center" vertical="center" wrapText="1"/>
    </xf>
    <xf numFmtId="0" fontId="9" fillId="3" borderId="0" xfId="0" applyFont="1" applyFill="1" applyAlignment="1">
      <alignment horizontal="left" vertical="center"/>
    </xf>
    <xf numFmtId="0" fontId="12" fillId="3" borderId="0" xfId="0" applyFont="1" applyFill="1" applyAlignment="1">
      <alignment horizontal="left" vertical="center" wrapText="1"/>
    </xf>
    <xf numFmtId="0" fontId="29" fillId="3" borderId="0" xfId="0" applyFont="1" applyFill="1" applyAlignment="1">
      <alignment vertical="center"/>
    </xf>
    <xf numFmtId="0" fontId="8" fillId="3" borderId="0" xfId="0" applyFont="1" applyFill="1" applyAlignment="1">
      <alignment vertical="center"/>
    </xf>
    <xf numFmtId="0" fontId="9" fillId="3" borderId="0" xfId="0" applyFont="1" applyFill="1" applyAlignment="1">
      <alignment vertical="center"/>
    </xf>
    <xf numFmtId="0" fontId="9" fillId="3" borderId="32" xfId="0" applyFont="1" applyFill="1" applyBorder="1" applyAlignment="1">
      <alignment vertical="center"/>
    </xf>
    <xf numFmtId="0" fontId="12" fillId="13" borderId="48" xfId="0" applyFont="1" applyFill="1" applyBorder="1" applyAlignment="1">
      <alignment vertical="center"/>
    </xf>
    <xf numFmtId="0" fontId="7" fillId="13" borderId="57" xfId="0" applyFont="1" applyFill="1" applyBorder="1" applyAlignment="1">
      <alignment horizontal="left" vertical="center" wrapText="1"/>
    </xf>
    <xf numFmtId="0" fontId="7" fillId="3" borderId="25" xfId="0" applyFont="1" applyFill="1" applyBorder="1" applyAlignment="1">
      <alignment vertical="center"/>
    </xf>
    <xf numFmtId="0" fontId="7" fillId="3" borderId="16" xfId="0" applyFont="1" applyFill="1" applyBorder="1" applyAlignment="1">
      <alignment vertical="center"/>
    </xf>
    <xf numFmtId="0" fontId="7" fillId="3" borderId="15" xfId="0" applyFont="1" applyFill="1" applyBorder="1" applyAlignment="1">
      <alignment vertical="center"/>
    </xf>
    <xf numFmtId="0" fontId="7" fillId="13" borderId="57" xfId="0" applyFont="1" applyFill="1" applyBorder="1" applyAlignment="1">
      <alignment horizontal="left" vertical="center"/>
    </xf>
    <xf numFmtId="0" fontId="12" fillId="13" borderId="57" xfId="0" applyFont="1" applyFill="1" applyBorder="1" applyAlignment="1">
      <alignment vertical="center" wrapText="1"/>
    </xf>
    <xf numFmtId="0" fontId="7" fillId="3" borderId="31" xfId="0" applyFont="1" applyFill="1" applyBorder="1" applyAlignment="1">
      <alignment vertical="center"/>
    </xf>
    <xf numFmtId="0" fontId="31" fillId="3" borderId="0" xfId="0" applyFont="1" applyFill="1" applyAlignment="1">
      <alignment horizontal="center" vertical="center"/>
    </xf>
    <xf numFmtId="0" fontId="32" fillId="3" borderId="0" xfId="0" applyFont="1" applyFill="1" applyAlignment="1">
      <alignment vertical="center" wrapText="1"/>
    </xf>
    <xf numFmtId="0" fontId="32" fillId="3" borderId="0" xfId="0" applyFont="1" applyFill="1" applyAlignment="1">
      <alignment vertical="center"/>
    </xf>
    <xf numFmtId="0" fontId="31" fillId="3" borderId="0" xfId="0" applyFont="1" applyFill="1" applyAlignment="1">
      <alignment vertical="center" wrapText="1"/>
    </xf>
    <xf numFmtId="0" fontId="31" fillId="3" borderId="0" xfId="0" applyFont="1" applyFill="1" applyAlignment="1">
      <alignment horizontal="center" vertical="center" wrapText="1"/>
    </xf>
    <xf numFmtId="0" fontId="8" fillId="12" borderId="1" xfId="0" applyFont="1" applyFill="1" applyBorder="1" applyAlignment="1">
      <alignment vertical="center"/>
    </xf>
    <xf numFmtId="0" fontId="8" fillId="12" borderId="1" xfId="0" applyFont="1" applyFill="1" applyBorder="1" applyAlignment="1">
      <alignment horizontal="center" vertical="center"/>
    </xf>
    <xf numFmtId="11" fontId="7" fillId="3" borderId="1" xfId="0" applyNumberFormat="1" applyFont="1" applyFill="1" applyBorder="1" applyAlignment="1">
      <alignment horizontal="center" vertical="center"/>
    </xf>
    <xf numFmtId="2" fontId="7" fillId="3" borderId="0" xfId="0" applyNumberFormat="1" applyFont="1" applyFill="1" applyAlignment="1">
      <alignment horizontal="center" vertical="center"/>
    </xf>
    <xf numFmtId="0" fontId="7" fillId="3" borderId="1" xfId="0" applyFont="1" applyFill="1" applyBorder="1" applyAlignment="1">
      <alignment vertical="center"/>
    </xf>
    <xf numFmtId="2" fontId="12" fillId="0" borderId="59" xfId="0" applyNumberFormat="1" applyFont="1" applyBorder="1" applyAlignment="1">
      <alignment horizontal="center" vertical="center"/>
    </xf>
    <xf numFmtId="0" fontId="9" fillId="5" borderId="4" xfId="0" applyFont="1" applyFill="1" applyBorder="1" applyAlignment="1">
      <alignment horizontal="center" vertical="center" wrapText="1"/>
    </xf>
    <xf numFmtId="0" fontId="7" fillId="0" borderId="1" xfId="0" applyFont="1" applyBorder="1" applyAlignment="1">
      <alignment vertical="center"/>
    </xf>
    <xf numFmtId="0" fontId="1" fillId="6" borderId="28" xfId="0" applyFont="1" applyFill="1" applyBorder="1" applyAlignment="1">
      <alignment horizontal="center" vertical="center" wrapText="1"/>
    </xf>
    <xf numFmtId="2" fontId="12" fillId="0" borderId="23" xfId="0" applyNumberFormat="1" applyFont="1" applyBorder="1" applyAlignment="1">
      <alignment horizontal="center" vertical="center"/>
    </xf>
    <xf numFmtId="0" fontId="0" fillId="3" borderId="1" xfId="0" applyFill="1" applyBorder="1" applyAlignment="1">
      <alignment horizontal="center" vertical="center"/>
    </xf>
    <xf numFmtId="0" fontId="0" fillId="3" borderId="7" xfId="0" applyFill="1" applyBorder="1" applyAlignment="1">
      <alignment wrapText="1"/>
    </xf>
    <xf numFmtId="0" fontId="8" fillId="12" borderId="1" xfId="0" applyFont="1" applyFill="1" applyBorder="1" applyAlignment="1">
      <alignment vertical="center" wrapText="1"/>
    </xf>
    <xf numFmtId="0" fontId="8" fillId="12" borderId="54" xfId="0" applyFont="1" applyFill="1" applyBorder="1" applyAlignment="1">
      <alignment vertical="center" wrapText="1"/>
    </xf>
    <xf numFmtId="0" fontId="0" fillId="12" borderId="1" xfId="0" applyFill="1" applyBorder="1" applyAlignment="1">
      <alignment horizontal="center" vertical="center" wrapText="1"/>
    </xf>
    <xf numFmtId="0" fontId="9" fillId="5" borderId="33" xfId="0" applyFont="1" applyFill="1" applyBorder="1" applyAlignment="1">
      <alignment horizontal="center" vertical="center" wrapText="1"/>
    </xf>
    <xf numFmtId="0" fontId="0" fillId="3" borderId="75" xfId="0" applyFill="1" applyBorder="1" applyAlignment="1">
      <alignment horizontal="left" wrapText="1"/>
    </xf>
    <xf numFmtId="167" fontId="12" fillId="3" borderId="0" xfId="0" applyNumberFormat="1" applyFont="1" applyFill="1" applyAlignment="1">
      <alignment horizontal="center" vertical="center"/>
    </xf>
    <xf numFmtId="0" fontId="8" fillId="3" borderId="0" xfId="0" applyFont="1" applyFill="1" applyAlignment="1">
      <alignment horizontal="center" vertical="center" wrapText="1"/>
    </xf>
    <xf numFmtId="0" fontId="28" fillId="3" borderId="0" xfId="0" applyFont="1" applyFill="1" applyAlignment="1">
      <alignment vertical="center"/>
    </xf>
    <xf numFmtId="2" fontId="12" fillId="0" borderId="63" xfId="0" applyNumberFormat="1" applyFont="1" applyBorder="1" applyAlignment="1">
      <alignment horizontal="center" vertical="center"/>
    </xf>
    <xf numFmtId="166" fontId="0" fillId="3" borderId="9" xfId="0" applyNumberFormat="1" applyFill="1" applyBorder="1"/>
    <xf numFmtId="0" fontId="0" fillId="3" borderId="8" xfId="0" applyFill="1" applyBorder="1" applyAlignment="1">
      <alignment horizontal="center"/>
    </xf>
    <xf numFmtId="0" fontId="0" fillId="3" borderId="20" xfId="0" applyFill="1" applyBorder="1" applyAlignment="1">
      <alignment horizontal="center"/>
    </xf>
    <xf numFmtId="1" fontId="0" fillId="3" borderId="1" xfId="0" applyNumberFormat="1" applyFill="1" applyBorder="1" applyAlignment="1">
      <alignment horizontal="center"/>
    </xf>
    <xf numFmtId="0" fontId="0" fillId="3" borderId="1" xfId="0" applyFill="1" applyBorder="1" applyAlignment="1">
      <alignment horizontal="center"/>
    </xf>
    <xf numFmtId="3" fontId="0" fillId="0" borderId="20" xfId="0" applyNumberFormat="1" applyBorder="1" applyAlignment="1">
      <alignment horizontal="center" vertical="center"/>
    </xf>
    <xf numFmtId="0" fontId="1" fillId="0" borderId="0" xfId="0" applyFont="1"/>
    <xf numFmtId="0" fontId="7" fillId="0" borderId="1" xfId="0" applyFont="1" applyBorder="1" applyAlignment="1">
      <alignment horizontal="center" vertical="center"/>
    </xf>
    <xf numFmtId="1" fontId="3" fillId="3" borderId="0" xfId="0" applyNumberFormat="1" applyFont="1" applyFill="1" applyAlignment="1">
      <alignment horizontal="center" vertical="center" wrapText="1"/>
    </xf>
    <xf numFmtId="0" fontId="7" fillId="3" borderId="18" xfId="0" applyFont="1" applyFill="1" applyBorder="1" applyAlignment="1">
      <alignment vertical="center"/>
    </xf>
    <xf numFmtId="1" fontId="24" fillId="2" borderId="23" xfId="1" applyNumberFormat="1" applyFont="1" applyFill="1" applyBorder="1" applyAlignment="1">
      <alignment horizontal="center" vertical="center" wrapText="1"/>
    </xf>
    <xf numFmtId="0" fontId="24" fillId="2" borderId="22" xfId="0" applyFont="1" applyFill="1" applyBorder="1" applyAlignment="1">
      <alignment horizontal="center" vertical="center" wrapText="1"/>
    </xf>
    <xf numFmtId="0" fontId="26" fillId="4" borderId="17" xfId="0" applyFont="1" applyFill="1" applyBorder="1" applyAlignment="1">
      <alignment horizontal="center" vertical="center" wrapText="1"/>
    </xf>
    <xf numFmtId="0" fontId="9" fillId="5" borderId="41" xfId="0" applyFont="1" applyFill="1" applyBorder="1" applyAlignment="1">
      <alignment horizontal="center" vertical="center" wrapText="1"/>
    </xf>
    <xf numFmtId="0" fontId="9" fillId="4" borderId="81" xfId="0" applyFont="1" applyFill="1" applyBorder="1" applyAlignment="1">
      <alignment horizontal="center" vertical="center" wrapText="1"/>
    </xf>
    <xf numFmtId="0" fontId="12" fillId="2" borderId="46" xfId="0" applyFont="1" applyFill="1" applyBorder="1" applyAlignment="1">
      <alignment horizontal="center" vertical="center" wrapText="1"/>
    </xf>
    <xf numFmtId="168" fontId="9" fillId="5" borderId="23" xfId="0" applyNumberFormat="1" applyFont="1" applyFill="1" applyBorder="1" applyAlignment="1">
      <alignment horizontal="center" vertical="center" wrapText="1"/>
    </xf>
    <xf numFmtId="168" fontId="9" fillId="5" borderId="21" xfId="0" applyNumberFormat="1" applyFont="1" applyFill="1" applyBorder="1" applyAlignment="1">
      <alignment horizontal="center" vertical="center" wrapText="1"/>
    </xf>
    <xf numFmtId="0" fontId="21" fillId="5" borderId="38" xfId="0" applyFont="1" applyFill="1" applyBorder="1" applyAlignment="1">
      <alignment horizontal="center" vertical="center" wrapText="1"/>
    </xf>
    <xf numFmtId="0" fontId="21" fillId="5" borderId="43" xfId="0" applyFont="1" applyFill="1" applyBorder="1" applyAlignment="1">
      <alignment horizontal="center" vertical="center" wrapText="1"/>
    </xf>
    <xf numFmtId="0" fontId="7" fillId="0" borderId="1" xfId="0" applyFont="1" applyBorder="1"/>
    <xf numFmtId="0" fontId="7" fillId="0" borderId="1" xfId="0" applyFont="1" applyBorder="1" applyAlignment="1">
      <alignment horizontal="center"/>
    </xf>
    <xf numFmtId="0" fontId="7" fillId="0" borderId="21" xfId="0" applyFont="1" applyBorder="1"/>
    <xf numFmtId="0" fontId="7" fillId="0" borderId="16" xfId="0" applyFont="1" applyBorder="1" applyAlignment="1">
      <alignment horizontal="center" vertical="center"/>
    </xf>
    <xf numFmtId="0" fontId="0" fillId="0" borderId="0" xfId="0" applyAlignment="1">
      <alignment vertical="center" wrapText="1"/>
    </xf>
    <xf numFmtId="0" fontId="9" fillId="4" borderId="44"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9" fillId="4" borderId="45" xfId="0" applyFont="1" applyFill="1" applyBorder="1" applyAlignment="1">
      <alignment horizontal="center" vertical="center" wrapText="1"/>
    </xf>
    <xf numFmtId="0" fontId="29" fillId="4" borderId="73" xfId="0" applyFont="1" applyFill="1" applyBorder="1" applyAlignment="1">
      <alignment horizontal="center" vertical="center" wrapText="1"/>
    </xf>
    <xf numFmtId="0" fontId="12" fillId="2" borderId="52" xfId="0" applyFont="1" applyFill="1" applyBorder="1" applyAlignment="1">
      <alignment horizontal="center" vertical="center" wrapText="1"/>
    </xf>
    <xf numFmtId="0" fontId="29" fillId="4" borderId="51" xfId="0" applyFont="1" applyFill="1" applyBorder="1" applyAlignment="1">
      <alignment horizontal="center" vertical="center" wrapText="1"/>
    </xf>
    <xf numFmtId="0" fontId="26" fillId="4" borderId="45" xfId="0" applyFont="1" applyFill="1" applyBorder="1" applyAlignment="1">
      <alignment horizontal="center" vertical="center" wrapText="1"/>
    </xf>
    <xf numFmtId="0" fontId="24" fillId="2" borderId="46" xfId="0" applyFont="1" applyFill="1" applyBorder="1" applyAlignment="1">
      <alignment horizontal="center" vertical="center" wrapText="1"/>
    </xf>
    <xf numFmtId="11" fontId="7" fillId="0" borderId="1" xfId="0" applyNumberFormat="1" applyFont="1" applyBorder="1" applyAlignment="1">
      <alignment horizontal="center" vertical="center"/>
    </xf>
    <xf numFmtId="0" fontId="8" fillId="2" borderId="79" xfId="0" applyFont="1" applyFill="1" applyBorder="1" applyAlignment="1">
      <alignment vertical="center" wrapText="1"/>
    </xf>
    <xf numFmtId="0" fontId="1" fillId="3" borderId="11" xfId="0" applyFont="1" applyFill="1" applyBorder="1" applyAlignment="1">
      <alignment vertical="center" wrapText="1"/>
    </xf>
    <xf numFmtId="0" fontId="1" fillId="3" borderId="82" xfId="0" applyFont="1" applyFill="1" applyBorder="1" applyAlignment="1">
      <alignment vertical="center" wrapText="1"/>
    </xf>
    <xf numFmtId="0" fontId="0" fillId="10" borderId="25" xfId="0" applyFill="1" applyBorder="1" applyAlignment="1">
      <alignment vertical="center" wrapText="1"/>
    </xf>
    <xf numFmtId="0" fontId="0" fillId="0" borderId="1" xfId="0" applyBorder="1" applyAlignment="1">
      <alignment vertical="center"/>
    </xf>
    <xf numFmtId="0" fontId="1" fillId="11" borderId="48" xfId="0" applyFont="1" applyFill="1" applyBorder="1" applyAlignment="1">
      <alignment vertical="center" wrapText="1"/>
    </xf>
    <xf numFmtId="0" fontId="39" fillId="15" borderId="64" xfId="0" applyFont="1" applyFill="1" applyBorder="1" applyAlignment="1">
      <alignment vertical="center" wrapText="1"/>
    </xf>
    <xf numFmtId="0" fontId="1" fillId="11" borderId="57" xfId="0" applyFont="1" applyFill="1" applyBorder="1" applyAlignment="1">
      <alignment vertical="center" wrapText="1"/>
    </xf>
    <xf numFmtId="0" fontId="39" fillId="15" borderId="7" xfId="0" applyFont="1" applyFill="1" applyBorder="1" applyAlignment="1">
      <alignment vertical="center" wrapText="1"/>
    </xf>
    <xf numFmtId="0" fontId="3" fillId="16" borderId="16" xfId="0" applyFont="1" applyFill="1" applyBorder="1" applyAlignment="1">
      <alignment horizontal="center" vertical="center" wrapText="1"/>
    </xf>
    <xf numFmtId="0" fontId="0" fillId="0" borderId="25" xfId="0" applyBorder="1" applyAlignment="1">
      <alignment horizontal="center" vertical="center"/>
    </xf>
    <xf numFmtId="0" fontId="0" fillId="3" borderId="1" xfId="0" applyFill="1" applyBorder="1" applyAlignment="1">
      <alignment vertical="center" wrapText="1"/>
    </xf>
    <xf numFmtId="2" fontId="0" fillId="3" borderId="1" xfId="0" applyNumberFormat="1" applyFill="1" applyBorder="1" applyAlignment="1">
      <alignment horizontal="center" vertical="center" wrapText="1"/>
    </xf>
    <xf numFmtId="0" fontId="0" fillId="0" borderId="1" xfId="0" applyBorder="1" applyAlignment="1">
      <alignment horizontal="center" vertical="center"/>
    </xf>
    <xf numFmtId="4" fontId="0" fillId="16" borderId="1" xfId="0" applyNumberFormat="1" applyFill="1" applyBorder="1" applyAlignment="1">
      <alignment horizontal="center" vertical="center" wrapText="1"/>
    </xf>
    <xf numFmtId="4" fontId="2" fillId="16" borderId="25" xfId="0" applyNumberFormat="1" applyFont="1" applyFill="1" applyBorder="1" applyAlignment="1">
      <alignment horizontal="center" vertical="center" wrapText="1"/>
    </xf>
    <xf numFmtId="0" fontId="0" fillId="10" borderId="33" xfId="0" applyFill="1" applyBorder="1" applyAlignment="1">
      <alignment vertical="center" wrapText="1"/>
    </xf>
    <xf numFmtId="165" fontId="0" fillId="3" borderId="1" xfId="0" applyNumberFormat="1" applyFill="1" applyBorder="1" applyAlignment="1">
      <alignment horizontal="center" vertical="center" wrapText="1"/>
    </xf>
    <xf numFmtId="0" fontId="0" fillId="10" borderId="1" xfId="0" applyFill="1" applyBorder="1" applyAlignment="1">
      <alignment vertical="center" wrapText="1"/>
    </xf>
    <xf numFmtId="4" fontId="2" fillId="16" borderId="1" xfId="0" applyNumberFormat="1" applyFont="1" applyFill="1" applyBorder="1" applyAlignment="1">
      <alignment horizontal="center" vertical="center" wrapText="1"/>
    </xf>
    <xf numFmtId="0" fontId="0" fillId="3" borderId="25" xfId="0" applyFill="1" applyBorder="1" applyAlignment="1">
      <alignment vertical="center" wrapText="1"/>
    </xf>
    <xf numFmtId="2" fontId="0" fillId="3" borderId="25" xfId="0" applyNumberFormat="1" applyFill="1" applyBorder="1" applyAlignment="1">
      <alignment horizontal="center" vertical="center" wrapText="1"/>
    </xf>
    <xf numFmtId="165" fontId="0" fillId="3" borderId="25" xfId="0" applyNumberFormat="1" applyFill="1" applyBorder="1" applyAlignment="1">
      <alignment horizontal="center" vertical="center" wrapText="1"/>
    </xf>
    <xf numFmtId="1" fontId="0" fillId="3" borderId="25" xfId="0" quotePrefix="1" applyNumberFormat="1" applyFill="1" applyBorder="1" applyAlignment="1">
      <alignment horizontal="center" vertical="center" wrapText="1"/>
    </xf>
    <xf numFmtId="1" fontId="0" fillId="3" borderId="25" xfId="0" applyNumberFormat="1" applyFill="1" applyBorder="1" applyAlignment="1">
      <alignment horizontal="center" vertical="center" wrapText="1"/>
    </xf>
    <xf numFmtId="0" fontId="0" fillId="3" borderId="25" xfId="0" applyFill="1" applyBorder="1" applyAlignment="1">
      <alignment horizontal="center" vertical="center" wrapText="1"/>
    </xf>
    <xf numFmtId="4" fontId="0" fillId="16" borderId="25" xfId="0" applyNumberFormat="1" applyFill="1" applyBorder="1" applyAlignment="1">
      <alignment horizontal="center" vertical="center" wrapText="1"/>
    </xf>
    <xf numFmtId="0" fontId="1" fillId="11" borderId="52" xfId="0" applyFont="1" applyFill="1" applyBorder="1" applyAlignment="1">
      <alignment horizontal="center" vertical="center" wrapText="1"/>
    </xf>
    <xf numFmtId="0" fontId="39" fillId="15" borderId="63" xfId="0" applyFont="1" applyFill="1" applyBorder="1" applyAlignment="1">
      <alignment horizontal="center" vertical="center" wrapText="1"/>
    </xf>
    <xf numFmtId="0" fontId="0" fillId="3" borderId="33" xfId="0" applyFill="1" applyBorder="1" applyAlignment="1">
      <alignment vertical="center" wrapText="1"/>
    </xf>
    <xf numFmtId="165" fontId="0" fillId="3" borderId="33" xfId="0" applyNumberFormat="1" applyFill="1" applyBorder="1" applyAlignment="1">
      <alignment horizontal="center" vertical="center" wrapText="1"/>
    </xf>
    <xf numFmtId="0" fontId="0" fillId="0" borderId="33" xfId="0" applyBorder="1" applyAlignment="1">
      <alignment horizontal="center" vertical="center"/>
    </xf>
    <xf numFmtId="0" fontId="0" fillId="0" borderId="62" xfId="0" applyBorder="1"/>
    <xf numFmtId="0" fontId="0" fillId="0" borderId="51" xfId="0" applyBorder="1"/>
    <xf numFmtId="0" fontId="3" fillId="16" borderId="72" xfId="0" applyFont="1" applyFill="1" applyBorder="1" applyAlignment="1">
      <alignment horizontal="center" vertical="center" wrapText="1"/>
    </xf>
    <xf numFmtId="0" fontId="0" fillId="0" borderId="0" xfId="0" applyAlignment="1">
      <alignment horizontal="left" vertical="center" wrapText="1"/>
    </xf>
    <xf numFmtId="0" fontId="1" fillId="6" borderId="48" xfId="0" applyFont="1" applyFill="1" applyBorder="1" applyAlignment="1">
      <alignment horizontal="center" vertical="center" wrapText="1"/>
    </xf>
    <xf numFmtId="0" fontId="0" fillId="3" borderId="17" xfId="0" applyFill="1" applyBorder="1" applyAlignment="1">
      <alignment horizontal="center"/>
    </xf>
    <xf numFmtId="164" fontId="0" fillId="3" borderId="15" xfId="0" applyNumberFormat="1" applyFill="1" applyBorder="1" applyAlignment="1">
      <alignment horizontal="center"/>
    </xf>
    <xf numFmtId="0" fontId="3" fillId="0" borderId="0" xfId="0" applyFont="1" applyAlignment="1">
      <alignment horizontal="left" vertical="center" wrapText="1"/>
    </xf>
    <xf numFmtId="11" fontId="0" fillId="0" borderId="0" xfId="0" applyNumberFormat="1"/>
    <xf numFmtId="11" fontId="0" fillId="16" borderId="25" xfId="0" applyNumberFormat="1" applyFill="1" applyBorder="1" applyAlignment="1">
      <alignment horizontal="center" vertical="center" wrapText="1"/>
    </xf>
    <xf numFmtId="11" fontId="2" fillId="16" borderId="25" xfId="0" applyNumberFormat="1" applyFont="1" applyFill="1" applyBorder="1" applyAlignment="1">
      <alignment horizontal="center" vertical="center" wrapText="1"/>
    </xf>
    <xf numFmtId="11" fontId="0" fillId="16" borderId="33" xfId="0" applyNumberFormat="1" applyFill="1" applyBorder="1" applyAlignment="1">
      <alignment horizontal="center" vertical="center" wrapText="1"/>
    </xf>
    <xf numFmtId="11" fontId="2" fillId="16" borderId="33" xfId="0" applyNumberFormat="1" applyFont="1" applyFill="1" applyBorder="1" applyAlignment="1">
      <alignment horizontal="center" vertical="center" wrapText="1"/>
    </xf>
    <xf numFmtId="0" fontId="9" fillId="4" borderId="73"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0" fillId="0" borderId="1" xfId="0" applyBorder="1" applyAlignment="1">
      <alignment horizontal="center"/>
    </xf>
    <xf numFmtId="0" fontId="8" fillId="3" borderId="78" xfId="0" applyFont="1" applyFill="1" applyBorder="1" applyAlignment="1">
      <alignment horizontal="center" vertical="center" wrapText="1"/>
    </xf>
    <xf numFmtId="0" fontId="8" fillId="3" borderId="87" xfId="0" applyFont="1" applyFill="1" applyBorder="1" applyAlignment="1">
      <alignment horizontal="center" vertical="center" wrapText="1"/>
    </xf>
    <xf numFmtId="0" fontId="7" fillId="2" borderId="93" xfId="0" applyFont="1" applyFill="1" applyBorder="1" applyAlignment="1">
      <alignment horizontal="center" vertical="center"/>
    </xf>
    <xf numFmtId="0" fontId="7" fillId="2" borderId="53" xfId="0" applyFont="1" applyFill="1" applyBorder="1" applyAlignment="1">
      <alignment horizontal="center" vertical="center"/>
    </xf>
    <xf numFmtId="0" fontId="7" fillId="2" borderId="69" xfId="0" applyFont="1" applyFill="1" applyBorder="1" applyAlignment="1">
      <alignment horizontal="center" vertical="center"/>
    </xf>
    <xf numFmtId="0" fontId="8" fillId="5" borderId="40" xfId="0" applyFont="1" applyFill="1" applyBorder="1" applyAlignment="1">
      <alignment horizontal="center" vertical="center" wrapText="1"/>
    </xf>
    <xf numFmtId="0" fontId="9" fillId="5" borderId="40" xfId="0" applyFont="1" applyFill="1" applyBorder="1" applyAlignment="1">
      <alignment vertical="center"/>
    </xf>
    <xf numFmtId="0" fontId="7" fillId="10" borderId="52" xfId="0" applyFont="1" applyFill="1" applyBorder="1"/>
    <xf numFmtId="0" fontId="0" fillId="0" borderId="0" xfId="0" applyAlignment="1">
      <alignment vertical="top" wrapText="1"/>
    </xf>
    <xf numFmtId="0" fontId="0" fillId="0" borderId="1" xfId="0" applyBorder="1" applyAlignment="1">
      <alignment vertical="top" wrapText="1"/>
    </xf>
    <xf numFmtId="0" fontId="2" fillId="19" borderId="1" xfId="0" applyFont="1" applyFill="1" applyBorder="1" applyAlignment="1">
      <alignment horizontal="left" vertical="center" wrapText="1"/>
    </xf>
    <xf numFmtId="0" fontId="20" fillId="0" borderId="1" xfId="0" applyFont="1" applyBorder="1" applyAlignment="1">
      <alignment horizontal="center" vertical="center" wrapText="1"/>
    </xf>
    <xf numFmtId="0" fontId="7" fillId="0" borderId="21" xfId="0" applyFont="1" applyBorder="1" applyAlignment="1">
      <alignment vertical="center" wrapText="1"/>
    </xf>
    <xf numFmtId="0" fontId="7" fillId="3" borderId="54" xfId="0" applyFont="1" applyFill="1" applyBorder="1" applyAlignment="1">
      <alignment vertical="center"/>
    </xf>
    <xf numFmtId="2" fontId="12" fillId="0" borderId="42" xfId="0" applyNumberFormat="1" applyFont="1" applyBorder="1" applyAlignment="1">
      <alignment horizontal="center" vertical="center"/>
    </xf>
    <xf numFmtId="0" fontId="7" fillId="0" borderId="6" xfId="0" applyFont="1" applyBorder="1" applyAlignment="1">
      <alignment vertical="center"/>
    </xf>
    <xf numFmtId="3" fontId="9" fillId="0" borderId="28" xfId="0" applyNumberFormat="1" applyFont="1" applyBorder="1" applyAlignment="1">
      <alignment horizontal="center" vertical="center"/>
    </xf>
    <xf numFmtId="2" fontId="12" fillId="0" borderId="29" xfId="0" applyNumberFormat="1" applyFont="1" applyBorder="1" applyAlignment="1">
      <alignment horizontal="center" vertical="center"/>
    </xf>
    <xf numFmtId="0" fontId="7" fillId="0" borderId="31" xfId="0" applyFont="1" applyBorder="1" applyAlignment="1">
      <alignment vertical="center"/>
    </xf>
    <xf numFmtId="3" fontId="9" fillId="0" borderId="23" xfId="0" applyNumberFormat="1" applyFont="1" applyBorder="1" applyAlignment="1">
      <alignment horizontal="center" vertical="center"/>
    </xf>
    <xf numFmtId="2" fontId="12" fillId="0" borderId="22" xfId="0" applyNumberFormat="1" applyFont="1" applyBorder="1" applyAlignment="1">
      <alignment horizontal="center" vertical="center"/>
    </xf>
    <xf numFmtId="0" fontId="7" fillId="0" borderId="25" xfId="0" applyFont="1" applyBorder="1" applyAlignment="1">
      <alignment horizontal="center" vertical="center"/>
    </xf>
    <xf numFmtId="169" fontId="0" fillId="0" borderId="17" xfId="0" applyNumberFormat="1" applyBorder="1" applyAlignment="1">
      <alignment horizontal="center" vertical="center"/>
    </xf>
    <xf numFmtId="0" fontId="0" fillId="0" borderId="19"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165" fontId="12" fillId="0" borderId="59" xfId="0" applyNumberFormat="1" applyFont="1" applyBorder="1" applyAlignment="1">
      <alignment horizontal="center" vertical="center"/>
    </xf>
    <xf numFmtId="2" fontId="12" fillId="0" borderId="61" xfId="0" applyNumberFormat="1" applyFont="1" applyBorder="1" applyAlignment="1">
      <alignment horizontal="center" vertical="center"/>
    </xf>
    <xf numFmtId="3" fontId="9" fillId="0" borderId="26" xfId="0" applyNumberFormat="1" applyFont="1" applyBorder="1" applyAlignment="1">
      <alignment horizontal="center" vertical="center"/>
    </xf>
    <xf numFmtId="3" fontId="9" fillId="0" borderId="16" xfId="0" applyNumberFormat="1" applyFont="1" applyBorder="1" applyAlignment="1">
      <alignment horizontal="center" vertical="center"/>
    </xf>
    <xf numFmtId="0" fontId="12" fillId="0" borderId="30" xfId="0" applyFont="1" applyBorder="1" applyAlignment="1">
      <alignment horizontal="center" vertical="center" wrapText="1"/>
    </xf>
    <xf numFmtId="167" fontId="12" fillId="0" borderId="22" xfId="0" applyNumberFormat="1" applyFont="1" applyBorder="1" applyAlignment="1">
      <alignment horizontal="center" vertical="center"/>
    </xf>
    <xf numFmtId="0" fontId="12" fillId="0" borderId="16" xfId="0" applyFont="1" applyBorder="1" applyAlignment="1">
      <alignment horizontal="center" vertical="center" wrapText="1"/>
    </xf>
    <xf numFmtId="167" fontId="12" fillId="0" borderId="16" xfId="0" applyNumberFormat="1" applyFont="1" applyBorder="1" applyAlignment="1">
      <alignment horizontal="center" vertical="center"/>
    </xf>
    <xf numFmtId="0" fontId="12" fillId="0" borderId="23" xfId="0" applyFont="1" applyBorder="1" applyAlignment="1">
      <alignment horizontal="center" vertical="center" wrapText="1"/>
    </xf>
    <xf numFmtId="0" fontId="12" fillId="0" borderId="15" xfId="0" applyFont="1" applyBorder="1" applyAlignment="1">
      <alignment horizontal="center" vertical="center"/>
    </xf>
    <xf numFmtId="0" fontId="12" fillId="0" borderId="16" xfId="0" applyFont="1" applyBorder="1" applyAlignment="1">
      <alignment horizontal="center" vertical="center"/>
    </xf>
    <xf numFmtId="0" fontId="12" fillId="0" borderId="15" xfId="0" applyFont="1" applyBorder="1" applyAlignment="1">
      <alignment vertical="center"/>
    </xf>
    <xf numFmtId="0" fontId="9" fillId="0" borderId="15" xfId="0" applyFont="1" applyBorder="1" applyAlignment="1">
      <alignment horizontal="center" vertical="center"/>
    </xf>
    <xf numFmtId="0" fontId="12" fillId="0" borderId="16" xfId="0" applyFont="1" applyBorder="1" applyAlignment="1">
      <alignment vertical="center"/>
    </xf>
    <xf numFmtId="0" fontId="9" fillId="0" borderId="16" xfId="0" applyFont="1" applyBorder="1" applyAlignment="1">
      <alignment horizontal="center" vertical="center"/>
    </xf>
    <xf numFmtId="0" fontId="12" fillId="0" borderId="18" xfId="0" applyFont="1" applyBorder="1" applyAlignment="1">
      <alignment vertical="center"/>
    </xf>
    <xf numFmtId="0" fontId="12" fillId="0" borderId="31" xfId="0" applyFont="1" applyBorder="1" applyAlignment="1">
      <alignment vertical="center"/>
    </xf>
    <xf numFmtId="11" fontId="12" fillId="0" borderId="25" xfId="0" applyNumberFormat="1" applyFont="1" applyBorder="1" applyAlignment="1">
      <alignment horizontal="center" vertical="center"/>
    </xf>
    <xf numFmtId="11" fontId="12" fillId="0" borderId="9" xfId="0" applyNumberFormat="1" applyFont="1" applyBorder="1" applyAlignment="1">
      <alignment horizontal="center" vertical="center"/>
    </xf>
    <xf numFmtId="11" fontId="12" fillId="0" borderId="30" xfId="0" applyNumberFormat="1" applyFont="1" applyBorder="1" applyAlignment="1">
      <alignment horizontal="center" vertical="center"/>
    </xf>
    <xf numFmtId="11" fontId="12" fillId="0" borderId="1" xfId="0" applyNumberFormat="1" applyFont="1" applyBorder="1" applyAlignment="1">
      <alignment horizontal="center" vertical="center"/>
    </xf>
    <xf numFmtId="11" fontId="12" fillId="0" borderId="80" xfId="0" applyNumberFormat="1" applyFont="1" applyBorder="1" applyAlignment="1">
      <alignment horizontal="center" vertical="center"/>
    </xf>
    <xf numFmtId="11" fontId="12" fillId="0" borderId="21" xfId="0" applyNumberFormat="1" applyFont="1" applyBorder="1" applyAlignment="1">
      <alignment horizontal="center" vertical="center"/>
    </xf>
    <xf numFmtId="11" fontId="12" fillId="0" borderId="16" xfId="0" applyNumberFormat="1" applyFont="1" applyBorder="1" applyAlignment="1">
      <alignment horizontal="center" vertical="center"/>
    </xf>
    <xf numFmtId="11" fontId="12" fillId="0" borderId="61" xfId="0" applyNumberFormat="1" applyFont="1" applyBorder="1" applyAlignment="1">
      <alignment horizontal="center" vertical="center"/>
    </xf>
    <xf numFmtId="11" fontId="12" fillId="0" borderId="23" xfId="0" applyNumberFormat="1" applyFont="1" applyBorder="1" applyAlignment="1">
      <alignment horizontal="center" vertical="center"/>
    </xf>
    <xf numFmtId="3" fontId="12" fillId="0" borderId="36" xfId="0" applyNumberFormat="1" applyFont="1" applyBorder="1" applyAlignment="1">
      <alignment horizontal="center" vertical="center" wrapText="1"/>
    </xf>
    <xf numFmtId="3" fontId="12" fillId="0" borderId="25" xfId="0" applyNumberFormat="1" applyFont="1" applyBorder="1" applyAlignment="1">
      <alignment horizontal="center" vertical="center" wrapText="1"/>
    </xf>
    <xf numFmtId="3" fontId="12" fillId="0" borderId="30" xfId="0" applyNumberFormat="1" applyFont="1" applyBorder="1" applyAlignment="1">
      <alignment horizontal="center" vertical="center" wrapText="1"/>
    </xf>
    <xf numFmtId="3" fontId="12" fillId="0" borderId="20" xfId="0" applyNumberFormat="1" applyFont="1" applyBorder="1" applyAlignment="1">
      <alignment horizontal="center" vertical="center" wrapText="1"/>
    </xf>
    <xf numFmtId="3" fontId="12" fillId="0" borderId="1" xfId="0" applyNumberFormat="1" applyFont="1" applyBorder="1" applyAlignment="1">
      <alignment horizontal="center" vertical="center" wrapText="1"/>
    </xf>
    <xf numFmtId="3" fontId="12" fillId="0" borderId="21" xfId="0" applyNumberFormat="1" applyFont="1" applyBorder="1" applyAlignment="1">
      <alignment horizontal="center" vertical="center" wrapText="1"/>
    </xf>
    <xf numFmtId="3" fontId="12" fillId="0" borderId="22" xfId="0" applyNumberFormat="1" applyFont="1" applyBorder="1" applyAlignment="1">
      <alignment horizontal="center" vertical="center" wrapText="1"/>
    </xf>
    <xf numFmtId="3" fontId="12" fillId="0" borderId="16" xfId="0" applyNumberFormat="1" applyFont="1" applyBorder="1" applyAlignment="1">
      <alignment horizontal="center" vertical="center" wrapText="1"/>
    </xf>
    <xf numFmtId="3" fontId="12" fillId="0" borderId="23" xfId="0" applyNumberFormat="1" applyFont="1" applyBorder="1" applyAlignment="1">
      <alignment horizontal="center" vertical="center" wrapText="1"/>
    </xf>
    <xf numFmtId="165" fontId="12" fillId="0" borderId="15" xfId="0" applyNumberFormat="1" applyFont="1" applyBorder="1" applyAlignment="1">
      <alignment horizontal="center" vertical="center"/>
    </xf>
    <xf numFmtId="165" fontId="12" fillId="0" borderId="19" xfId="0" applyNumberFormat="1" applyFont="1" applyBorder="1" applyAlignment="1">
      <alignment horizontal="center" vertical="center"/>
    </xf>
    <xf numFmtId="165" fontId="12" fillId="0" borderId="1" xfId="0" applyNumberFormat="1" applyFont="1" applyBorder="1" applyAlignment="1">
      <alignment horizontal="center" vertical="center"/>
    </xf>
    <xf numFmtId="165" fontId="12" fillId="0" borderId="21" xfId="0" applyNumberFormat="1" applyFont="1" applyBorder="1" applyAlignment="1">
      <alignment horizontal="center" vertical="center"/>
    </xf>
    <xf numFmtId="165" fontId="12" fillId="0" borderId="16" xfId="0" applyNumberFormat="1" applyFont="1" applyBorder="1" applyAlignment="1">
      <alignment horizontal="center" vertical="center"/>
    </xf>
    <xf numFmtId="165" fontId="12" fillId="0" borderId="23" xfId="0" applyNumberFormat="1" applyFont="1" applyBorder="1" applyAlignment="1">
      <alignment horizontal="center" vertical="center"/>
    </xf>
    <xf numFmtId="3" fontId="12" fillId="0" borderId="15" xfId="0" applyNumberFormat="1" applyFont="1" applyBorder="1" applyAlignment="1">
      <alignment horizontal="center" vertical="center" wrapText="1"/>
    </xf>
    <xf numFmtId="3" fontId="12" fillId="0" borderId="19" xfId="0" applyNumberFormat="1" applyFont="1" applyBorder="1" applyAlignment="1">
      <alignment horizontal="center" vertical="center" wrapText="1"/>
    </xf>
    <xf numFmtId="0" fontId="1" fillId="3" borderId="0" xfId="0" applyFont="1" applyFill="1" applyAlignment="1">
      <alignment wrapText="1"/>
    </xf>
    <xf numFmtId="164" fontId="0" fillId="3" borderId="25" xfId="0" applyNumberFormat="1" applyFill="1" applyBorder="1" applyAlignment="1">
      <alignment horizontal="center" vertical="center" wrapText="1"/>
    </xf>
    <xf numFmtId="1" fontId="0" fillId="0" borderId="0" xfId="0" applyNumberFormat="1"/>
    <xf numFmtId="170" fontId="9" fillId="0" borderId="19" xfId="0" applyNumberFormat="1" applyFont="1" applyBorder="1" applyAlignment="1">
      <alignment horizontal="center" vertical="center" wrapText="1"/>
    </xf>
    <xf numFmtId="170" fontId="9" fillId="0" borderId="43" xfId="0" applyNumberFormat="1" applyFont="1" applyBorder="1" applyAlignment="1">
      <alignment horizontal="center" vertical="center" wrapText="1"/>
    </xf>
    <xf numFmtId="0" fontId="0" fillId="0" borderId="25" xfId="0" applyBorder="1" applyAlignment="1">
      <alignment horizontal="center"/>
    </xf>
    <xf numFmtId="0" fontId="0" fillId="0" borderId="25" xfId="0" applyBorder="1" applyAlignment="1">
      <alignment vertical="center"/>
    </xf>
    <xf numFmtId="0" fontId="7" fillId="8" borderId="25" xfId="0" applyFont="1" applyFill="1" applyBorder="1" applyAlignment="1">
      <alignment horizontal="left" vertical="center"/>
    </xf>
    <xf numFmtId="0" fontId="39" fillId="15" borderId="16" xfId="0" applyFont="1" applyFill="1" applyBorder="1" applyAlignment="1">
      <alignment horizontal="center" vertical="center"/>
    </xf>
    <xf numFmtId="0" fontId="39" fillId="15" borderId="31" xfId="0" applyFont="1" applyFill="1" applyBorder="1" applyAlignment="1">
      <alignment horizontal="center" vertical="center"/>
    </xf>
    <xf numFmtId="0" fontId="3" fillId="16" borderId="22" xfId="0" applyFont="1" applyFill="1" applyBorder="1" applyAlignment="1">
      <alignment horizontal="center" vertical="center" wrapText="1"/>
    </xf>
    <xf numFmtId="0" fontId="1" fillId="3" borderId="0" xfId="0" applyFont="1" applyFill="1" applyAlignment="1">
      <alignment horizontal="right"/>
    </xf>
    <xf numFmtId="165" fontId="12" fillId="0" borderId="26" xfId="0" applyNumberFormat="1" applyFont="1" applyBorder="1" applyAlignment="1">
      <alignment horizontal="center" vertical="center"/>
    </xf>
    <xf numFmtId="0" fontId="0" fillId="0" borderId="1" xfId="0" applyBorder="1" applyAlignment="1">
      <alignment vertical="center" wrapText="1"/>
    </xf>
    <xf numFmtId="0" fontId="25" fillId="4" borderId="50" xfId="0" applyFont="1" applyFill="1" applyBorder="1" applyAlignment="1">
      <alignment horizontal="center" vertical="center" wrapText="1"/>
    </xf>
    <xf numFmtId="0" fontId="7" fillId="2" borderId="17" xfId="0" applyFont="1" applyFill="1" applyBorder="1" applyAlignment="1">
      <alignment horizontal="center" vertical="center"/>
    </xf>
    <xf numFmtId="0" fontId="7" fillId="2" borderId="20" xfId="0" applyFont="1" applyFill="1" applyBorder="1" applyAlignment="1">
      <alignment horizontal="center" vertical="center"/>
    </xf>
    <xf numFmtId="0" fontId="2" fillId="3" borderId="0" xfId="0" applyFont="1" applyFill="1" applyAlignment="1">
      <alignment horizontal="left" vertical="center" wrapText="1"/>
    </xf>
    <xf numFmtId="0" fontId="9" fillId="5" borderId="17" xfId="0" applyFont="1" applyFill="1" applyBorder="1" applyAlignment="1">
      <alignment horizontal="center" vertical="center" wrapText="1"/>
    </xf>
    <xf numFmtId="0" fontId="9" fillId="5" borderId="22" xfId="0" applyFont="1" applyFill="1" applyBorder="1" applyAlignment="1">
      <alignment horizontal="center" vertical="center" wrapText="1"/>
    </xf>
    <xf numFmtId="0" fontId="9" fillId="9"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6" xfId="0" applyFont="1" applyFill="1" applyBorder="1" applyAlignment="1">
      <alignment horizontal="center" vertical="center" wrapText="1"/>
    </xf>
    <xf numFmtId="0" fontId="9" fillId="5" borderId="59" xfId="0" applyFont="1" applyFill="1" applyBorder="1" applyAlignment="1">
      <alignment horizontal="center" vertical="center" wrapText="1"/>
    </xf>
    <xf numFmtId="0" fontId="2" fillId="3" borderId="0" xfId="0" applyFont="1" applyFill="1" applyAlignment="1">
      <alignment horizontal="center" vertical="center" wrapText="1"/>
    </xf>
    <xf numFmtId="0" fontId="9" fillId="5" borderId="19" xfId="0" applyFont="1" applyFill="1" applyBorder="1" applyAlignment="1">
      <alignment horizontal="center" vertical="center" wrapText="1"/>
    </xf>
    <xf numFmtId="0" fontId="9" fillId="5" borderId="23" xfId="0" applyFont="1" applyFill="1" applyBorder="1" applyAlignment="1">
      <alignment horizontal="center" vertical="center" wrapText="1"/>
    </xf>
    <xf numFmtId="0" fontId="30" fillId="3" borderId="32" xfId="0" applyFont="1" applyFill="1" applyBorder="1" applyAlignment="1">
      <alignment horizontal="center" vertical="center" wrapText="1"/>
    </xf>
    <xf numFmtId="0" fontId="9" fillId="5" borderId="61" xfId="0" applyFont="1" applyFill="1" applyBorder="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9" fillId="2" borderId="26" xfId="0" applyFont="1" applyFill="1" applyBorder="1" applyAlignment="1">
      <alignment horizontal="center" vertical="center" wrapText="1"/>
    </xf>
    <xf numFmtId="0" fontId="9" fillId="2" borderId="64" xfId="0" applyFont="1" applyFill="1" applyBorder="1" applyAlignment="1">
      <alignment horizontal="center" vertical="center" wrapText="1"/>
    </xf>
    <xf numFmtId="0" fontId="0" fillId="3" borderId="0" xfId="0" applyFill="1" applyAlignment="1">
      <alignment wrapText="1"/>
    </xf>
    <xf numFmtId="0" fontId="46" fillId="0" borderId="0" xfId="0" applyFont="1" applyAlignment="1">
      <alignment horizontal="center" vertical="center" wrapText="1"/>
    </xf>
    <xf numFmtId="0" fontId="47" fillId="0" borderId="0" xfId="0" applyFont="1" applyAlignment="1">
      <alignment vertical="center" wrapText="1"/>
    </xf>
    <xf numFmtId="0" fontId="1" fillId="21" borderId="1" xfId="0" applyFont="1" applyFill="1" applyBorder="1" applyAlignment="1">
      <alignment horizontal="center" vertical="center" wrapText="1"/>
    </xf>
    <xf numFmtId="0" fontId="0" fillId="18" borderId="1" xfId="0" applyFill="1" applyBorder="1" applyAlignment="1">
      <alignment horizontal="center" vertical="center" wrapText="1"/>
    </xf>
    <xf numFmtId="0" fontId="48" fillId="3" borderId="75" xfId="3" applyFill="1" applyBorder="1" applyAlignment="1">
      <alignment horizontal="center" wrapText="1"/>
    </xf>
    <xf numFmtId="0" fontId="48" fillId="3" borderId="83" xfId="3" applyFill="1" applyBorder="1" applyAlignment="1">
      <alignment horizontal="center" vertical="center" wrapText="1"/>
    </xf>
    <xf numFmtId="0" fontId="0" fillId="3" borderId="83" xfId="0" applyFill="1" applyBorder="1" applyAlignment="1">
      <alignment horizontal="left" vertical="center" wrapText="1"/>
    </xf>
    <xf numFmtId="0" fontId="0" fillId="3" borderId="94" xfId="0" applyFill="1" applyBorder="1" applyAlignment="1">
      <alignment horizontal="left" vertical="center" wrapText="1"/>
    </xf>
    <xf numFmtId="0" fontId="1" fillId="3" borderId="75" xfId="0" applyFont="1" applyFill="1" applyBorder="1" applyAlignment="1">
      <alignment horizontal="center" vertical="center"/>
    </xf>
    <xf numFmtId="0" fontId="1" fillId="3" borderId="94" xfId="0" applyFont="1" applyFill="1" applyBorder="1" applyAlignment="1">
      <alignment horizontal="center" vertical="center"/>
    </xf>
    <xf numFmtId="0" fontId="0" fillId="3" borderId="83" xfId="0" applyFill="1" applyBorder="1" applyAlignment="1">
      <alignment horizontal="center" vertical="center" wrapText="1"/>
    </xf>
    <xf numFmtId="0" fontId="0" fillId="3" borderId="0" xfId="0" applyFont="1" applyFill="1"/>
    <xf numFmtId="0" fontId="0" fillId="16" borderId="73" xfId="0" applyFont="1" applyFill="1" applyBorder="1" applyAlignment="1">
      <alignment horizontal="center"/>
    </xf>
    <xf numFmtId="170" fontId="0" fillId="16" borderId="73" xfId="0" applyNumberFormat="1" applyFont="1" applyFill="1" applyBorder="1" applyAlignment="1">
      <alignment horizontal="center"/>
    </xf>
    <xf numFmtId="0" fontId="0" fillId="3" borderId="0" xfId="0" applyFont="1" applyFill="1" applyAlignment="1">
      <alignment horizontal="center"/>
    </xf>
    <xf numFmtId="0" fontId="49" fillId="3" borderId="0" xfId="0" applyFont="1" applyFill="1" applyAlignment="1">
      <alignment vertical="center"/>
    </xf>
    <xf numFmtId="0" fontId="51" fillId="21" borderId="39" xfId="0" applyFont="1" applyFill="1" applyBorder="1" applyAlignment="1">
      <alignment horizontal="center" vertical="center" wrapText="1"/>
    </xf>
    <xf numFmtId="0" fontId="51" fillId="21" borderId="73" xfId="0" applyFont="1" applyFill="1" applyBorder="1" applyAlignment="1">
      <alignment horizontal="center" vertical="center" wrapText="1"/>
    </xf>
    <xf numFmtId="0" fontId="51" fillId="21" borderId="51" xfId="0" applyFont="1" applyFill="1" applyBorder="1" applyAlignment="1">
      <alignment horizontal="center" vertical="center" wrapText="1"/>
    </xf>
    <xf numFmtId="0" fontId="51" fillId="21" borderId="48" xfId="0" applyFont="1" applyFill="1" applyBorder="1" applyAlignment="1">
      <alignment horizontal="center" vertical="center" wrapText="1"/>
    </xf>
    <xf numFmtId="0" fontId="51" fillId="21" borderId="56" xfId="0" applyFont="1" applyFill="1" applyBorder="1" applyAlignment="1">
      <alignment horizontal="center" vertical="center" wrapText="1"/>
    </xf>
    <xf numFmtId="0" fontId="51" fillId="21" borderId="35" xfId="0" applyFont="1" applyFill="1" applyBorder="1" applyAlignment="1">
      <alignment horizontal="center" vertical="center" wrapText="1"/>
    </xf>
    <xf numFmtId="0" fontId="51" fillId="21" borderId="64" xfId="0" applyFont="1" applyFill="1" applyBorder="1" applyAlignment="1">
      <alignment horizontal="center" vertical="center" wrapText="1"/>
    </xf>
    <xf numFmtId="0" fontId="51" fillId="21" borderId="26" xfId="0" applyFont="1" applyFill="1" applyBorder="1" applyAlignment="1">
      <alignment horizontal="center" vertical="center" wrapText="1"/>
    </xf>
    <xf numFmtId="0" fontId="51" fillId="21" borderId="28" xfId="0" applyFont="1" applyFill="1" applyBorder="1" applyAlignment="1">
      <alignment horizontal="center" vertical="center" wrapText="1"/>
    </xf>
    <xf numFmtId="0" fontId="0" fillId="3" borderId="55" xfId="0" applyFont="1" applyFill="1" applyBorder="1"/>
    <xf numFmtId="0" fontId="0" fillId="22" borderId="73" xfId="0" applyFont="1" applyFill="1" applyBorder="1" applyAlignment="1">
      <alignment horizontal="center"/>
    </xf>
    <xf numFmtId="0" fontId="0" fillId="3" borderId="73" xfId="0" applyFont="1" applyFill="1" applyBorder="1" applyAlignment="1">
      <alignment horizontal="center"/>
    </xf>
    <xf numFmtId="3" fontId="0" fillId="3" borderId="48" xfId="0" applyNumberFormat="1" applyFont="1" applyFill="1" applyBorder="1" applyAlignment="1">
      <alignment horizontal="center"/>
    </xf>
    <xf numFmtId="2" fontId="53" fillId="3" borderId="39" xfId="0" applyNumberFormat="1" applyFont="1" applyFill="1" applyBorder="1" applyAlignment="1">
      <alignment horizontal="center" vertical="center" wrapText="1"/>
    </xf>
    <xf numFmtId="11" fontId="54" fillId="3" borderId="39" xfId="0" applyNumberFormat="1" applyFont="1" applyFill="1" applyBorder="1" applyAlignment="1">
      <alignment horizontal="center" vertical="center" wrapText="1"/>
    </xf>
    <xf numFmtId="0" fontId="0" fillId="3" borderId="55" xfId="0" applyFont="1" applyFill="1" applyBorder="1" applyAlignment="1" applyProtection="1">
      <alignment horizontal="center" vertical="center"/>
      <protection locked="0"/>
    </xf>
    <xf numFmtId="0" fontId="0" fillId="3" borderId="26" xfId="0" applyFont="1" applyFill="1" applyBorder="1" applyAlignment="1" applyProtection="1">
      <alignment horizontal="center" vertical="center"/>
      <protection locked="0"/>
    </xf>
    <xf numFmtId="0" fontId="0" fillId="3" borderId="56" xfId="0" applyFont="1" applyFill="1" applyBorder="1" applyAlignment="1" applyProtection="1">
      <alignment horizontal="center" vertical="center"/>
      <protection locked="0"/>
    </xf>
    <xf numFmtId="0" fontId="0" fillId="3" borderId="73" xfId="0" applyFont="1" applyFill="1" applyBorder="1"/>
    <xf numFmtId="1" fontId="0" fillId="3" borderId="73" xfId="0" applyNumberFormat="1" applyFont="1" applyFill="1" applyBorder="1" applyAlignment="1">
      <alignment horizontal="center"/>
    </xf>
    <xf numFmtId="164" fontId="0" fillId="3" borderId="73" xfId="0" applyNumberFormat="1" applyFont="1" applyFill="1" applyBorder="1" applyAlignment="1">
      <alignment horizontal="center"/>
    </xf>
    <xf numFmtId="11" fontId="0" fillId="3" borderId="73" xfId="0" applyNumberFormat="1" applyFont="1" applyFill="1" applyBorder="1" applyAlignment="1">
      <alignment horizontal="center"/>
    </xf>
    <xf numFmtId="0" fontId="0" fillId="3" borderId="70" xfId="0" applyFont="1" applyFill="1" applyBorder="1"/>
    <xf numFmtId="0" fontId="53" fillId="3" borderId="72" xfId="0" applyFont="1" applyFill="1" applyBorder="1" applyAlignment="1">
      <alignment horizontal="center" vertical="center" wrapText="1"/>
    </xf>
    <xf numFmtId="0" fontId="0" fillId="3" borderId="93" xfId="0" applyFont="1" applyFill="1" applyBorder="1" applyAlignment="1" applyProtection="1">
      <alignment horizontal="center" vertical="center"/>
      <protection locked="0"/>
    </xf>
    <xf numFmtId="0" fontId="0" fillId="3" borderId="25" xfId="0" applyFont="1" applyFill="1" applyBorder="1" applyAlignment="1" applyProtection="1">
      <alignment horizontal="center" vertical="center"/>
      <protection locked="0"/>
    </xf>
    <xf numFmtId="0" fontId="0" fillId="3" borderId="88" xfId="0" applyFont="1" applyFill="1" applyBorder="1" applyAlignment="1" applyProtection="1">
      <alignment horizontal="center" vertical="center"/>
      <protection locked="0"/>
    </xf>
    <xf numFmtId="2" fontId="0" fillId="3" borderId="73" xfId="0" applyNumberFormat="1" applyFont="1" applyFill="1" applyBorder="1" applyAlignment="1">
      <alignment horizontal="center"/>
    </xf>
    <xf numFmtId="0" fontId="0" fillId="3" borderId="110" xfId="0" applyFont="1" applyFill="1" applyBorder="1" applyAlignment="1" applyProtection="1">
      <alignment horizontal="center" vertical="center"/>
      <protection locked="0"/>
    </xf>
    <xf numFmtId="0" fontId="0" fillId="3" borderId="33" xfId="0" applyFont="1" applyFill="1" applyBorder="1" applyAlignment="1" applyProtection="1">
      <alignment horizontal="center" vertical="center"/>
      <protection locked="0"/>
    </xf>
    <xf numFmtId="0" fontId="0" fillId="3" borderId="111" xfId="0" applyFont="1" applyFill="1" applyBorder="1" applyAlignment="1" applyProtection="1">
      <alignment horizontal="center" vertical="center"/>
      <protection locked="0"/>
    </xf>
    <xf numFmtId="0" fontId="0" fillId="3" borderId="0" xfId="0" quotePrefix="1" applyFont="1" applyFill="1"/>
    <xf numFmtId="2" fontId="53" fillId="3" borderId="48" xfId="0" applyNumberFormat="1" applyFont="1" applyFill="1" applyBorder="1" applyAlignment="1">
      <alignment horizontal="center" vertical="center" wrapText="1"/>
    </xf>
    <xf numFmtId="11" fontId="54" fillId="3" borderId="48" xfId="0" applyNumberFormat="1" applyFont="1" applyFill="1" applyBorder="1" applyAlignment="1">
      <alignment horizontal="center" vertical="center" wrapText="1"/>
    </xf>
    <xf numFmtId="0" fontId="0" fillId="3" borderId="76" xfId="0" applyFont="1" applyFill="1" applyBorder="1" applyAlignment="1" applyProtection="1">
      <alignment horizontal="center" vertical="center"/>
      <protection locked="0"/>
    </xf>
    <xf numFmtId="0" fontId="0" fillId="3" borderId="38" xfId="0" applyFont="1" applyFill="1" applyBorder="1" applyAlignment="1" applyProtection="1">
      <alignment horizontal="center" vertical="center"/>
      <protection locked="0"/>
    </xf>
    <xf numFmtId="0" fontId="0" fillId="3" borderId="72" xfId="0" applyFont="1" applyFill="1" applyBorder="1" applyAlignment="1" applyProtection="1">
      <alignment horizontal="center" vertical="center"/>
      <protection locked="0"/>
    </xf>
    <xf numFmtId="3" fontId="0" fillId="3" borderId="73" xfId="0" applyNumberFormat="1" applyFont="1" applyFill="1" applyBorder="1" applyAlignment="1">
      <alignment horizontal="center"/>
    </xf>
    <xf numFmtId="1" fontId="0" fillId="3" borderId="0" xfId="0" applyNumberFormat="1" applyFont="1" applyFill="1"/>
    <xf numFmtId="0" fontId="53" fillId="3" borderId="0" xfId="0" applyFont="1" applyFill="1" applyAlignment="1">
      <alignment vertical="center"/>
    </xf>
    <xf numFmtId="0" fontId="0" fillId="3" borderId="0" xfId="0" applyFont="1" applyFill="1" applyAlignment="1">
      <alignment horizontal="center" vertical="center"/>
    </xf>
    <xf numFmtId="0" fontId="54" fillId="3" borderId="0" xfId="0" quotePrefix="1" applyFont="1" applyFill="1" applyAlignment="1">
      <alignment vertical="center"/>
    </xf>
    <xf numFmtId="0" fontId="54" fillId="3" borderId="0" xfId="0" applyFont="1" applyFill="1" applyAlignment="1">
      <alignment vertical="center"/>
    </xf>
    <xf numFmtId="0" fontId="55" fillId="3" borderId="0" xfId="0" applyFont="1" applyFill="1" applyAlignment="1">
      <alignment vertical="center"/>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0" fontId="1" fillId="10" borderId="13" xfId="0" applyFont="1" applyFill="1" applyBorder="1" applyAlignment="1">
      <alignment horizontal="center" vertical="center" wrapText="1"/>
    </xf>
    <xf numFmtId="0" fontId="1" fillId="10" borderId="14" xfId="0" applyFont="1" applyFill="1" applyBorder="1" applyAlignment="1">
      <alignment horizontal="center" vertical="center" wrapText="1"/>
    </xf>
    <xf numFmtId="0" fontId="0" fillId="3" borderId="12" xfId="0" applyFill="1" applyBorder="1" applyAlignment="1">
      <alignment vertical="center"/>
    </xf>
    <xf numFmtId="0" fontId="1" fillId="3" borderId="12" xfId="0" applyFont="1" applyFill="1" applyBorder="1" applyAlignment="1">
      <alignment horizontal="center" vertical="center" wrapText="1"/>
    </xf>
    <xf numFmtId="0" fontId="1" fillId="3" borderId="14" xfId="0" applyFont="1" applyFill="1" applyBorder="1" applyAlignment="1">
      <alignment horizontal="center" vertical="center" wrapText="1"/>
    </xf>
    <xf numFmtId="164" fontId="0" fillId="20" borderId="75" xfId="0" quotePrefix="1" applyNumberFormat="1" applyFill="1" applyBorder="1" applyAlignment="1">
      <alignment horizontal="center" vertical="center"/>
    </xf>
    <xf numFmtId="2" fontId="0" fillId="20" borderId="75" xfId="0" quotePrefix="1" applyNumberFormat="1" applyFill="1" applyBorder="1" applyAlignment="1">
      <alignment horizontal="center" vertical="center"/>
    </xf>
    <xf numFmtId="0" fontId="0" fillId="20" borderId="75" xfId="0" applyFill="1" applyBorder="1" applyAlignment="1">
      <alignment horizontal="center" vertical="center"/>
    </xf>
    <xf numFmtId="0" fontId="0" fillId="10" borderId="75" xfId="0" quotePrefix="1" applyFill="1" applyBorder="1" applyAlignment="1">
      <alignment horizontal="center" vertical="center"/>
    </xf>
    <xf numFmtId="0" fontId="0" fillId="10" borderId="74" xfId="0" quotePrefix="1" applyFill="1" applyBorder="1" applyAlignment="1">
      <alignment horizontal="center" vertical="center"/>
    </xf>
    <xf numFmtId="164" fontId="0" fillId="20" borderId="94" xfId="0" quotePrefix="1" applyNumberFormat="1" applyFill="1" applyBorder="1" applyAlignment="1">
      <alignment horizontal="center" vertical="center"/>
    </xf>
    <xf numFmtId="2" fontId="0" fillId="20" borderId="94" xfId="0" quotePrefix="1" applyNumberFormat="1" applyFill="1" applyBorder="1" applyAlignment="1">
      <alignment horizontal="center" vertical="center"/>
    </xf>
    <xf numFmtId="0" fontId="0" fillId="20" borderId="94" xfId="0" applyFill="1" applyBorder="1" applyAlignment="1">
      <alignment horizontal="center" vertical="center"/>
    </xf>
    <xf numFmtId="2" fontId="0" fillId="3" borderId="83" xfId="0" applyNumberFormat="1" applyFill="1" applyBorder="1" applyAlignment="1">
      <alignment horizontal="center" vertical="center"/>
    </xf>
    <xf numFmtId="2" fontId="0" fillId="3" borderId="83" xfId="0" quotePrefix="1" applyNumberFormat="1" applyFill="1" applyBorder="1" applyAlignment="1">
      <alignment horizontal="center" vertical="center"/>
    </xf>
    <xf numFmtId="170" fontId="0" fillId="20" borderId="83" xfId="0" applyNumberFormat="1" applyFill="1" applyBorder="1" applyAlignment="1">
      <alignment horizontal="center" vertical="center"/>
    </xf>
    <xf numFmtId="11" fontId="0" fillId="20" borderId="83" xfId="0" quotePrefix="1" applyNumberFormat="1" applyFill="1" applyBorder="1" applyAlignment="1">
      <alignment horizontal="center" vertical="center"/>
    </xf>
    <xf numFmtId="11" fontId="0" fillId="20" borderId="84" xfId="0" quotePrefix="1" applyNumberFormat="1" applyFill="1" applyBorder="1" applyAlignment="1">
      <alignment horizontal="center" vertical="center"/>
    </xf>
    <xf numFmtId="0" fontId="0" fillId="3" borderId="75" xfId="0" applyFill="1" applyBorder="1" applyAlignment="1">
      <alignment horizontal="center" vertical="center" wrapText="1"/>
    </xf>
    <xf numFmtId="0" fontId="0" fillId="3" borderId="94" xfId="0" applyFill="1" applyBorder="1" applyAlignment="1">
      <alignment horizontal="center" vertical="center" wrapText="1"/>
    </xf>
    <xf numFmtId="0" fontId="0" fillId="3" borderId="94" xfId="0" applyFill="1" applyBorder="1" applyAlignment="1">
      <alignment vertical="center" wrapText="1"/>
    </xf>
    <xf numFmtId="0" fontId="8" fillId="21" borderId="26" xfId="0" applyFont="1" applyFill="1" applyBorder="1" applyAlignment="1">
      <alignment vertical="center" wrapText="1"/>
    </xf>
    <xf numFmtId="0" fontId="8" fillId="21" borderId="79" xfId="0" applyFont="1" applyFill="1" applyBorder="1" applyAlignment="1">
      <alignment vertical="center" wrapText="1"/>
    </xf>
    <xf numFmtId="1" fontId="8" fillId="21" borderId="26" xfId="0" applyNumberFormat="1" applyFont="1" applyFill="1" applyBorder="1" applyAlignment="1">
      <alignment vertical="center" wrapText="1"/>
    </xf>
    <xf numFmtId="0" fontId="9" fillId="21" borderId="26" xfId="0" applyFont="1" applyFill="1" applyBorder="1" applyAlignment="1">
      <alignment horizontal="center" vertical="center" wrapText="1"/>
    </xf>
    <xf numFmtId="0" fontId="8" fillId="21" borderId="28" xfId="0" applyFont="1" applyFill="1" applyBorder="1" applyAlignment="1">
      <alignment vertical="center" wrapText="1"/>
    </xf>
    <xf numFmtId="0" fontId="7" fillId="21" borderId="0" xfId="0" applyFont="1" applyFill="1"/>
    <xf numFmtId="0" fontId="8" fillId="21" borderId="0" xfId="0" applyFont="1" applyFill="1" applyAlignment="1">
      <alignment vertical="center" wrapText="1"/>
    </xf>
    <xf numFmtId="0" fontId="8" fillId="21" borderId="0" xfId="0" applyFont="1" applyFill="1" applyAlignment="1">
      <alignment vertical="center"/>
    </xf>
    <xf numFmtId="0" fontId="9" fillId="21" borderId="0" xfId="0" applyFont="1" applyFill="1" applyAlignment="1">
      <alignment vertical="center" wrapText="1"/>
    </xf>
    <xf numFmtId="0" fontId="8" fillId="21" borderId="27" xfId="0" applyFont="1" applyFill="1" applyBorder="1" applyAlignment="1">
      <alignment horizontal="center" vertical="center" wrapText="1"/>
    </xf>
    <xf numFmtId="0" fontId="8" fillId="21" borderId="1" xfId="0" applyFont="1" applyFill="1" applyBorder="1" applyAlignment="1">
      <alignment horizontal="center" vertical="center" wrapText="1"/>
    </xf>
    <xf numFmtId="0" fontId="8" fillId="21" borderId="33" xfId="0" applyFont="1" applyFill="1" applyBorder="1" applyAlignment="1">
      <alignment horizontal="center" vertical="center" wrapText="1"/>
    </xf>
    <xf numFmtId="1" fontId="8" fillId="21" borderId="27" xfId="0" applyNumberFormat="1" applyFont="1" applyFill="1" applyBorder="1" applyAlignment="1">
      <alignment horizontal="center" vertical="center" wrapText="1"/>
    </xf>
    <xf numFmtId="0" fontId="8" fillId="21" borderId="29"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1" borderId="26" xfId="0" applyFont="1" applyFill="1" applyBorder="1" applyAlignment="1">
      <alignment horizontal="center" vertical="center" wrapText="1"/>
    </xf>
    <xf numFmtId="0" fontId="7" fillId="8" borderId="1" xfId="0" applyFont="1" applyFill="1" applyBorder="1" applyAlignment="1">
      <alignment horizontal="center" vertical="center"/>
    </xf>
    <xf numFmtId="0" fontId="44" fillId="0" borderId="0" xfId="0" applyFont="1" applyAlignment="1">
      <alignment horizontal="center"/>
    </xf>
    <xf numFmtId="0" fontId="8" fillId="21" borderId="64" xfId="0" applyFont="1" applyFill="1" applyBorder="1" applyAlignment="1">
      <alignment vertical="center" wrapText="1"/>
    </xf>
    <xf numFmtId="0" fontId="8" fillId="21" borderId="7" xfId="0" applyFont="1" applyFill="1" applyBorder="1" applyAlignment="1">
      <alignment horizontal="center" vertical="center" wrapText="1"/>
    </xf>
    <xf numFmtId="0" fontId="7" fillId="0" borderId="80" xfId="0" applyFont="1" applyBorder="1" applyAlignment="1">
      <alignment horizontal="center" vertical="center"/>
    </xf>
    <xf numFmtId="0" fontId="44" fillId="0" borderId="1" xfId="0" applyFont="1" applyBorder="1" applyAlignment="1">
      <alignment horizontal="center"/>
    </xf>
    <xf numFmtId="0" fontId="20" fillId="0" borderId="1" xfId="0" applyFont="1" applyBorder="1" applyAlignment="1">
      <alignment horizontal="center" vertical="center"/>
    </xf>
    <xf numFmtId="0" fontId="0" fillId="0" borderId="0" xfId="0" applyAlignment="1">
      <alignment horizontal="center"/>
    </xf>
    <xf numFmtId="3" fontId="0" fillId="0" borderId="25" xfId="0" applyNumberFormat="1" applyBorder="1" applyAlignment="1">
      <alignment horizontal="center"/>
    </xf>
    <xf numFmtId="3" fontId="0" fillId="0" borderId="1" xfId="0" applyNumberFormat="1" applyBorder="1" applyAlignment="1">
      <alignment horizontal="center"/>
    </xf>
    <xf numFmtId="164" fontId="0" fillId="0" borderId="1" xfId="0" applyNumberFormat="1" applyBorder="1" applyAlignment="1">
      <alignment horizontal="center"/>
    </xf>
    <xf numFmtId="2" fontId="0" fillId="0" borderId="1" xfId="0" applyNumberFormat="1" applyBorder="1" applyAlignment="1">
      <alignment horizontal="center"/>
    </xf>
    <xf numFmtId="0" fontId="1" fillId="21" borderId="48" xfId="0" applyFont="1" applyFill="1" applyBorder="1" applyAlignment="1">
      <alignment horizontal="center"/>
    </xf>
    <xf numFmtId="0" fontId="1" fillId="21" borderId="45" xfId="0" applyFont="1" applyFill="1" applyBorder="1" applyAlignment="1">
      <alignment horizontal="center"/>
    </xf>
    <xf numFmtId="0" fontId="1" fillId="21" borderId="92" xfId="0" applyFont="1" applyFill="1" applyBorder="1" applyAlignment="1">
      <alignment horizontal="center"/>
    </xf>
    <xf numFmtId="9" fontId="0" fillId="0" borderId="47" xfId="0" applyNumberFormat="1" applyBorder="1" applyAlignment="1">
      <alignment horizontal="center"/>
    </xf>
    <xf numFmtId="9" fontId="0" fillId="0" borderId="46" xfId="0" applyNumberFormat="1" applyBorder="1" applyAlignment="1">
      <alignment horizontal="center"/>
    </xf>
    <xf numFmtId="0" fontId="0" fillId="0" borderId="47" xfId="0" applyBorder="1" applyAlignment="1">
      <alignment horizontal="center"/>
    </xf>
    <xf numFmtId="0" fontId="0" fillId="0" borderId="46" xfId="0" applyBorder="1" applyAlignment="1">
      <alignment horizontal="center"/>
    </xf>
    <xf numFmtId="0" fontId="0" fillId="0" borderId="90" xfId="0" applyBorder="1" applyAlignment="1">
      <alignment horizontal="center"/>
    </xf>
    <xf numFmtId="0" fontId="0" fillId="0" borderId="91" xfId="0" applyBorder="1" applyAlignment="1">
      <alignment horizontal="center"/>
    </xf>
    <xf numFmtId="0" fontId="1" fillId="21" borderId="48" xfId="0" applyFont="1" applyFill="1" applyBorder="1"/>
    <xf numFmtId="0" fontId="1" fillId="0" borderId="81" xfId="0" applyFont="1" applyBorder="1" applyAlignment="1">
      <alignment horizontal="center"/>
    </xf>
    <xf numFmtId="1" fontId="21" fillId="0" borderId="47" xfId="0" applyNumberFormat="1" applyFont="1" applyBorder="1" applyAlignment="1">
      <alignment horizontal="center" vertical="center" wrapText="1"/>
    </xf>
    <xf numFmtId="1" fontId="21" fillId="0" borderId="71" xfId="0" applyNumberFormat="1" applyFont="1" applyBorder="1" applyAlignment="1">
      <alignment horizontal="center" vertical="center" wrapText="1"/>
    </xf>
    <xf numFmtId="0" fontId="21" fillId="0" borderId="3" xfId="0" applyFont="1" applyBorder="1" applyAlignment="1">
      <alignment horizontal="center" vertical="center" wrapText="1"/>
    </xf>
    <xf numFmtId="0" fontId="21" fillId="0" borderId="0" xfId="0" applyFont="1" applyAlignment="1">
      <alignment horizontal="center" vertical="center" wrapText="1"/>
    </xf>
    <xf numFmtId="0" fontId="21" fillId="0" borderId="70" xfId="0" applyFont="1" applyFill="1" applyBorder="1" applyAlignment="1">
      <alignment horizontal="left" vertical="center"/>
    </xf>
    <xf numFmtId="0" fontId="0" fillId="0" borderId="0" xfId="0" applyAlignment="1">
      <alignment vertical="center"/>
    </xf>
    <xf numFmtId="0" fontId="1" fillId="21" borderId="48" xfId="0" applyFont="1" applyFill="1" applyBorder="1" applyAlignment="1">
      <alignment vertical="center"/>
    </xf>
    <xf numFmtId="0" fontId="1" fillId="21" borderId="45" xfId="0" applyFont="1" applyFill="1" applyBorder="1" applyAlignment="1">
      <alignment horizontal="center" vertical="center"/>
    </xf>
    <xf numFmtId="0" fontId="1" fillId="21" borderId="45" xfId="0" applyFont="1" applyFill="1" applyBorder="1" applyAlignment="1">
      <alignment horizontal="center" vertical="center" wrapText="1"/>
    </xf>
    <xf numFmtId="0" fontId="0" fillId="0" borderId="0" xfId="0" applyFill="1" applyAlignment="1">
      <alignment vertical="center"/>
    </xf>
    <xf numFmtId="0" fontId="0" fillId="3" borderId="19" xfId="0" applyFill="1" applyBorder="1" applyAlignment="1">
      <alignment horizontal="center"/>
    </xf>
    <xf numFmtId="0" fontId="0" fillId="3" borderId="21" xfId="0" applyFill="1" applyBorder="1" applyAlignment="1">
      <alignment horizontal="center"/>
    </xf>
    <xf numFmtId="0" fontId="0" fillId="3" borderId="23" xfId="0" applyFill="1" applyBorder="1" applyAlignment="1">
      <alignment horizontal="center"/>
    </xf>
    <xf numFmtId="0" fontId="37" fillId="0" borderId="0" xfId="0" applyFont="1" applyAlignment="1">
      <alignment horizontal="center" vertical="center" wrapText="1"/>
    </xf>
    <xf numFmtId="0" fontId="37" fillId="0" borderId="0" xfId="0" applyFont="1" applyAlignment="1">
      <alignment horizontal="center" vertical="center"/>
    </xf>
    <xf numFmtId="17" fontId="38" fillId="0" borderId="0" xfId="0" quotePrefix="1" applyNumberFormat="1" applyFont="1" applyFill="1" applyAlignment="1">
      <alignment horizontal="center"/>
    </xf>
    <xf numFmtId="0" fontId="38" fillId="0" borderId="0" xfId="0" quotePrefix="1" applyFont="1" applyFill="1" applyAlignment="1">
      <alignment horizontal="center"/>
    </xf>
    <xf numFmtId="0" fontId="0" fillId="0" borderId="1" xfId="0" applyBorder="1" applyAlignment="1">
      <alignment vertical="center" wrapText="1"/>
    </xf>
    <xf numFmtId="0" fontId="1" fillId="21" borderId="8" xfId="0" applyFont="1" applyFill="1" applyBorder="1" applyAlignment="1">
      <alignment horizontal="left" vertical="center"/>
    </xf>
    <xf numFmtId="0" fontId="9" fillId="5" borderId="15" xfId="0" applyFont="1" applyFill="1" applyBorder="1" applyAlignment="1">
      <alignment horizontal="center" vertical="center" wrapText="1"/>
    </xf>
    <xf numFmtId="0" fontId="9" fillId="5" borderId="16" xfId="0" applyFont="1" applyFill="1" applyBorder="1" applyAlignment="1">
      <alignment horizontal="center" vertical="center" wrapText="1"/>
    </xf>
    <xf numFmtId="0" fontId="9" fillId="5" borderId="26" xfId="0" applyFont="1" applyFill="1" applyBorder="1" applyAlignment="1">
      <alignment horizontal="center" vertical="center"/>
    </xf>
    <xf numFmtId="0" fontId="9" fillId="5" borderId="38" xfId="0" applyFont="1" applyFill="1" applyBorder="1" applyAlignment="1">
      <alignment horizontal="center" vertical="center"/>
    </xf>
    <xf numFmtId="0" fontId="9" fillId="5" borderId="19" xfId="0" applyFont="1" applyFill="1" applyBorder="1" applyAlignment="1">
      <alignment horizontal="center" vertical="center" wrapText="1"/>
    </xf>
    <xf numFmtId="0" fontId="9" fillId="5" borderId="23"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2" fillId="2" borderId="22" xfId="0" applyFont="1" applyFill="1" applyBorder="1" applyAlignment="1">
      <alignment horizontal="center" vertical="center" wrapText="1"/>
    </xf>
    <xf numFmtId="2" fontId="0" fillId="0" borderId="27" xfId="0" applyNumberFormat="1" applyBorder="1" applyAlignment="1">
      <alignment horizontal="center" vertical="center"/>
    </xf>
    <xf numFmtId="2" fontId="0" fillId="0" borderId="38" xfId="0" applyNumberFormat="1" applyBorder="1" applyAlignment="1">
      <alignment horizontal="center" vertical="center"/>
    </xf>
    <xf numFmtId="0" fontId="9" fillId="5" borderId="17" xfId="0" applyFont="1" applyFill="1" applyBorder="1" applyAlignment="1">
      <alignment horizontal="center" vertical="center" wrapText="1"/>
    </xf>
    <xf numFmtId="0" fontId="9" fillId="5" borderId="22" xfId="0" applyFont="1" applyFill="1" applyBorder="1" applyAlignment="1">
      <alignment horizontal="center" vertical="center" wrapText="1"/>
    </xf>
    <xf numFmtId="166" fontId="8" fillId="0" borderId="30" xfId="0" applyNumberFormat="1" applyFont="1" applyBorder="1" applyAlignment="1">
      <alignment horizontal="center" vertical="center" wrapText="1"/>
    </xf>
    <xf numFmtId="166" fontId="8" fillId="0" borderId="23" xfId="0" applyNumberFormat="1" applyFont="1" applyBorder="1" applyAlignment="1">
      <alignment horizontal="center" vertical="center" wrapText="1"/>
    </xf>
    <xf numFmtId="0" fontId="2" fillId="3" borderId="39" xfId="0" applyFont="1" applyFill="1" applyBorder="1" applyAlignment="1">
      <alignment horizontal="center" vertical="center" wrapText="1"/>
    </xf>
    <xf numFmtId="11" fontId="7" fillId="0" borderId="25" xfId="0" applyNumberFormat="1" applyFont="1" applyBorder="1" applyAlignment="1">
      <alignment horizontal="center" vertical="center"/>
    </xf>
    <xf numFmtId="11" fontId="7" fillId="0" borderId="16" xfId="0" applyNumberFormat="1" applyFont="1" applyBorder="1" applyAlignment="1">
      <alignment horizontal="center" vertical="center"/>
    </xf>
    <xf numFmtId="0" fontId="9" fillId="5" borderId="59" xfId="0" applyFont="1" applyFill="1" applyBorder="1" applyAlignment="1">
      <alignment horizontal="center" vertical="center" wrapText="1"/>
    </xf>
    <xf numFmtId="11" fontId="2" fillId="0" borderId="26" xfId="0" applyNumberFormat="1" applyFont="1" applyBorder="1" applyAlignment="1">
      <alignment horizontal="center" vertical="center"/>
    </xf>
    <xf numFmtId="11" fontId="2" fillId="0" borderId="38" xfId="0" applyNumberFormat="1" applyFont="1" applyBorder="1" applyAlignment="1">
      <alignment horizontal="center" vertical="center"/>
    </xf>
    <xf numFmtId="0" fontId="2" fillId="3" borderId="0" xfId="0" applyFont="1" applyFill="1" applyAlignment="1">
      <alignment horizontal="center" vertical="center" wrapText="1"/>
    </xf>
    <xf numFmtId="0" fontId="2" fillId="2" borderId="17" xfId="0" applyFont="1" applyFill="1" applyBorder="1" applyAlignment="1">
      <alignment horizontal="center" vertical="center" wrapText="1"/>
    </xf>
    <xf numFmtId="0" fontId="2" fillId="2" borderId="22" xfId="0" applyFont="1" applyFill="1" applyBorder="1" applyAlignment="1">
      <alignment horizontal="center" vertical="center" wrapText="1"/>
    </xf>
    <xf numFmtId="164" fontId="2" fillId="0" borderId="27" xfId="0" applyNumberFormat="1" applyFont="1" applyBorder="1" applyAlignment="1">
      <alignment horizontal="center" vertical="center"/>
    </xf>
    <xf numFmtId="164" fontId="2" fillId="0" borderId="38" xfId="0" applyNumberFormat="1" applyFont="1" applyBorder="1" applyAlignment="1">
      <alignment horizontal="center" vertical="center"/>
    </xf>
    <xf numFmtId="0" fontId="2" fillId="2" borderId="36" xfId="0" applyFont="1" applyFill="1" applyBorder="1" applyAlignment="1">
      <alignment horizontal="center" vertical="center" wrapText="1"/>
    </xf>
    <xf numFmtId="0" fontId="9" fillId="5" borderId="50" xfId="0" applyFont="1" applyFill="1" applyBorder="1" applyAlignment="1">
      <alignment horizontal="center" vertical="center" wrapText="1"/>
    </xf>
    <xf numFmtId="0" fontId="9" fillId="5" borderId="60" xfId="0" applyFont="1" applyFill="1" applyBorder="1" applyAlignment="1">
      <alignment horizontal="center" vertical="center" wrapText="1"/>
    </xf>
    <xf numFmtId="0" fontId="9" fillId="9" borderId="15" xfId="0" applyFont="1" applyFill="1" applyBorder="1" applyAlignment="1">
      <alignment horizontal="center" vertical="center" wrapText="1"/>
    </xf>
    <xf numFmtId="0" fontId="9" fillId="9" borderId="19" xfId="0" applyFont="1" applyFill="1" applyBorder="1" applyAlignment="1">
      <alignment horizontal="center" vertical="center" wrapText="1"/>
    </xf>
    <xf numFmtId="0" fontId="2" fillId="3" borderId="39" xfId="0" applyFont="1" applyFill="1" applyBorder="1" applyAlignment="1">
      <alignment horizontal="center" vertical="center"/>
    </xf>
    <xf numFmtId="0" fontId="25" fillId="4" borderId="50" xfId="0" applyFont="1" applyFill="1" applyBorder="1" applyAlignment="1">
      <alignment horizontal="center" vertical="center" wrapText="1"/>
    </xf>
    <xf numFmtId="0" fontId="25" fillId="4" borderId="51" xfId="0" applyFont="1" applyFill="1" applyBorder="1" applyAlignment="1">
      <alignment horizontal="center" vertical="center" wrapText="1"/>
    </xf>
    <xf numFmtId="0" fontId="9" fillId="5" borderId="34" xfId="0" applyFont="1" applyFill="1" applyBorder="1" applyAlignment="1">
      <alignment horizontal="center" vertical="center" wrapText="1"/>
    </xf>
    <xf numFmtId="164" fontId="2" fillId="0" borderId="26" xfId="0" applyNumberFormat="1" applyFont="1" applyBorder="1" applyAlignment="1">
      <alignment horizontal="center" vertical="center"/>
    </xf>
    <xf numFmtId="0" fontId="9" fillId="5" borderId="10" xfId="0" applyFont="1" applyFill="1" applyBorder="1" applyAlignment="1">
      <alignment horizontal="center" vertical="center"/>
    </xf>
    <xf numFmtId="0" fontId="9" fillId="5" borderId="69" xfId="0" applyFont="1" applyFill="1" applyBorder="1" applyAlignment="1">
      <alignment horizontal="center" vertical="center"/>
    </xf>
    <xf numFmtId="0" fontId="7" fillId="3" borderId="36" xfId="0" applyFont="1" applyFill="1" applyBorder="1" applyAlignment="1">
      <alignment horizontal="center" vertical="center" wrapText="1"/>
    </xf>
    <xf numFmtId="0" fontId="7" fillId="3" borderId="20"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2" fillId="3" borderId="0" xfId="0" applyFont="1" applyFill="1" applyAlignment="1">
      <alignment horizontal="left" vertical="center" wrapText="1"/>
    </xf>
    <xf numFmtId="0" fontId="9" fillId="5" borderId="18" xfId="0" applyFont="1" applyFill="1" applyBorder="1" applyAlignment="1">
      <alignment horizontal="center" vertical="center" wrapText="1"/>
    </xf>
    <xf numFmtId="0" fontId="9" fillId="5" borderId="31" xfId="0" applyFont="1" applyFill="1" applyBorder="1" applyAlignment="1">
      <alignment horizontal="center" vertical="center" wrapText="1"/>
    </xf>
    <xf numFmtId="0" fontId="26" fillId="4" borderId="10" xfId="0" applyFont="1" applyFill="1" applyBorder="1" applyAlignment="1">
      <alignment horizontal="center" vertical="center" wrapText="1"/>
    </xf>
    <xf numFmtId="0" fontId="26" fillId="4" borderId="44" xfId="0" applyFont="1" applyFill="1" applyBorder="1" applyAlignment="1">
      <alignment horizontal="center" vertical="center" wrapText="1"/>
    </xf>
    <xf numFmtId="0" fontId="24" fillId="2" borderId="76" xfId="0" applyFont="1" applyFill="1" applyBorder="1" applyAlignment="1">
      <alignment horizontal="center" vertical="center" wrapText="1"/>
    </xf>
    <xf numFmtId="0" fontId="24" fillId="2" borderId="72" xfId="0" applyFont="1" applyFill="1" applyBorder="1" applyAlignment="1">
      <alignment horizontal="center" vertical="center" wrapText="1"/>
    </xf>
    <xf numFmtId="0" fontId="9" fillId="5" borderId="18" xfId="0" applyFont="1" applyFill="1" applyBorder="1" applyAlignment="1">
      <alignment horizontal="center" vertical="center"/>
    </xf>
    <xf numFmtId="0" fontId="9" fillId="5" borderId="2" xfId="0" applyFont="1" applyFill="1" applyBorder="1" applyAlignment="1">
      <alignment horizontal="center" vertical="center"/>
    </xf>
    <xf numFmtId="168" fontId="7" fillId="2" borderId="20" xfId="0" applyNumberFormat="1" applyFont="1" applyFill="1" applyBorder="1" applyAlignment="1">
      <alignment horizontal="center" vertical="center" wrapText="1"/>
    </xf>
    <xf numFmtId="168" fontId="7" fillId="2" borderId="22" xfId="0" applyNumberFormat="1" applyFont="1" applyFill="1" applyBorder="1" applyAlignment="1">
      <alignment horizontal="center" vertical="center" wrapText="1"/>
    </xf>
    <xf numFmtId="0" fontId="7" fillId="2" borderId="17" xfId="0" applyFont="1" applyFill="1" applyBorder="1" applyAlignment="1">
      <alignment horizontal="center" vertical="center"/>
    </xf>
    <xf numFmtId="0" fontId="7" fillId="2" borderId="20" xfId="0" applyFont="1" applyFill="1" applyBorder="1" applyAlignment="1">
      <alignment horizontal="center" vertical="center"/>
    </xf>
    <xf numFmtId="0" fontId="9" fillId="5" borderId="17" xfId="0" applyFont="1" applyFill="1" applyBorder="1" applyAlignment="1">
      <alignment horizontal="center" vertical="center"/>
    </xf>
    <xf numFmtId="0" fontId="9" fillId="5" borderId="34" xfId="0" applyFont="1" applyFill="1" applyBorder="1" applyAlignment="1">
      <alignment horizontal="center" vertical="center"/>
    </xf>
    <xf numFmtId="0" fontId="8" fillId="3" borderId="28" xfId="0" applyFont="1" applyFill="1" applyBorder="1" applyAlignment="1">
      <alignment horizontal="center" vertical="center"/>
    </xf>
    <xf numFmtId="0" fontId="8" fillId="3" borderId="43" xfId="0" applyFont="1" applyFill="1" applyBorder="1" applyAlignment="1">
      <alignment horizontal="center" vertical="center"/>
    </xf>
    <xf numFmtId="170" fontId="8" fillId="3" borderId="28" xfId="0" applyNumberFormat="1" applyFont="1" applyFill="1" applyBorder="1" applyAlignment="1">
      <alignment horizontal="center" vertical="center"/>
    </xf>
    <xf numFmtId="170" fontId="8" fillId="3" borderId="43" xfId="0" applyNumberFormat="1" applyFont="1" applyFill="1" applyBorder="1" applyAlignment="1">
      <alignment horizontal="center" vertical="center"/>
    </xf>
    <xf numFmtId="0" fontId="9" fillId="5" borderId="15" xfId="0" applyFont="1" applyFill="1" applyBorder="1" applyAlignment="1">
      <alignment horizontal="center" vertical="center"/>
    </xf>
    <xf numFmtId="0" fontId="9" fillId="5" borderId="33" xfId="0" applyFont="1" applyFill="1" applyBorder="1" applyAlignment="1">
      <alignment horizontal="center" vertical="center"/>
    </xf>
    <xf numFmtId="0" fontId="7" fillId="3" borderId="103" xfId="0" applyFont="1" applyFill="1" applyBorder="1" applyAlignment="1">
      <alignment horizontal="center" vertical="center" wrapText="1"/>
    </xf>
    <xf numFmtId="0" fontId="7" fillId="3" borderId="112" xfId="0" applyFont="1" applyFill="1" applyBorder="1" applyAlignment="1">
      <alignment horizontal="center" vertical="center" wrapText="1"/>
    </xf>
    <xf numFmtId="0" fontId="8" fillId="3" borderId="48" xfId="0" applyFont="1" applyFill="1" applyBorder="1" applyAlignment="1">
      <alignment horizontal="center" vertical="center" wrapText="1"/>
    </xf>
    <xf numFmtId="0" fontId="8" fillId="3" borderId="52" xfId="0" applyFont="1" applyFill="1" applyBorder="1" applyAlignment="1">
      <alignment horizontal="center" vertical="center" wrapText="1"/>
    </xf>
    <xf numFmtId="0" fontId="7" fillId="3" borderId="99" xfId="0" applyFont="1" applyFill="1" applyBorder="1" applyAlignment="1">
      <alignment horizontal="center" vertical="center" wrapText="1"/>
    </xf>
    <xf numFmtId="0" fontId="7" fillId="3" borderId="100" xfId="0" applyFont="1" applyFill="1" applyBorder="1" applyAlignment="1">
      <alignment horizontal="center" vertical="center" wrapText="1"/>
    </xf>
    <xf numFmtId="0" fontId="7" fillId="3" borderId="97" xfId="0" applyFont="1" applyFill="1" applyBorder="1" applyAlignment="1">
      <alignment horizontal="center" vertical="center" wrapText="1"/>
    </xf>
    <xf numFmtId="0" fontId="7" fillId="3" borderId="98" xfId="0" applyFont="1" applyFill="1" applyBorder="1" applyAlignment="1">
      <alignment horizontal="center" vertical="center" wrapText="1"/>
    </xf>
    <xf numFmtId="0" fontId="7" fillId="3" borderId="15" xfId="0" applyFont="1" applyFill="1" applyBorder="1" applyAlignment="1">
      <alignment horizontal="center" vertical="center"/>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8" fillId="3" borderId="77" xfId="0" applyFont="1" applyFill="1" applyBorder="1" applyAlignment="1">
      <alignment horizontal="center" vertical="center" wrapText="1"/>
    </xf>
    <xf numFmtId="0" fontId="8" fillId="3" borderId="85" xfId="0" applyFont="1" applyFill="1" applyBorder="1" applyAlignment="1">
      <alignment horizontal="center" vertical="center" wrapText="1"/>
    </xf>
    <xf numFmtId="0" fontId="8" fillId="3" borderId="86" xfId="0" applyFont="1" applyFill="1" applyBorder="1" applyAlignment="1">
      <alignment horizontal="center" vertical="center" wrapText="1"/>
    </xf>
    <xf numFmtId="164" fontId="7" fillId="3" borderId="7" xfId="0" applyNumberFormat="1" applyFont="1" applyFill="1" applyBorder="1" applyAlignment="1">
      <alignment horizontal="center" vertical="center"/>
    </xf>
    <xf numFmtId="164" fontId="7" fillId="3" borderId="63" xfId="0" applyNumberFormat="1" applyFont="1" applyFill="1" applyBorder="1" applyAlignment="1">
      <alignment horizontal="center" vertical="center"/>
    </xf>
    <xf numFmtId="0" fontId="9" fillId="5" borderId="62" xfId="0" applyFont="1" applyFill="1" applyBorder="1" applyAlignment="1">
      <alignment horizontal="center" vertical="center" wrapText="1"/>
    </xf>
    <xf numFmtId="0" fontId="9" fillId="5" borderId="51" xfId="0" applyFont="1" applyFill="1" applyBorder="1" applyAlignment="1">
      <alignment horizontal="center" vertical="center" wrapText="1"/>
    </xf>
    <xf numFmtId="0" fontId="9" fillId="5" borderId="61" xfId="0" applyFont="1" applyFill="1" applyBorder="1" applyAlignment="1">
      <alignment horizontal="center" vertical="center" wrapText="1"/>
    </xf>
    <xf numFmtId="0" fontId="9" fillId="5" borderId="10" xfId="0" applyFont="1" applyFill="1" applyBorder="1" applyAlignment="1">
      <alignment horizontal="center" vertical="center" wrapText="1"/>
    </xf>
    <xf numFmtId="0" fontId="9" fillId="5" borderId="49" xfId="0" applyFont="1" applyFill="1" applyBorder="1" applyAlignment="1">
      <alignment horizontal="center" vertical="center" wrapText="1"/>
    </xf>
    <xf numFmtId="0" fontId="9" fillId="5" borderId="44" xfId="0" applyFont="1" applyFill="1" applyBorder="1" applyAlignment="1">
      <alignment horizontal="center" vertical="center" wrapText="1"/>
    </xf>
    <xf numFmtId="0" fontId="9" fillId="5" borderId="22" xfId="0" applyFont="1" applyFill="1" applyBorder="1" applyAlignment="1">
      <alignment horizontal="center" vertical="center"/>
    </xf>
    <xf numFmtId="0" fontId="30" fillId="3" borderId="32" xfId="0" applyFont="1" applyFill="1" applyBorder="1" applyAlignment="1">
      <alignment horizontal="center" vertical="center" wrapText="1"/>
    </xf>
    <xf numFmtId="0" fontId="9" fillId="5" borderId="16" xfId="0" applyFont="1" applyFill="1" applyBorder="1" applyAlignment="1">
      <alignment horizontal="center" vertical="center"/>
    </xf>
    <xf numFmtId="0" fontId="7" fillId="3" borderId="101" xfId="0" applyFont="1" applyFill="1" applyBorder="1" applyAlignment="1">
      <alignment horizontal="center" vertical="center" wrapText="1"/>
    </xf>
    <xf numFmtId="0" fontId="7" fillId="3" borderId="102" xfId="0" applyFont="1" applyFill="1" applyBorder="1" applyAlignment="1">
      <alignment horizontal="center" vertical="center" wrapText="1"/>
    </xf>
    <xf numFmtId="0" fontId="12" fillId="3" borderId="39" xfId="0" applyFont="1" applyFill="1" applyBorder="1" applyAlignment="1">
      <alignment horizontal="center" vertical="center"/>
    </xf>
    <xf numFmtId="11" fontId="7" fillId="3" borderId="35" xfId="0" applyNumberFormat="1" applyFont="1" applyFill="1" applyBorder="1" applyAlignment="1">
      <alignment horizontal="center" vertical="center"/>
    </xf>
    <xf numFmtId="11" fontId="7" fillId="3" borderId="105" xfId="0" applyNumberFormat="1" applyFont="1" applyFill="1" applyBorder="1" applyAlignment="1">
      <alignment horizontal="center" vertical="center"/>
    </xf>
    <xf numFmtId="2" fontId="7" fillId="3" borderId="7" xfId="0" applyNumberFormat="1" applyFont="1" applyFill="1" applyBorder="1" applyAlignment="1">
      <alignment horizontal="center" vertical="center"/>
    </xf>
    <xf numFmtId="2" fontId="7" fillId="3" borderId="63" xfId="0" applyNumberFormat="1" applyFont="1" applyFill="1" applyBorder="1" applyAlignment="1">
      <alignment horizontal="center" vertical="center"/>
    </xf>
    <xf numFmtId="0" fontId="7" fillId="3" borderId="104" xfId="0" applyFont="1" applyFill="1" applyBorder="1" applyAlignment="1">
      <alignment horizontal="center" vertical="center" wrapText="1"/>
    </xf>
    <xf numFmtId="0" fontId="8" fillId="3" borderId="65" xfId="0" applyFont="1" applyFill="1" applyBorder="1" applyAlignment="1">
      <alignment horizontal="center" vertical="center" wrapText="1"/>
    </xf>
    <xf numFmtId="0" fontId="8" fillId="3" borderId="67" xfId="0" applyFont="1" applyFill="1" applyBorder="1" applyAlignment="1">
      <alignment horizontal="center" vertical="center" wrapText="1"/>
    </xf>
    <xf numFmtId="0" fontId="7" fillId="3" borderId="66" xfId="0" applyFont="1" applyFill="1" applyBorder="1" applyAlignment="1">
      <alignment horizontal="center" vertical="center" wrapText="1"/>
    </xf>
    <xf numFmtId="0" fontId="7" fillId="3" borderId="68" xfId="0" applyFont="1" applyFill="1" applyBorder="1" applyAlignment="1">
      <alignment horizontal="center" vertical="center" wrapText="1"/>
    </xf>
    <xf numFmtId="0" fontId="7" fillId="3" borderId="95" xfId="0" applyFont="1" applyFill="1" applyBorder="1" applyAlignment="1">
      <alignment horizontal="center" vertical="center" wrapText="1"/>
    </xf>
    <xf numFmtId="0" fontId="7" fillId="3" borderId="96" xfId="0" applyFont="1" applyFill="1" applyBorder="1" applyAlignment="1">
      <alignment horizontal="center" vertical="center" wrapText="1"/>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4" xfId="0" applyFont="1" applyFill="1" applyBorder="1" applyAlignment="1">
      <alignment horizontal="center"/>
    </xf>
    <xf numFmtId="0" fontId="1" fillId="3" borderId="13" xfId="0" applyFont="1" applyFill="1" applyBorder="1" applyAlignment="1">
      <alignment horizontal="center" vertical="center"/>
    </xf>
    <xf numFmtId="0" fontId="1" fillId="10" borderId="3" xfId="0" applyFont="1" applyFill="1" applyBorder="1" applyAlignment="1">
      <alignment horizontal="center" wrapText="1"/>
    </xf>
    <xf numFmtId="0" fontId="1" fillId="10" borderId="4" xfId="0" applyFont="1" applyFill="1" applyBorder="1" applyAlignment="1">
      <alignment horizontal="center" wrapText="1"/>
    </xf>
    <xf numFmtId="165" fontId="0" fillId="0" borderId="1" xfId="0" applyNumberFormat="1" applyBorder="1" applyAlignment="1">
      <alignment horizontal="left" vertical="top"/>
    </xf>
    <xf numFmtId="0" fontId="1" fillId="3" borderId="0" xfId="0" applyFont="1" applyFill="1" applyAlignment="1">
      <alignment horizontal="center"/>
    </xf>
    <xf numFmtId="0" fontId="53" fillId="3" borderId="56" xfId="0" applyFont="1" applyFill="1" applyBorder="1" applyAlignment="1">
      <alignment horizontal="center" vertical="center" wrapText="1"/>
    </xf>
    <xf numFmtId="0" fontId="53" fillId="3" borderId="72" xfId="0" applyFont="1" applyFill="1" applyBorder="1" applyAlignment="1">
      <alignment horizontal="center" vertical="center" wrapText="1"/>
    </xf>
    <xf numFmtId="0" fontId="53" fillId="3" borderId="48" xfId="0" applyFont="1" applyFill="1" applyBorder="1" applyAlignment="1">
      <alignment horizontal="center" vertical="center" wrapText="1"/>
    </xf>
    <xf numFmtId="0" fontId="53" fillId="3" borderId="52" xfId="0" applyFont="1" applyFill="1" applyBorder="1" applyAlignment="1">
      <alignment horizontal="center" vertical="center" wrapText="1"/>
    </xf>
    <xf numFmtId="0" fontId="53" fillId="3" borderId="107" xfId="0" applyFont="1" applyFill="1" applyBorder="1" applyAlignment="1">
      <alignment horizontal="center" vertical="center" wrapText="1"/>
    </xf>
    <xf numFmtId="0" fontId="53" fillId="3" borderId="57" xfId="0" applyFont="1" applyFill="1" applyBorder="1" applyAlignment="1">
      <alignment horizontal="center" vertical="center" wrapText="1"/>
    </xf>
    <xf numFmtId="0" fontId="53" fillId="3" borderId="106" xfId="0" applyFont="1" applyFill="1" applyBorder="1" applyAlignment="1">
      <alignment horizontal="center" vertical="center" wrapText="1"/>
    </xf>
    <xf numFmtId="0" fontId="1" fillId="18" borderId="50" xfId="0" applyFont="1" applyFill="1" applyBorder="1" applyAlignment="1">
      <alignment horizontal="center"/>
    </xf>
    <xf numFmtId="0" fontId="1" fillId="18" borderId="62" xfId="0" applyFont="1" applyFill="1" applyBorder="1" applyAlignment="1">
      <alignment horizontal="center"/>
    </xf>
    <xf numFmtId="0" fontId="1" fillId="18" borderId="51" xfId="0" applyFont="1" applyFill="1" applyBorder="1" applyAlignment="1">
      <alignment horizontal="center"/>
    </xf>
    <xf numFmtId="0" fontId="19" fillId="3" borderId="0" xfId="0" applyFont="1" applyFill="1" applyAlignment="1">
      <alignment horizontal="center"/>
    </xf>
    <xf numFmtId="0" fontId="1" fillId="3" borderId="50" xfId="0" applyFont="1" applyFill="1" applyBorder="1" applyAlignment="1">
      <alignment horizontal="center"/>
    </xf>
    <xf numFmtId="0" fontId="1" fillId="3" borderId="62" xfId="0" applyFont="1" applyFill="1" applyBorder="1" applyAlignment="1">
      <alignment horizontal="center"/>
    </xf>
    <xf numFmtId="0" fontId="1" fillId="3" borderId="51" xfId="0" applyFont="1" applyFill="1" applyBorder="1" applyAlignment="1">
      <alignment horizontal="center"/>
    </xf>
    <xf numFmtId="0" fontId="1" fillId="10" borderId="48" xfId="0" applyFont="1" applyFill="1" applyBorder="1" applyAlignment="1">
      <alignment horizontal="center" vertical="center" wrapText="1"/>
    </xf>
    <xf numFmtId="0" fontId="1" fillId="10" borderId="57" xfId="0" applyFont="1" applyFill="1" applyBorder="1" applyAlignment="1">
      <alignment horizontal="center" vertical="center" wrapText="1"/>
    </xf>
    <xf numFmtId="0" fontId="50" fillId="21" borderId="48" xfId="0" applyFont="1" applyFill="1" applyBorder="1" applyAlignment="1">
      <alignment horizontal="center" vertical="center" wrapText="1"/>
    </xf>
    <xf numFmtId="0" fontId="50" fillId="21" borderId="57" xfId="0" applyFont="1" applyFill="1" applyBorder="1" applyAlignment="1">
      <alignment horizontal="center" vertical="center" wrapText="1"/>
    </xf>
    <xf numFmtId="0" fontId="51" fillId="21" borderId="48" xfId="0" applyFont="1" applyFill="1" applyBorder="1" applyAlignment="1">
      <alignment horizontal="center" vertical="center" wrapText="1"/>
    </xf>
    <xf numFmtId="0" fontId="51" fillId="21" borderId="57" xfId="0" applyFont="1" applyFill="1" applyBorder="1" applyAlignment="1">
      <alignment horizontal="center" vertical="center" wrapText="1"/>
    </xf>
    <xf numFmtId="0" fontId="51" fillId="21" borderId="50" xfId="0" applyFont="1" applyFill="1" applyBorder="1" applyAlignment="1">
      <alignment horizontal="center" vertical="center" wrapText="1"/>
    </xf>
    <xf numFmtId="0" fontId="51" fillId="21" borderId="62" xfId="0" applyFont="1" applyFill="1" applyBorder="1" applyAlignment="1">
      <alignment horizontal="center" vertical="center" wrapText="1"/>
    </xf>
    <xf numFmtId="0" fontId="51" fillId="21" borderId="51" xfId="0" applyFont="1" applyFill="1" applyBorder="1" applyAlignment="1">
      <alignment horizontal="center" vertical="center" wrapText="1"/>
    </xf>
    <xf numFmtId="0" fontId="53" fillId="3" borderId="109" xfId="0" applyFont="1" applyFill="1" applyBorder="1" applyAlignment="1">
      <alignment horizontal="center" vertical="center" wrapText="1"/>
    </xf>
    <xf numFmtId="0" fontId="53" fillId="3" borderId="39" xfId="0" applyFont="1" applyFill="1" applyBorder="1" applyAlignment="1">
      <alignment horizontal="center" vertical="center" wrapText="1"/>
    </xf>
    <xf numFmtId="0" fontId="53" fillId="3" borderId="108" xfId="0" applyFont="1" applyFill="1" applyBorder="1" applyAlignment="1">
      <alignment horizontal="center" vertical="center" wrapText="1"/>
    </xf>
    <xf numFmtId="2" fontId="53" fillId="3" borderId="48" xfId="0" applyNumberFormat="1" applyFont="1" applyFill="1" applyBorder="1" applyAlignment="1">
      <alignment horizontal="center" vertical="center" wrapText="1"/>
    </xf>
    <xf numFmtId="2" fontId="53" fillId="3" borderId="52" xfId="0" applyNumberFormat="1" applyFont="1" applyFill="1" applyBorder="1" applyAlignment="1">
      <alignment horizontal="center" vertical="center" wrapText="1"/>
    </xf>
    <xf numFmtId="0" fontId="0" fillId="3" borderId="110" xfId="0" applyFont="1" applyFill="1" applyBorder="1" applyAlignment="1" applyProtection="1">
      <alignment horizontal="center" vertical="center"/>
      <protection locked="0"/>
    </xf>
    <xf numFmtId="0" fontId="0" fillId="3" borderId="93" xfId="0" applyFont="1" applyFill="1" applyBorder="1" applyAlignment="1" applyProtection="1">
      <alignment horizontal="center" vertical="center"/>
      <protection locked="0"/>
    </xf>
    <xf numFmtId="0" fontId="0" fillId="3" borderId="33" xfId="0" applyFont="1" applyFill="1" applyBorder="1" applyAlignment="1" applyProtection="1">
      <alignment horizontal="center" vertical="center"/>
      <protection locked="0"/>
    </xf>
    <xf numFmtId="0" fontId="0" fillId="3" borderId="25" xfId="0" applyFont="1" applyFill="1" applyBorder="1" applyAlignment="1" applyProtection="1">
      <alignment horizontal="center" vertical="center"/>
      <protection locked="0"/>
    </xf>
    <xf numFmtId="0" fontId="0" fillId="3" borderId="111" xfId="0" applyFont="1" applyFill="1" applyBorder="1" applyAlignment="1" applyProtection="1">
      <alignment horizontal="center" vertical="center"/>
      <protection locked="0"/>
    </xf>
    <xf numFmtId="0" fontId="0" fillId="3" borderId="88" xfId="0" applyFont="1" applyFill="1" applyBorder="1" applyAlignment="1" applyProtection="1">
      <alignment horizontal="center" vertical="center"/>
      <protection locked="0"/>
    </xf>
    <xf numFmtId="2" fontId="53" fillId="3" borderId="48" xfId="0" quotePrefix="1" applyNumberFormat="1" applyFont="1" applyFill="1" applyBorder="1" applyAlignment="1">
      <alignment horizontal="center" vertical="center" wrapText="1"/>
    </xf>
    <xf numFmtId="0" fontId="0" fillId="3" borderId="34" xfId="0" quotePrefix="1" applyFont="1" applyFill="1" applyBorder="1" applyAlignment="1" applyProtection="1">
      <alignment horizontal="center" vertical="center"/>
      <protection locked="0"/>
    </xf>
    <xf numFmtId="0" fontId="0" fillId="3" borderId="36" xfId="0" applyFont="1" applyFill="1" applyBorder="1" applyAlignment="1" applyProtection="1">
      <alignment horizontal="center" vertical="center"/>
      <protection locked="0"/>
    </xf>
    <xf numFmtId="0" fontId="0" fillId="3" borderId="33" xfId="0" quotePrefix="1" applyFont="1" applyFill="1" applyBorder="1" applyAlignment="1" applyProtection="1">
      <alignment horizontal="center" vertical="center"/>
      <protection locked="0"/>
    </xf>
    <xf numFmtId="0" fontId="0" fillId="3" borderId="111" xfId="0" quotePrefix="1" applyFont="1" applyFill="1" applyBorder="1" applyAlignment="1" applyProtection="1">
      <alignment horizontal="center" vertical="center"/>
      <protection locked="0"/>
    </xf>
    <xf numFmtId="0" fontId="0" fillId="3" borderId="105" xfId="0" applyFont="1" applyFill="1" applyBorder="1" applyAlignment="1" applyProtection="1">
      <alignment horizontal="center" vertical="center"/>
      <protection locked="0"/>
    </xf>
    <xf numFmtId="0" fontId="0" fillId="3" borderId="38" xfId="0" applyFont="1" applyFill="1" applyBorder="1" applyAlignment="1" applyProtection="1">
      <alignment horizontal="center" vertical="center"/>
      <protection locked="0"/>
    </xf>
    <xf numFmtId="0" fontId="0" fillId="3" borderId="72" xfId="0" applyFont="1" applyFill="1" applyBorder="1" applyAlignment="1" applyProtection="1">
      <alignment horizontal="center" vertical="center"/>
      <protection locked="0"/>
    </xf>
    <xf numFmtId="0" fontId="56" fillId="21" borderId="1" xfId="0" applyFont="1" applyFill="1" applyBorder="1" applyAlignment="1">
      <alignment horizontal="center" vertical="center" wrapText="1"/>
    </xf>
    <xf numFmtId="0" fontId="9" fillId="21" borderId="15" xfId="0" applyFont="1" applyFill="1" applyBorder="1" applyAlignment="1">
      <alignment horizontal="center" vertical="center" wrapText="1"/>
    </xf>
    <xf numFmtId="0" fontId="8" fillId="2" borderId="79" xfId="0" applyFont="1" applyFill="1" applyBorder="1" applyAlignment="1">
      <alignment horizontal="center" vertical="center" wrapText="1"/>
    </xf>
    <xf numFmtId="0" fontId="8" fillId="2" borderId="64" xfId="0" applyFont="1" applyFill="1" applyBorder="1" applyAlignment="1">
      <alignment horizontal="center" vertical="center" wrapText="1"/>
    </xf>
    <xf numFmtId="0" fontId="8" fillId="21" borderId="79" xfId="0" applyFont="1" applyFill="1" applyBorder="1" applyAlignment="1">
      <alignment horizontal="center" vertical="center" wrapText="1"/>
    </xf>
    <xf numFmtId="0" fontId="8" fillId="21" borderId="64"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79" xfId="0" applyFont="1" applyFill="1" applyBorder="1" applyAlignment="1">
      <alignment horizontal="center" vertical="center" wrapText="1"/>
    </xf>
    <xf numFmtId="0" fontId="9" fillId="2" borderId="64" xfId="0" applyFont="1" applyFill="1" applyBorder="1" applyAlignment="1">
      <alignment horizontal="center" vertical="center" wrapText="1"/>
    </xf>
    <xf numFmtId="0" fontId="9" fillId="21" borderId="18" xfId="0" applyFont="1" applyFill="1" applyBorder="1" applyAlignment="1">
      <alignment horizontal="center" vertical="center" wrapText="1"/>
    </xf>
    <xf numFmtId="0" fontId="9" fillId="21" borderId="59" xfId="0" applyFont="1" applyFill="1" applyBorder="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1" fillId="17" borderId="35" xfId="0" applyFont="1" applyFill="1" applyBorder="1" applyAlignment="1">
      <alignment horizontal="center" vertical="center" wrapText="1"/>
    </xf>
    <xf numFmtId="0" fontId="1" fillId="17" borderId="105" xfId="0" applyFont="1" applyFill="1" applyBorder="1" applyAlignment="1">
      <alignment horizontal="center" vertical="center" wrapText="1"/>
    </xf>
    <xf numFmtId="0" fontId="1" fillId="17" borderId="26" xfId="0" applyFont="1" applyFill="1" applyBorder="1" applyAlignment="1">
      <alignment horizontal="center" vertical="center" wrapText="1"/>
    </xf>
    <xf numFmtId="0" fontId="1" fillId="17" borderId="38" xfId="0" applyFont="1" applyFill="1" applyBorder="1" applyAlignment="1">
      <alignment horizontal="center" vertical="center" wrapText="1"/>
    </xf>
    <xf numFmtId="0" fontId="39" fillId="15" borderId="26" xfId="0" applyFont="1" applyFill="1" applyBorder="1" applyAlignment="1">
      <alignment horizontal="center" vertical="center"/>
    </xf>
    <xf numFmtId="0" fontId="39" fillId="15" borderId="38" xfId="0" applyFont="1" applyFill="1" applyBorder="1" applyAlignment="1">
      <alignment horizontal="center" vertical="center"/>
    </xf>
    <xf numFmtId="0" fontId="39" fillId="15" borderId="79" xfId="0" applyFont="1" applyFill="1" applyBorder="1" applyAlignment="1">
      <alignment horizontal="center" vertical="center" wrapText="1"/>
    </xf>
    <xf numFmtId="0" fontId="39" fillId="15" borderId="64" xfId="0" applyFont="1" applyFill="1" applyBorder="1" applyAlignment="1">
      <alignment horizontal="center" vertical="center" wrapText="1"/>
    </xf>
    <xf numFmtId="0" fontId="39" fillId="15" borderId="18" xfId="0" applyFont="1" applyFill="1" applyBorder="1" applyAlignment="1">
      <alignment horizontal="center" vertical="center" wrapText="1"/>
    </xf>
    <xf numFmtId="0" fontId="39" fillId="15" borderId="49" xfId="0" applyFont="1" applyFill="1" applyBorder="1" applyAlignment="1">
      <alignment horizontal="center" vertical="center" wrapText="1"/>
    </xf>
    <xf numFmtId="0" fontId="3" fillId="16" borderId="35" xfId="0" applyFont="1" applyFill="1" applyBorder="1" applyAlignment="1">
      <alignment horizontal="center" vertical="center" wrapText="1"/>
    </xf>
    <xf numFmtId="0" fontId="3" fillId="16" borderId="36" xfId="0" applyFont="1" applyFill="1" applyBorder="1" applyAlignment="1">
      <alignment horizontal="center" vertical="center" wrapText="1"/>
    </xf>
    <xf numFmtId="0" fontId="3" fillId="16" borderId="27" xfId="0" applyFont="1" applyFill="1" applyBorder="1" applyAlignment="1">
      <alignment horizontal="center" vertical="center" wrapText="1"/>
    </xf>
    <xf numFmtId="0" fontId="3" fillId="16" borderId="25" xfId="0" applyFont="1" applyFill="1" applyBorder="1" applyAlignment="1">
      <alignment horizontal="center" vertical="center" wrapText="1"/>
    </xf>
    <xf numFmtId="0" fontId="3" fillId="16" borderId="5" xfId="0" applyFont="1" applyFill="1" applyBorder="1" applyAlignment="1">
      <alignment horizontal="center" vertical="center" wrapText="1"/>
    </xf>
    <xf numFmtId="0" fontId="3" fillId="16" borderId="6" xfId="0" applyFont="1" applyFill="1" applyBorder="1" applyAlignment="1">
      <alignment horizontal="center" vertical="center" wrapText="1"/>
    </xf>
    <xf numFmtId="0" fontId="1" fillId="16" borderId="50" xfId="0" applyFont="1" applyFill="1" applyBorder="1" applyAlignment="1">
      <alignment horizontal="center"/>
    </xf>
    <xf numFmtId="0" fontId="1" fillId="16" borderId="62" xfId="0" applyFont="1" applyFill="1" applyBorder="1" applyAlignment="1">
      <alignment horizontal="center"/>
    </xf>
    <xf numFmtId="0" fontId="1" fillId="16" borderId="51" xfId="0" applyFont="1" applyFill="1" applyBorder="1" applyAlignment="1">
      <alignment horizontal="center"/>
    </xf>
    <xf numFmtId="0" fontId="3" fillId="16" borderId="39" xfId="0" applyFont="1" applyFill="1" applyBorder="1" applyAlignment="1">
      <alignment horizontal="center" vertical="center" wrapText="1"/>
    </xf>
    <xf numFmtId="0" fontId="3" fillId="16" borderId="88" xfId="0" applyFont="1" applyFill="1" applyBorder="1" applyAlignment="1">
      <alignment horizontal="center" vertical="center" wrapText="1"/>
    </xf>
    <xf numFmtId="0" fontId="1" fillId="14" borderId="50" xfId="0" applyFont="1" applyFill="1" applyBorder="1" applyAlignment="1">
      <alignment horizontal="center" wrapText="1"/>
    </xf>
    <xf numFmtId="0" fontId="1" fillId="14" borderId="62" xfId="0" applyFont="1" applyFill="1" applyBorder="1" applyAlignment="1">
      <alignment horizontal="center" wrapText="1"/>
    </xf>
    <xf numFmtId="0" fontId="1" fillId="14" borderId="51" xfId="0" applyFont="1" applyFill="1" applyBorder="1" applyAlignment="1">
      <alignment horizontal="center" wrapText="1"/>
    </xf>
    <xf numFmtId="0" fontId="3" fillId="16" borderId="56" xfId="0" applyFont="1" applyFill="1" applyBorder="1" applyAlignment="1">
      <alignment horizontal="center" vertical="center" wrapText="1"/>
    </xf>
    <xf numFmtId="0" fontId="1" fillId="15" borderId="26" xfId="0" applyFont="1" applyFill="1" applyBorder="1" applyAlignment="1">
      <alignment horizontal="center" vertical="center" wrapText="1"/>
    </xf>
    <xf numFmtId="0" fontId="1" fillId="15" borderId="27" xfId="0" applyFont="1" applyFill="1" applyBorder="1" applyAlignment="1">
      <alignment horizontal="center" vertical="center" wrapText="1"/>
    </xf>
    <xf numFmtId="0" fontId="1" fillId="15" borderId="38" xfId="0" applyFont="1" applyFill="1" applyBorder="1" applyAlignment="1">
      <alignment horizontal="center" vertical="center" wrapText="1"/>
    </xf>
    <xf numFmtId="0" fontId="1" fillId="15" borderId="18" xfId="0" applyFont="1" applyFill="1" applyBorder="1" applyAlignment="1">
      <alignment horizontal="center" vertical="center" wrapText="1"/>
    </xf>
    <xf numFmtId="0" fontId="1" fillId="15" borderId="5" xfId="0" applyFont="1" applyFill="1" applyBorder="1" applyAlignment="1">
      <alignment horizontal="center" vertical="center" wrapText="1"/>
    </xf>
    <xf numFmtId="0" fontId="1" fillId="15" borderId="31" xfId="0" applyFont="1" applyFill="1" applyBorder="1" applyAlignment="1">
      <alignment horizontal="center" vertical="center" wrapText="1"/>
    </xf>
    <xf numFmtId="0" fontId="3" fillId="16" borderId="0" xfId="0" applyFont="1" applyFill="1" applyAlignment="1">
      <alignment horizontal="center" vertical="center" wrapText="1"/>
    </xf>
    <xf numFmtId="0" fontId="3" fillId="16" borderId="8" xfId="0" applyFont="1" applyFill="1" applyBorder="1" applyAlignment="1">
      <alignment horizontal="center" vertical="center" wrapText="1"/>
    </xf>
    <xf numFmtId="0" fontId="1" fillId="14" borderId="55" xfId="0" applyFont="1" applyFill="1" applyBorder="1" applyAlignment="1">
      <alignment horizontal="center"/>
    </xf>
    <xf numFmtId="0" fontId="1" fillId="14" borderId="58" xfId="0" applyFont="1" applyFill="1" applyBorder="1" applyAlignment="1">
      <alignment horizontal="center"/>
    </xf>
    <xf numFmtId="0" fontId="1" fillId="15" borderId="55" xfId="0" applyFont="1" applyFill="1" applyBorder="1" applyAlignment="1">
      <alignment horizontal="center"/>
    </xf>
    <xf numFmtId="0" fontId="1" fillId="15" borderId="58" xfId="0" applyFont="1" applyFill="1" applyBorder="1" applyAlignment="1">
      <alignment horizontal="center"/>
    </xf>
    <xf numFmtId="0" fontId="39" fillId="15" borderId="26" xfId="0" applyFont="1" applyFill="1" applyBorder="1" applyAlignment="1">
      <alignment horizontal="center" vertical="center" wrapText="1"/>
    </xf>
    <xf numFmtId="0" fontId="39" fillId="15" borderId="27" xfId="0" applyFont="1" applyFill="1" applyBorder="1" applyAlignment="1">
      <alignment horizontal="center" vertical="center" wrapText="1"/>
    </xf>
    <xf numFmtId="0" fontId="39" fillId="15" borderId="38" xfId="0" applyFont="1" applyFill="1" applyBorder="1" applyAlignment="1">
      <alignment horizontal="center" vertical="center" wrapText="1"/>
    </xf>
    <xf numFmtId="0" fontId="39" fillId="15" borderId="5" xfId="0" applyFont="1" applyFill="1" applyBorder="1" applyAlignment="1">
      <alignment horizontal="center" vertical="center" wrapText="1"/>
    </xf>
    <xf numFmtId="0" fontId="39" fillId="15" borderId="89" xfId="0" applyFont="1" applyFill="1" applyBorder="1" applyAlignment="1">
      <alignment horizontal="center" vertical="center" wrapText="1"/>
    </xf>
    <xf numFmtId="0" fontId="39" fillId="15" borderId="15" xfId="0" applyFont="1" applyFill="1" applyBorder="1" applyAlignment="1">
      <alignment horizontal="center" vertical="center" wrapText="1"/>
    </xf>
    <xf numFmtId="0" fontId="39" fillId="15" borderId="16" xfId="0" applyFont="1" applyFill="1" applyBorder="1" applyAlignment="1">
      <alignment horizontal="center" vertical="center" wrapText="1"/>
    </xf>
    <xf numFmtId="0" fontId="1" fillId="15" borderId="15" xfId="0" applyFont="1" applyFill="1" applyBorder="1" applyAlignment="1">
      <alignment horizontal="center" vertical="center" wrapText="1"/>
    </xf>
    <xf numFmtId="0" fontId="1" fillId="15" borderId="16" xfId="0" applyFont="1" applyFill="1" applyBorder="1" applyAlignment="1">
      <alignment horizontal="center" vertical="center" wrapText="1"/>
    </xf>
    <xf numFmtId="0" fontId="0" fillId="3" borderId="0" xfId="0" applyFill="1" applyAlignment="1">
      <alignment horizontal="left" wrapText="1"/>
    </xf>
    <xf numFmtId="0" fontId="0" fillId="3" borderId="0" xfId="0" applyFill="1" applyAlignment="1">
      <alignment vertical="top" wrapText="1"/>
    </xf>
    <xf numFmtId="0" fontId="0" fillId="3" borderId="0" xfId="0" applyFill="1" applyAlignment="1">
      <alignment wrapText="1"/>
    </xf>
    <xf numFmtId="0" fontId="0" fillId="3" borderId="53" xfId="0" applyFill="1" applyBorder="1" applyAlignment="1">
      <alignment horizontal="center"/>
    </xf>
    <xf numFmtId="0" fontId="0" fillId="3" borderId="80" xfId="0" applyFill="1" applyBorder="1" applyAlignment="1">
      <alignment horizontal="center"/>
    </xf>
    <xf numFmtId="0" fontId="0" fillId="3" borderId="69" xfId="0" applyFill="1" applyBorder="1" applyAlignment="1">
      <alignment horizontal="center"/>
    </xf>
    <xf numFmtId="0" fontId="0" fillId="3" borderId="61" xfId="0" applyFill="1" applyBorder="1" applyAlignment="1">
      <alignment horizontal="center"/>
    </xf>
  </cellXfs>
  <cellStyles count="4">
    <cellStyle name="Hyperlink" xfId="3" builtinId="8"/>
    <cellStyle name="Normal" xfId="0" builtinId="0"/>
    <cellStyle name="Normal 2" xfId="2" xr:uid="{BC27F4E2-20B8-47A4-9D90-F2F490171813}"/>
    <cellStyle name="Percent" xfId="1" builtinId="5"/>
  </cellStyles>
  <dxfs count="95">
    <dxf>
      <numFmt numFmtId="1" formatCode="0"/>
    </dxf>
    <dxf>
      <numFmt numFmtId="164" formatCode="0.0"/>
    </dxf>
    <dxf>
      <numFmt numFmtId="2" formatCode="0.00"/>
    </dxf>
    <dxf>
      <numFmt numFmtId="166" formatCode="0.0E+00"/>
    </dxf>
    <dxf>
      <numFmt numFmtId="166" formatCode="0.0E+00"/>
    </dxf>
    <dxf>
      <numFmt numFmtId="166" formatCode="0.0E+00"/>
    </dxf>
    <dxf>
      <numFmt numFmtId="2" formatCode="0.00"/>
    </dxf>
    <dxf>
      <numFmt numFmtId="164" formatCode="0.0"/>
    </dxf>
    <dxf>
      <numFmt numFmtId="1" formatCode="0"/>
    </dxf>
    <dxf>
      <numFmt numFmtId="166" formatCode="0.0E+00"/>
    </dxf>
    <dxf>
      <numFmt numFmtId="166" formatCode="0.0E+00"/>
    </dxf>
    <dxf>
      <numFmt numFmtId="2" formatCode="0.00"/>
    </dxf>
    <dxf>
      <numFmt numFmtId="164" formatCode="0.0"/>
    </dxf>
    <dxf>
      <numFmt numFmtId="1" formatCode="0"/>
    </dxf>
    <dxf>
      <numFmt numFmtId="166" formatCode="0.0E+00"/>
    </dxf>
    <dxf>
      <numFmt numFmtId="166" formatCode="0.0E+00"/>
    </dxf>
    <dxf>
      <numFmt numFmtId="1" formatCode="0"/>
    </dxf>
    <dxf>
      <numFmt numFmtId="2" formatCode="0.00"/>
    </dxf>
    <dxf>
      <numFmt numFmtId="166" formatCode="0.0E+00"/>
    </dxf>
    <dxf>
      <numFmt numFmtId="164" formatCode="0.0"/>
    </dxf>
    <dxf>
      <font>
        <b val="0"/>
        <i val="0"/>
      </font>
      <numFmt numFmtId="166" formatCode="0.0E+00"/>
      <fill>
        <patternFill patternType="none">
          <bgColor auto="1"/>
        </patternFill>
      </fill>
    </dxf>
    <dxf>
      <font>
        <b val="0"/>
        <i val="0"/>
      </font>
      <numFmt numFmtId="166" formatCode="0.0E+00"/>
      <fill>
        <patternFill patternType="none">
          <bgColor auto="1"/>
        </patternFill>
      </fill>
    </dxf>
    <dxf>
      <font>
        <b val="0"/>
        <i val="0"/>
      </font>
      <numFmt numFmtId="166" formatCode="0.0E+00"/>
      <fill>
        <patternFill patternType="none">
          <bgColor auto="1"/>
        </patternFill>
      </fill>
    </dxf>
    <dxf>
      <font>
        <b val="0"/>
        <i val="0"/>
      </font>
      <numFmt numFmtId="166" formatCode="0.0E+00"/>
      <fill>
        <patternFill patternType="none">
          <bgColor auto="1"/>
        </patternFill>
      </fill>
    </dxf>
    <dxf>
      <font>
        <b val="0"/>
        <i val="0"/>
      </font>
      <numFmt numFmtId="166" formatCode="0.0E+00"/>
      <fill>
        <patternFill patternType="none">
          <bgColor auto="1"/>
        </patternFill>
      </fill>
    </dxf>
    <dxf>
      <font>
        <b val="0"/>
        <i val="0"/>
      </font>
      <numFmt numFmtId="166" formatCode="0.0E+00"/>
      <fill>
        <patternFill patternType="none">
          <bgColor auto="1"/>
        </patternFill>
      </fill>
    </dxf>
    <dxf>
      <font>
        <b val="0"/>
        <i val="0"/>
      </font>
      <numFmt numFmtId="166" formatCode="0.0E+00"/>
      <fill>
        <patternFill patternType="none">
          <bgColor auto="1"/>
        </patternFill>
      </fill>
    </dxf>
    <dxf>
      <font>
        <b val="0"/>
        <i val="0"/>
      </font>
      <numFmt numFmtId="166" formatCode="0.0E+00"/>
      <fill>
        <patternFill patternType="none">
          <bgColor auto="1"/>
        </patternFill>
      </fill>
    </dxf>
    <dxf>
      <font>
        <b val="0"/>
        <i val="0"/>
      </font>
      <numFmt numFmtId="166" formatCode="0.0E+00"/>
      <fill>
        <patternFill patternType="none">
          <bgColor auto="1"/>
        </patternFill>
      </fill>
    </dxf>
    <dxf>
      <font>
        <b val="0"/>
        <i val="0"/>
      </font>
      <numFmt numFmtId="166" formatCode="0.0E+00"/>
      <fill>
        <patternFill patternType="none">
          <bgColor auto="1"/>
        </patternFill>
      </fill>
    </dxf>
    <dxf>
      <font>
        <b val="0"/>
        <i val="0"/>
      </font>
      <numFmt numFmtId="166" formatCode="0.0E+00"/>
      <fill>
        <patternFill patternType="none">
          <bgColor auto="1"/>
        </patternFill>
      </fill>
    </dxf>
    <dxf>
      <font>
        <b/>
        <i val="0"/>
      </font>
      <numFmt numFmtId="166" formatCode="0.0E+00"/>
      <fill>
        <patternFill>
          <bgColor theme="0" tint="-0.24994659260841701"/>
        </patternFill>
      </fill>
    </dxf>
    <dxf>
      <font>
        <b/>
        <i val="0"/>
      </font>
      <numFmt numFmtId="166" formatCode="0.0E+00"/>
      <fill>
        <patternFill>
          <bgColor theme="0" tint="-0.24994659260841701"/>
        </patternFill>
      </fill>
    </dxf>
    <dxf>
      <font>
        <b/>
        <i val="0"/>
      </font>
      <numFmt numFmtId="166" formatCode="0.0E+00"/>
      <fill>
        <patternFill>
          <bgColor theme="0" tint="-0.24994659260841701"/>
        </patternFill>
      </fill>
    </dxf>
    <dxf>
      <font>
        <b/>
        <i val="0"/>
      </font>
      <numFmt numFmtId="166" formatCode="0.0E+00"/>
      <fill>
        <patternFill>
          <bgColor theme="0" tint="-0.24994659260841701"/>
        </patternFill>
      </fill>
    </dxf>
    <dxf>
      <font>
        <b/>
        <i val="0"/>
      </font>
      <numFmt numFmtId="166" formatCode="0.0E+00"/>
      <fill>
        <patternFill>
          <bgColor theme="0" tint="-0.24994659260841701"/>
        </patternFill>
      </fill>
    </dxf>
    <dxf>
      <font>
        <b/>
        <i val="0"/>
      </font>
      <numFmt numFmtId="166" formatCode="0.0E+00"/>
      <fill>
        <patternFill>
          <bgColor theme="0" tint="-0.24994659260841701"/>
        </patternFill>
      </fill>
    </dxf>
    <dxf>
      <font>
        <b/>
        <i val="0"/>
      </font>
      <numFmt numFmtId="166" formatCode="0.0E+00"/>
      <fill>
        <patternFill>
          <bgColor theme="0" tint="-0.24994659260841701"/>
        </patternFill>
      </fill>
    </dxf>
    <dxf>
      <numFmt numFmtId="166" formatCode="0.0E+00"/>
    </dxf>
    <dxf>
      <numFmt numFmtId="164" formatCode="0.0"/>
    </dxf>
    <dxf>
      <numFmt numFmtId="2" formatCode="0.00"/>
    </dxf>
    <dxf>
      <numFmt numFmtId="1" formatCode="0"/>
    </dxf>
    <dxf>
      <numFmt numFmtId="166" formatCode="0.0E+00"/>
    </dxf>
    <dxf>
      <font>
        <b/>
        <i val="0"/>
      </font>
      <numFmt numFmtId="166" formatCode="0.0E+00"/>
      <fill>
        <patternFill>
          <bgColor theme="0" tint="-0.24994659260841701"/>
        </patternFill>
      </fill>
    </dxf>
    <dxf>
      <fill>
        <patternFill>
          <bgColor theme="5"/>
        </patternFill>
      </fill>
    </dxf>
    <dxf>
      <fill>
        <patternFill>
          <bgColor rgb="FF00B050"/>
        </patternFill>
      </fill>
    </dxf>
    <dxf>
      <fill>
        <patternFill>
          <bgColor theme="5"/>
        </patternFill>
      </fill>
    </dxf>
    <dxf>
      <fill>
        <patternFill>
          <bgColor rgb="FF00B050"/>
        </patternFill>
      </fill>
    </dxf>
    <dxf>
      <fill>
        <patternFill>
          <bgColor theme="5"/>
        </patternFill>
      </fill>
    </dxf>
    <dxf>
      <fill>
        <patternFill>
          <bgColor rgb="FF00B050"/>
        </patternFill>
      </fill>
    </dxf>
    <dxf>
      <fill>
        <patternFill>
          <bgColor theme="5"/>
        </patternFill>
      </fill>
    </dxf>
    <dxf>
      <fill>
        <patternFill>
          <bgColor rgb="FF00B050"/>
        </patternFill>
      </fill>
    </dxf>
    <dxf>
      <numFmt numFmtId="166" formatCode="0.0E+00"/>
    </dxf>
    <dxf>
      <numFmt numFmtId="2" formatCode="0.00"/>
    </dxf>
    <dxf>
      <numFmt numFmtId="164" formatCode="0.0"/>
    </dxf>
    <dxf>
      <numFmt numFmtId="1" formatCode="0"/>
    </dxf>
    <dxf>
      <numFmt numFmtId="166" formatCode="0.0E+00"/>
    </dxf>
    <dxf>
      <fill>
        <patternFill>
          <bgColor theme="5"/>
        </patternFill>
      </fill>
    </dxf>
    <dxf>
      <fill>
        <patternFill>
          <bgColor rgb="FF00B050"/>
        </patternFill>
      </fill>
    </dxf>
    <dxf>
      <fill>
        <patternFill>
          <bgColor theme="5"/>
        </patternFill>
      </fill>
    </dxf>
    <dxf>
      <fill>
        <patternFill>
          <bgColor rgb="FF00B050"/>
        </patternFill>
      </fill>
    </dxf>
    <dxf>
      <fill>
        <patternFill>
          <bgColor theme="5"/>
        </patternFill>
      </fill>
    </dxf>
    <dxf>
      <fill>
        <patternFill>
          <bgColor rgb="FF00B050"/>
        </patternFill>
      </fill>
    </dxf>
    <dxf>
      <fill>
        <patternFill>
          <bgColor theme="0"/>
        </patternFill>
      </fill>
    </dxf>
    <dxf>
      <fill>
        <patternFill>
          <bgColor theme="5"/>
        </patternFill>
      </fill>
    </dxf>
    <dxf>
      <fill>
        <patternFill>
          <bgColor rgb="FF00B050"/>
        </patternFill>
      </fill>
    </dxf>
    <dxf>
      <font>
        <color theme="0"/>
      </font>
    </dxf>
    <dxf>
      <numFmt numFmtId="166" formatCode="0.0E+00"/>
    </dxf>
    <dxf>
      <numFmt numFmtId="2" formatCode="0.00"/>
    </dxf>
    <dxf>
      <numFmt numFmtId="164" formatCode="0.0"/>
    </dxf>
    <dxf>
      <numFmt numFmtId="1" formatCode="0"/>
    </dxf>
    <dxf>
      <numFmt numFmtId="166" formatCode="0.0E+00"/>
    </dxf>
    <dxf>
      <font>
        <color auto="1"/>
      </font>
      <fill>
        <patternFill>
          <bgColor theme="5"/>
        </patternFill>
      </fill>
    </dxf>
    <dxf>
      <font>
        <color auto="1"/>
      </font>
      <fill>
        <patternFill>
          <bgColor rgb="FF00B050"/>
        </patternFill>
      </fill>
    </dxf>
    <dxf>
      <font>
        <color auto="1"/>
      </font>
      <fill>
        <patternFill>
          <bgColor theme="5"/>
        </patternFill>
      </fill>
    </dxf>
    <dxf>
      <font>
        <color auto="1"/>
      </font>
      <fill>
        <patternFill>
          <bgColor rgb="FF00B050"/>
        </patternFill>
      </fill>
    </dxf>
    <dxf>
      <font>
        <color auto="1"/>
      </font>
      <fill>
        <patternFill>
          <bgColor theme="5"/>
        </patternFill>
      </fill>
    </dxf>
    <dxf>
      <font>
        <color auto="1"/>
      </font>
      <fill>
        <patternFill>
          <bgColor rgb="FF00B050"/>
        </patternFill>
      </fill>
    </dxf>
    <dxf>
      <font>
        <color auto="1"/>
      </font>
      <fill>
        <patternFill>
          <bgColor theme="5"/>
        </patternFill>
      </fill>
    </dxf>
    <dxf>
      <font>
        <color auto="1"/>
      </font>
      <fill>
        <patternFill>
          <bgColor rgb="FF00B050"/>
        </patternFill>
      </fill>
    </dxf>
    <dxf>
      <font>
        <color auto="1"/>
      </font>
      <fill>
        <patternFill>
          <bgColor theme="5"/>
        </patternFill>
      </fill>
    </dxf>
    <dxf>
      <font>
        <color auto="1"/>
      </font>
      <fill>
        <patternFill>
          <bgColor rgb="FF00B050"/>
        </patternFill>
      </fill>
    </dxf>
    <dxf>
      <font>
        <color auto="1"/>
      </font>
      <fill>
        <patternFill>
          <bgColor theme="5"/>
        </patternFill>
      </fill>
    </dxf>
    <dxf>
      <font>
        <color auto="1"/>
      </font>
      <fill>
        <patternFill>
          <bgColor rgb="FF00B050"/>
        </patternFill>
      </fill>
    </dxf>
    <dxf>
      <font>
        <color auto="1"/>
      </font>
      <fill>
        <patternFill>
          <bgColor theme="5"/>
        </patternFill>
      </fill>
    </dxf>
    <dxf>
      <font>
        <color auto="1"/>
      </font>
      <fill>
        <patternFill>
          <bgColor rgb="FF00B050"/>
        </patternFill>
      </fill>
    </dxf>
    <dxf>
      <font>
        <color auto="1"/>
      </font>
      <fill>
        <patternFill>
          <bgColor theme="5"/>
        </patternFill>
      </fill>
    </dxf>
    <dxf>
      <font>
        <color auto="1"/>
      </font>
      <fill>
        <patternFill>
          <bgColor rgb="FF00B050"/>
        </patternFill>
      </fill>
    </dxf>
    <dxf>
      <numFmt numFmtId="166" formatCode="0.0E+00"/>
    </dxf>
    <dxf>
      <numFmt numFmtId="4" formatCode="#,##0.00"/>
    </dxf>
    <dxf>
      <numFmt numFmtId="164" formatCode="0.0"/>
    </dxf>
    <dxf>
      <numFmt numFmtId="1" formatCode="0"/>
    </dxf>
    <dxf>
      <numFmt numFmtId="166" formatCode="0.0E+00"/>
    </dxf>
    <dxf>
      <fill>
        <patternFill>
          <bgColor theme="0"/>
        </patternFill>
      </fill>
    </dxf>
    <dxf>
      <font>
        <color theme="0"/>
      </font>
    </dxf>
  </dxfs>
  <tableStyles count="0" defaultTableStyle="TableStyleMedium2" defaultPivotStyle="PivotStyleLight16"/>
  <colors>
    <mruColors>
      <color rgb="FFF15A2B"/>
      <color rgb="FFF04B18"/>
      <color rgb="FFD43D0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Dashboard!$C$66</c:f>
          <c:strCache>
            <c:ptCount val="1"/>
            <c:pt idx="0">
              <c:v>Inhalation Cancer Risk Estimates</c:v>
            </c:pt>
          </c:strCache>
        </c:strRef>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57646326211389221"/>
          <c:h val="0.58920985270720716"/>
        </c:manualLayout>
      </c:layout>
      <c:barChart>
        <c:barDir val="bar"/>
        <c:grouping val="stacked"/>
        <c:varyColors val="0"/>
        <c:ser>
          <c:idx val="4"/>
          <c:order val="0"/>
          <c:tx>
            <c:strRef>
              <c:f>Dashboard!$E$66</c:f>
              <c:strCache>
                <c:ptCount val="1"/>
                <c:pt idx="0">
                  <c:v>Cancer Risk with APF of 10</c:v>
                </c:pt>
              </c:strCache>
            </c:strRef>
          </c:tx>
          <c:spPr>
            <a:solidFill>
              <a:schemeClr val="accent5"/>
            </a:solidFill>
            <a:ln>
              <a:noFill/>
            </a:ln>
            <a:effectLst/>
          </c:spPr>
          <c:invertIfNegative val="0"/>
          <c:cat>
            <c:strRef>
              <c:f>Dashboard!$C$67:$C$70</c:f>
              <c:strCache>
                <c:ptCount val="4"/>
                <c:pt idx="0">
                  <c:v>ONU: 50th Percentile</c:v>
                </c:pt>
                <c:pt idx="1">
                  <c:v>ONU: 95th Percentile</c:v>
                </c:pt>
                <c:pt idx="2">
                  <c:v>Worker: 50th Percentile</c:v>
                </c:pt>
                <c:pt idx="3">
                  <c:v>Worker: 95th Percentile</c:v>
                </c:pt>
              </c:strCache>
            </c:strRef>
          </c:cat>
          <c:val>
            <c:numRef>
              <c:f>Dashboard!$E$67:$E$70</c:f>
              <c:numCache>
                <c:formatCode>0.00E+00</c:formatCode>
                <c:ptCount val="4"/>
                <c:pt idx="0">
                  <c:v>0</c:v>
                </c:pt>
                <c:pt idx="1">
                  <c:v>0</c:v>
                </c:pt>
                <c:pt idx="2">
                  <c:v>7.0571630478675492E-5</c:v>
                </c:pt>
                <c:pt idx="3">
                  <c:v>5.9539340850495452E-4</c:v>
                </c:pt>
              </c:numCache>
            </c:numRef>
          </c:val>
          <c:extLst>
            <c:ext xmlns:c16="http://schemas.microsoft.com/office/drawing/2014/chart" uri="{C3380CC4-5D6E-409C-BE32-E72D297353CC}">
              <c16:uniqueId val="{00000008-6D0D-4AA3-910B-0012314B3634}"/>
            </c:ext>
          </c:extLst>
        </c:ser>
        <c:ser>
          <c:idx val="0"/>
          <c:order val="1"/>
          <c:tx>
            <c:strRef>
              <c:f>Dashboard!$D$66</c:f>
              <c:strCache>
                <c:ptCount val="1"/>
                <c:pt idx="0">
                  <c:v>Cancer Risk</c:v>
                </c:pt>
              </c:strCache>
            </c:strRef>
          </c:tx>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1-6A9D-47DB-A79F-FB92EECBB895}"/>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3-6A9D-47DB-A79F-FB92EECBB895}"/>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5-6A9D-47DB-A79F-FB92EECBB895}"/>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7-6A9D-47DB-A79F-FB92EECBB895}"/>
              </c:ext>
            </c:extLst>
          </c:dPt>
          <c:cat>
            <c:strRef>
              <c:f>Dashboard!$C$67:$C$70</c:f>
              <c:strCache>
                <c:ptCount val="4"/>
                <c:pt idx="0">
                  <c:v>ONU: 50th Percentile</c:v>
                </c:pt>
                <c:pt idx="1">
                  <c:v>ONU: 95th Percentile</c:v>
                </c:pt>
                <c:pt idx="2">
                  <c:v>Worker: 50th Percentile</c:v>
                </c:pt>
                <c:pt idx="3">
                  <c:v>Worker: 95th Percentile</c:v>
                </c:pt>
              </c:strCache>
            </c:strRef>
          </c:cat>
          <c:val>
            <c:numRef>
              <c:f>Dashboard!$D$67:$D$70</c:f>
              <c:numCache>
                <c:formatCode>0.00E+00</c:formatCode>
                <c:ptCount val="4"/>
                <c:pt idx="0">
                  <c:v>0</c:v>
                </c:pt>
                <c:pt idx="1">
                  <c:v>0</c:v>
                </c:pt>
                <c:pt idx="2">
                  <c:v>7.0571630478675487E-4</c:v>
                </c:pt>
                <c:pt idx="3">
                  <c:v>5.9539340850495448E-3</c:v>
                </c:pt>
              </c:numCache>
            </c:numRef>
          </c:val>
          <c:extLst>
            <c:ext xmlns:c16="http://schemas.microsoft.com/office/drawing/2014/chart" uri="{C3380CC4-5D6E-409C-BE32-E72D297353CC}">
              <c16:uniqueId val="{00000008-6A9D-47DB-A79F-FB92EECBB895}"/>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1"/>
          <c:order val="2"/>
          <c:tx>
            <c:v>1.00E-06</c:v>
          </c:tx>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9-6A9D-47DB-A79F-FB92EECBB895}"/>
            </c:ext>
          </c:extLst>
        </c:ser>
        <c:ser>
          <c:idx val="2"/>
          <c:order val="3"/>
          <c:tx>
            <c:v>1.00E-05</c:v>
          </c:tx>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A-6A9D-47DB-A79F-FB92EECBB895}"/>
            </c:ext>
          </c:extLst>
        </c:ser>
        <c:ser>
          <c:idx val="3"/>
          <c:order val="4"/>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B-6A9D-47DB-A79F-FB92EECBB895}"/>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2"/>
        <c:delete val="1"/>
      </c:legendEntry>
      <c:legendEntry>
        <c:idx val="3"/>
        <c:delete val="1"/>
      </c:legendEntry>
      <c:legendEntry>
        <c:idx val="4"/>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Dashboard!$M$66</c:f>
          <c:strCache>
            <c:ptCount val="1"/>
            <c:pt idx="0">
              <c:v>Dermal Cancer Risk Estimates</c:v>
            </c:pt>
          </c:strCache>
        </c:strRef>
      </c:tx>
      <c:layout>
        <c:manualLayout>
          <c:xMode val="edge"/>
          <c:yMode val="edge"/>
          <c:x val="0.36062458254174651"/>
          <c:y val="3.741425313188975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8005457340963504"/>
          <c:h val="0.46667153695671426"/>
        </c:manualLayout>
      </c:layout>
      <c:barChart>
        <c:barDir val="bar"/>
        <c:grouping val="stacked"/>
        <c:varyColors val="0"/>
        <c:ser>
          <c:idx val="0"/>
          <c:order val="0"/>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1-312B-480C-AC55-494428656A8C}"/>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3-312B-480C-AC55-494428656A8C}"/>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5-312B-480C-AC55-494428656A8C}"/>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7-312B-480C-AC55-494428656A8C}"/>
              </c:ext>
            </c:extLst>
          </c:dPt>
          <c:cat>
            <c:strRef>
              <c:f>Dashboard!$M$67:$M$68</c:f>
              <c:strCache>
                <c:ptCount val="2"/>
                <c:pt idx="0">
                  <c:v>Worker, No Gloves</c:v>
                </c:pt>
                <c:pt idx="1">
                  <c:v>Worker with Gloves: 
PF of 5</c:v>
                </c:pt>
              </c:strCache>
            </c:strRef>
          </c:cat>
          <c:val>
            <c:numRef>
              <c:f>Dashboard!$N$67:$N$68</c:f>
              <c:numCache>
                <c:formatCode>General</c:formatCode>
                <c:ptCount val="2"/>
                <c:pt idx="0" formatCode="0.00E+00">
                  <c:v>6.905665887337549E-2</c:v>
                </c:pt>
                <c:pt idx="1">
                  <c:v>1.3811331774675098E-2</c:v>
                </c:pt>
              </c:numCache>
            </c:numRef>
          </c:val>
          <c:extLst>
            <c:ext xmlns:c16="http://schemas.microsoft.com/office/drawing/2014/chart" uri="{C3380CC4-5D6E-409C-BE32-E72D297353CC}">
              <c16:uniqueId val="{00000008-312B-480C-AC55-494428656A8C}"/>
            </c:ext>
          </c:extLst>
        </c:ser>
        <c:dLbls>
          <c:showLegendKey val="0"/>
          <c:showVal val="0"/>
          <c:showCatName val="0"/>
          <c:showSerName val="0"/>
          <c:showPercent val="0"/>
          <c:showBubbleSize val="0"/>
        </c:dLbls>
        <c:gapWidth val="182"/>
        <c:overlap val="100"/>
        <c:axId val="580062808"/>
        <c:axId val="580066744"/>
      </c:barChart>
      <c:scatterChart>
        <c:scatterStyle val="lineMarker"/>
        <c:varyColors val="0"/>
        <c:ser>
          <c:idx val="1"/>
          <c:order val="1"/>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5="http://schemas.microsoft.com/office/drawing/2012/chart" uri="{02D57815-91ED-43cb-92C2-25804820EDAC}">
              <c15:filteredSeriesTitle>
                <c15:tx>
                  <c:v>1.00E-06</c:v>
                </c15:tx>
              </c15:filteredSeriesTitle>
            </c:ext>
            <c:ext xmlns:c16="http://schemas.microsoft.com/office/drawing/2014/chart" uri="{C3380CC4-5D6E-409C-BE32-E72D297353CC}">
              <c16:uniqueId val="{00000009-312B-480C-AC55-494428656A8C}"/>
            </c:ext>
          </c:extLst>
        </c:ser>
        <c:ser>
          <c:idx val="2"/>
          <c:order val="2"/>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5="http://schemas.microsoft.com/office/drawing/2012/chart" uri="{02D57815-91ED-43cb-92C2-25804820EDAC}">
              <c15:filteredSeriesTitle>
                <c15:tx>
                  <c:v>1.00E-05</c:v>
                </c15:tx>
              </c15:filteredSeriesTitle>
            </c:ext>
            <c:ext xmlns:c16="http://schemas.microsoft.com/office/drawing/2014/chart" uri="{C3380CC4-5D6E-409C-BE32-E72D297353CC}">
              <c16:uniqueId val="{0000000A-312B-480C-AC55-494428656A8C}"/>
            </c:ext>
          </c:extLst>
        </c:ser>
        <c:ser>
          <c:idx val="3"/>
          <c:order val="3"/>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5="http://schemas.microsoft.com/office/drawing/2012/chart" uri="{02D57815-91ED-43cb-92C2-25804820EDAC}">
              <c15:filteredSeriesTitle>
                <c15:tx>
                  <c:v>1.00E-04</c:v>
                </c15:tx>
              </c15:filteredSeriesTitle>
            </c:ext>
            <c:ext xmlns:c16="http://schemas.microsoft.com/office/drawing/2014/chart" uri="{C3380CC4-5D6E-409C-BE32-E72D297353CC}">
              <c16:uniqueId val="{0000000B-312B-480C-AC55-494428656A8C}"/>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0"/>
        <c:axPos val="l"/>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RR!$H$56</c:f>
          <c:strCache>
            <c:ptCount val="1"/>
            <c:pt idx="0">
              <c:v>Inhalation Cancer Risk Estimates</c:v>
            </c:pt>
          </c:strCache>
        </c:strRef>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3729288181961663"/>
          <c:h val="0.60596785221581506"/>
        </c:manualLayout>
      </c:layout>
      <c:barChart>
        <c:barDir val="bar"/>
        <c:grouping val="stacked"/>
        <c:varyColors val="0"/>
        <c:ser>
          <c:idx val="4"/>
          <c:order val="0"/>
          <c:tx>
            <c:strRef>
              <c:f>RR!$J$56</c:f>
              <c:strCache>
                <c:ptCount val="1"/>
                <c:pt idx="0">
                  <c:v>Central Tendency</c:v>
                </c:pt>
              </c:strCache>
            </c:strRef>
          </c:tx>
          <c:spPr>
            <a:solidFill>
              <a:schemeClr val="accent5"/>
            </a:solidFill>
            <a:ln>
              <a:noFill/>
            </a:ln>
            <a:effectLst/>
          </c:spPr>
          <c:invertIfNegative val="0"/>
          <c:cat>
            <c:strRef>
              <c:f>RR!$H$57:$H$62</c:f>
              <c:strCache>
                <c:ptCount val="6"/>
                <c:pt idx="0">
                  <c:v>No Respirator</c:v>
                </c:pt>
                <c:pt idx="1">
                  <c:v>APF = 10</c:v>
                </c:pt>
                <c:pt idx="2">
                  <c:v>APF = 25</c:v>
                </c:pt>
                <c:pt idx="3">
                  <c:v>APF = 50</c:v>
                </c:pt>
                <c:pt idx="4">
                  <c:v>APF = 1,000</c:v>
                </c:pt>
                <c:pt idx="5">
                  <c:v>APF = 10,000</c:v>
                </c:pt>
              </c:strCache>
            </c:strRef>
          </c:cat>
          <c:val>
            <c:numRef>
              <c:f>RR!$J$57:$J$62</c:f>
              <c:numCache>
                <c:formatCode>0.00E+00</c:formatCode>
                <c:ptCount val="6"/>
                <c:pt idx="0">
                  <c:v>1.5192612275568868E-7</c:v>
                </c:pt>
                <c:pt idx="1">
                  <c:v>1.5192612275568866E-8</c:v>
                </c:pt>
                <c:pt idx="2">
                  <c:v>6.0770449102275471E-9</c:v>
                </c:pt>
                <c:pt idx="3">
                  <c:v>3.0385224551137736E-9</c:v>
                </c:pt>
                <c:pt idx="4">
                  <c:v>1.5192612275568867E-10</c:v>
                </c:pt>
                <c:pt idx="5">
                  <c:v>1.5192612275568869E-11</c:v>
                </c:pt>
              </c:numCache>
            </c:numRef>
          </c:val>
          <c:extLst>
            <c:ext xmlns:c16="http://schemas.microsoft.com/office/drawing/2014/chart" uri="{C3380CC4-5D6E-409C-BE32-E72D297353CC}">
              <c16:uniqueId val="{0000000C-0523-48BC-9D17-AA720449FCD4}"/>
            </c:ext>
          </c:extLst>
        </c:ser>
        <c:ser>
          <c:idx val="0"/>
          <c:order val="1"/>
          <c:tx>
            <c:strRef>
              <c:f>RR!$I$56</c:f>
              <c:strCache>
                <c:ptCount val="1"/>
                <c:pt idx="0">
                  <c:v>High End</c:v>
                </c:pt>
              </c:strCache>
            </c:strRef>
          </c:tx>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1-0523-48BC-9D17-AA720449FCD4}"/>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3-0523-48BC-9D17-AA720449FCD4}"/>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5-0523-48BC-9D17-AA720449FCD4}"/>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7-0523-48BC-9D17-AA720449FCD4}"/>
              </c:ext>
            </c:extLst>
          </c:dPt>
          <c:cat>
            <c:strRef>
              <c:f>RR!$H$57:$H$62</c:f>
              <c:strCache>
                <c:ptCount val="6"/>
                <c:pt idx="0">
                  <c:v>No Respirator</c:v>
                </c:pt>
                <c:pt idx="1">
                  <c:v>APF = 10</c:v>
                </c:pt>
                <c:pt idx="2">
                  <c:v>APF = 25</c:v>
                </c:pt>
                <c:pt idx="3">
                  <c:v>APF = 50</c:v>
                </c:pt>
                <c:pt idx="4">
                  <c:v>APF = 1,000</c:v>
                </c:pt>
                <c:pt idx="5">
                  <c:v>APF = 10,000</c:v>
                </c:pt>
              </c:strCache>
            </c:strRef>
          </c:cat>
          <c:val>
            <c:numRef>
              <c:f>RR!$I$57:$I$62</c:f>
              <c:numCache>
                <c:formatCode>0.00E+00</c:formatCode>
                <c:ptCount val="6"/>
                <c:pt idx="0">
                  <c:v>5.4998557877864945E-7</c:v>
                </c:pt>
                <c:pt idx="1">
                  <c:v>5.4998557877864943E-8</c:v>
                </c:pt>
                <c:pt idx="2">
                  <c:v>2.1999423151145978E-8</c:v>
                </c:pt>
                <c:pt idx="3">
                  <c:v>1.0999711575572989E-8</c:v>
                </c:pt>
                <c:pt idx="4">
                  <c:v>5.4998557877864946E-10</c:v>
                </c:pt>
                <c:pt idx="5">
                  <c:v>5.4998557877864946E-11</c:v>
                </c:pt>
              </c:numCache>
            </c:numRef>
          </c:val>
          <c:extLst>
            <c:ext xmlns:c16="http://schemas.microsoft.com/office/drawing/2014/chart" uri="{C3380CC4-5D6E-409C-BE32-E72D297353CC}">
              <c16:uniqueId val="{00000008-0523-48BC-9D17-AA720449FCD4}"/>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1"/>
          <c:order val="2"/>
          <c:tx>
            <c:v>1.00E-06</c:v>
          </c:tx>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9-0523-48BC-9D17-AA720449FCD4}"/>
            </c:ext>
          </c:extLst>
        </c:ser>
        <c:ser>
          <c:idx val="2"/>
          <c:order val="3"/>
          <c:tx>
            <c:v>1.00E-05</c:v>
          </c:tx>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A-0523-48BC-9D17-AA720449FCD4}"/>
            </c:ext>
          </c:extLst>
        </c:ser>
        <c:ser>
          <c:idx val="3"/>
          <c:order val="4"/>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B-0523-48BC-9D17-AA720449FCD4}"/>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2"/>
        <c:delete val="1"/>
      </c:legendEntry>
      <c:legendEntry>
        <c:idx val="3"/>
        <c:delete val="1"/>
      </c:legendEntry>
      <c:legendEntry>
        <c:idx val="4"/>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RR!$R$56</c:f>
          <c:strCache>
            <c:ptCount val="1"/>
            <c:pt idx="0">
              <c:v>Dermal Cancer Risk Estimates</c:v>
            </c:pt>
          </c:strCache>
        </c:strRef>
      </c:tx>
      <c:layout>
        <c:manualLayout>
          <c:xMode val="edge"/>
          <c:yMode val="edge"/>
          <c:x val="0.36062458254174651"/>
          <c:y val="3.741425313188975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21526676126302602"/>
          <c:y val="0.19914164555063221"/>
          <c:w val="0.59405949286380677"/>
          <c:h val="0.63093447925324686"/>
        </c:manualLayout>
      </c:layout>
      <c:barChart>
        <c:barDir val="bar"/>
        <c:grouping val="stacked"/>
        <c:varyColors val="0"/>
        <c:ser>
          <c:idx val="4"/>
          <c:order val="0"/>
          <c:tx>
            <c:v>Central Tendency</c:v>
          </c:tx>
          <c:spPr>
            <a:solidFill>
              <a:schemeClr val="accent5"/>
            </a:solidFill>
            <a:ln>
              <a:noFill/>
            </a:ln>
            <a:effectLst/>
          </c:spPr>
          <c:invertIfNegative val="0"/>
          <c:cat>
            <c:strRef>
              <c:f>RR!$R$57:$R$60</c:f>
              <c:strCache>
                <c:ptCount val="4"/>
                <c:pt idx="0">
                  <c:v>No Gloves 
(PF = 1)</c:v>
                </c:pt>
                <c:pt idx="1">
                  <c:v>Protective Gloves 
(PF = 5)</c:v>
                </c:pt>
                <c:pt idx="2">
                  <c:v>Protective Gloves 
(Commercial uses, PF = 10)</c:v>
                </c:pt>
                <c:pt idx="3">
                  <c:v>Protective Gloves 
(Industrial uses, PF = 20)</c:v>
                </c:pt>
              </c:strCache>
            </c:strRef>
          </c:cat>
          <c:val>
            <c:numRef>
              <c:f>RR!$T$57:$T$60</c:f>
              <c:numCache>
                <c:formatCode>0.00E+00</c:formatCode>
                <c:ptCount val="4"/>
                <c:pt idx="0">
                  <c:v>2.3278128117316474E-4</c:v>
                </c:pt>
                <c:pt idx="1">
                  <c:v>4.6556256234632951E-5</c:v>
                </c:pt>
                <c:pt idx="2">
                  <c:v>2.3278128117316475E-5</c:v>
                </c:pt>
                <c:pt idx="3">
                  <c:v>1.1639064058658238E-5</c:v>
                </c:pt>
              </c:numCache>
            </c:numRef>
          </c:val>
          <c:extLst>
            <c:ext xmlns:c16="http://schemas.microsoft.com/office/drawing/2014/chart" uri="{C3380CC4-5D6E-409C-BE32-E72D297353CC}">
              <c16:uniqueId val="{00000008-DF3B-400B-82AE-5B9B2947E07B}"/>
            </c:ext>
          </c:extLst>
        </c:ser>
        <c:ser>
          <c:idx val="0"/>
          <c:order val="1"/>
          <c:tx>
            <c:v>High End</c:v>
          </c:tx>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1-7A20-4297-8B57-81429CDB4302}"/>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3-7A20-4297-8B57-81429CDB4302}"/>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5-7A20-4297-8B57-81429CDB4302}"/>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7-7A20-4297-8B57-81429CDB4302}"/>
              </c:ext>
            </c:extLst>
          </c:dPt>
          <c:cat>
            <c:strRef>
              <c:f>RR!$R$57:$R$60</c:f>
              <c:strCache>
                <c:ptCount val="4"/>
                <c:pt idx="0">
                  <c:v>No Gloves 
(PF = 1)</c:v>
                </c:pt>
                <c:pt idx="1">
                  <c:v>Protective Gloves 
(PF = 5)</c:v>
                </c:pt>
                <c:pt idx="2">
                  <c:v>Protective Gloves 
(Commercial uses, PF = 10)</c:v>
                </c:pt>
                <c:pt idx="3">
                  <c:v>Protective Gloves 
(Industrial uses, PF = 20)</c:v>
                </c:pt>
              </c:strCache>
            </c:strRef>
          </c:cat>
          <c:val>
            <c:numRef>
              <c:f>RR!$S$57:$S$60</c:f>
              <c:numCache>
                <c:formatCode>0.00E+00</c:formatCode>
                <c:ptCount val="4"/>
                <c:pt idx="0">
                  <c:v>1.5769054531085359E-3</c:v>
                </c:pt>
                <c:pt idx="1">
                  <c:v>3.1538109062170718E-4</c:v>
                </c:pt>
                <c:pt idx="2">
                  <c:v>1.5769054531085359E-4</c:v>
                </c:pt>
                <c:pt idx="3">
                  <c:v>7.8845272655426795E-5</c:v>
                </c:pt>
              </c:numCache>
            </c:numRef>
          </c:val>
          <c:extLst>
            <c:ext xmlns:c16="http://schemas.microsoft.com/office/drawing/2014/chart" uri="{C3380CC4-5D6E-409C-BE32-E72D297353CC}">
              <c16:uniqueId val="{00000008-7A20-4297-8B57-81429CDB4302}"/>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1"/>
          <c:order val="2"/>
          <c:tx>
            <c:v>1.00E-06</c:v>
          </c:tx>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9-7A20-4297-8B57-81429CDB4302}"/>
            </c:ext>
          </c:extLst>
        </c:ser>
        <c:ser>
          <c:idx val="2"/>
          <c:order val="3"/>
          <c:tx>
            <c:v>1.00E-05</c:v>
          </c:tx>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A-7A20-4297-8B57-81429CDB4302}"/>
            </c:ext>
          </c:extLst>
        </c:ser>
        <c:ser>
          <c:idx val="3"/>
          <c:order val="4"/>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B-7A20-4297-8B57-81429CDB4302}"/>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w="12700">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2"/>
        <c:delete val="1"/>
      </c:legendEntry>
      <c:legendEntry>
        <c:idx val="3"/>
        <c:delete val="1"/>
      </c:legendEntry>
      <c:legendEntry>
        <c:idx val="4"/>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xdr:col>
      <xdr:colOff>297656</xdr:colOff>
      <xdr:row>37</xdr:row>
      <xdr:rowOff>186525</xdr:rowOff>
    </xdr:from>
    <xdr:to>
      <xdr:col>7</xdr:col>
      <xdr:colOff>1095375</xdr:colOff>
      <xdr:row>62</xdr:row>
      <xdr:rowOff>90150</xdr:rowOff>
    </xdr:to>
    <xdr:graphicFrame macro="">
      <xdr:nvGraphicFramePr>
        <xdr:cNvPr id="5" name="Chart 4">
          <a:extLst>
            <a:ext uri="{FF2B5EF4-FFF2-40B4-BE49-F238E27FC236}">
              <a16:creationId xmlns:a16="http://schemas.microsoft.com/office/drawing/2014/main" id="{832C5013-7CF2-45A4-949B-A8188FC121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210344</xdr:colOff>
      <xdr:row>42</xdr:row>
      <xdr:rowOff>50800</xdr:rowOff>
    </xdr:from>
    <xdr:to>
      <xdr:col>16</xdr:col>
      <xdr:colOff>575469</xdr:colOff>
      <xdr:row>57</xdr:row>
      <xdr:rowOff>95249</xdr:rowOff>
    </xdr:to>
    <xdr:graphicFrame macro="">
      <xdr:nvGraphicFramePr>
        <xdr:cNvPr id="6" name="Chart 5">
          <a:extLst>
            <a:ext uri="{FF2B5EF4-FFF2-40B4-BE49-F238E27FC236}">
              <a16:creationId xmlns:a16="http://schemas.microsoft.com/office/drawing/2014/main" id="{5450647A-DEC4-4ED8-8D15-70F15800EA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7</xdr:col>
      <xdr:colOff>11206</xdr:colOff>
      <xdr:row>29</xdr:row>
      <xdr:rowOff>125824</xdr:rowOff>
    </xdr:from>
    <xdr:to>
      <xdr:col>13</xdr:col>
      <xdr:colOff>392205</xdr:colOff>
      <xdr:row>50</xdr:row>
      <xdr:rowOff>11206</xdr:rowOff>
    </xdr:to>
    <xdr:graphicFrame macro="">
      <xdr:nvGraphicFramePr>
        <xdr:cNvPr id="2" name="Chart 1">
          <a:extLst>
            <a:ext uri="{FF2B5EF4-FFF2-40B4-BE49-F238E27FC236}">
              <a16:creationId xmlns:a16="http://schemas.microsoft.com/office/drawing/2014/main" id="{8CB4247C-332E-4763-97FF-EFEB2DD09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152748</xdr:colOff>
      <xdr:row>31</xdr:row>
      <xdr:rowOff>55368</xdr:rowOff>
    </xdr:from>
    <xdr:to>
      <xdr:col>23</xdr:col>
      <xdr:colOff>54429</xdr:colOff>
      <xdr:row>51</xdr:row>
      <xdr:rowOff>129533</xdr:rowOff>
    </xdr:to>
    <xdr:graphicFrame macro="">
      <xdr:nvGraphicFramePr>
        <xdr:cNvPr id="3" name="Chart 2">
          <a:extLst>
            <a:ext uri="{FF2B5EF4-FFF2-40B4-BE49-F238E27FC236}">
              <a16:creationId xmlns:a16="http://schemas.microsoft.com/office/drawing/2014/main" id="{602F6EB5-1B54-42FD-9799-5710EB37BE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51593</xdr:colOff>
      <xdr:row>1</xdr:row>
      <xdr:rowOff>0</xdr:rowOff>
    </xdr:from>
    <xdr:to>
      <xdr:col>4</xdr:col>
      <xdr:colOff>60960</xdr:colOff>
      <xdr:row>4</xdr:row>
      <xdr:rowOff>166687</xdr:rowOff>
    </xdr:to>
    <xdr:sp macro="" textlink="">
      <xdr:nvSpPr>
        <xdr:cNvPr id="4" name="TextBox 3">
          <a:extLst>
            <a:ext uri="{FF2B5EF4-FFF2-40B4-BE49-F238E27FC236}">
              <a16:creationId xmlns:a16="http://schemas.microsoft.com/office/drawing/2014/main" id="{2C23DA81-FB55-437E-9302-C2E02213CA4A}"/>
            </a:ext>
          </a:extLst>
        </xdr:cNvPr>
        <xdr:cNvSpPr txBox="1"/>
      </xdr:nvSpPr>
      <xdr:spPr>
        <a:xfrm>
          <a:off x="539273" y="182880"/>
          <a:ext cx="3110707" cy="982027"/>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900" b="1"/>
            <a:t>Key</a:t>
          </a:r>
          <a:endParaRPr lang="en-US" sz="900"/>
        </a:p>
        <a:p>
          <a:r>
            <a:rPr lang="en-US" sz="900"/>
            <a:t>             =  </a:t>
          </a:r>
          <a:r>
            <a:rPr lang="en-US" sz="900">
              <a:solidFill>
                <a:srgbClr val="FF0000"/>
              </a:solidFill>
            </a:rPr>
            <a:t>Risk</a:t>
          </a:r>
          <a:r>
            <a:rPr lang="en-US" sz="900"/>
            <a:t>.  </a:t>
          </a:r>
          <a:r>
            <a:rPr lang="en-US" sz="900" baseline="0"/>
            <a:t>       </a:t>
          </a:r>
          <a:r>
            <a:rPr lang="en-US" sz="900" i="1"/>
            <a:t>MOE</a:t>
          </a:r>
          <a:r>
            <a:rPr lang="en-US" sz="900" i="1" baseline="-25000"/>
            <a:t>acute or chronic</a:t>
          </a:r>
          <a:r>
            <a:rPr lang="en-US" sz="900" i="1" baseline="0"/>
            <a:t> &lt; MOE</a:t>
          </a:r>
          <a:r>
            <a:rPr lang="en-US" sz="900" i="1" baseline="-25000"/>
            <a:t>benchmark</a:t>
          </a:r>
          <a:endParaRPr lang="en-US" sz="900" i="0" baseline="0"/>
        </a:p>
        <a:p>
          <a:r>
            <a:rPr lang="en-US" sz="900" i="0" baseline="0"/>
            <a:t>                                  </a:t>
          </a:r>
          <a:r>
            <a:rPr lang="en-US" sz="900" i="1" baseline="0"/>
            <a:t>Cancer Risk &gt; Benchmark Cancer Risk Level</a:t>
          </a:r>
        </a:p>
        <a:p>
          <a:endParaRPr lang="en-US" sz="900" i="1" baseline="0"/>
        </a:p>
        <a:p>
          <a:pPr marL="0" marR="0" indent="0" defTabSz="914400" eaLnBrk="1" fontAlgn="auto" latinLnBrk="0" hangingPunct="1">
            <a:lnSpc>
              <a:spcPct val="100000"/>
            </a:lnSpc>
            <a:spcBef>
              <a:spcPts val="0"/>
            </a:spcBef>
            <a:spcAft>
              <a:spcPts val="0"/>
            </a:spcAft>
            <a:buClrTx/>
            <a:buSzTx/>
            <a:buFontTx/>
            <a:buNone/>
            <a:tabLst/>
            <a:defRPr/>
          </a:pPr>
          <a:r>
            <a:rPr lang="en-US" sz="900">
              <a:solidFill>
                <a:schemeClr val="dk1"/>
              </a:solidFill>
              <a:latin typeface="+mn-lt"/>
              <a:ea typeface="+mn-ea"/>
              <a:cs typeface="+mn-cs"/>
            </a:rPr>
            <a:t>             =  </a:t>
          </a:r>
          <a:r>
            <a:rPr lang="en-US" sz="900">
              <a:solidFill>
                <a:srgbClr val="339933"/>
              </a:solidFill>
              <a:latin typeface="+mn-lt"/>
              <a:ea typeface="+mn-ea"/>
              <a:cs typeface="+mn-cs"/>
            </a:rPr>
            <a:t>No Risk</a:t>
          </a:r>
          <a:r>
            <a:rPr lang="en-US" sz="900">
              <a:solidFill>
                <a:schemeClr val="dk1"/>
              </a:solidFill>
              <a:latin typeface="+mn-lt"/>
              <a:ea typeface="+mn-ea"/>
              <a:cs typeface="+mn-cs"/>
            </a:rPr>
            <a:t>.   </a:t>
          </a:r>
          <a:r>
            <a:rPr lang="en-US" sz="900" i="1">
              <a:solidFill>
                <a:schemeClr val="dk1"/>
              </a:solidFill>
              <a:latin typeface="+mn-lt"/>
              <a:ea typeface="+mn-ea"/>
              <a:cs typeface="+mn-cs"/>
            </a:rPr>
            <a:t>MOE</a:t>
          </a:r>
          <a:r>
            <a:rPr lang="en-US" sz="900" i="1" baseline="-25000">
              <a:solidFill>
                <a:schemeClr val="dk1"/>
              </a:solidFill>
              <a:latin typeface="+mn-lt"/>
              <a:ea typeface="+mn-ea"/>
              <a:cs typeface="+mn-cs"/>
            </a:rPr>
            <a:t>acute or chronic</a:t>
          </a:r>
          <a:r>
            <a:rPr lang="en-US" sz="900" i="1" baseline="0">
              <a:solidFill>
                <a:schemeClr val="dk1"/>
              </a:solidFill>
              <a:latin typeface="+mn-lt"/>
              <a:ea typeface="+mn-ea"/>
              <a:cs typeface="+mn-cs"/>
            </a:rPr>
            <a:t> ≥ MOE</a:t>
          </a:r>
          <a:r>
            <a:rPr lang="en-US" sz="900" i="1" baseline="-25000">
              <a:solidFill>
                <a:schemeClr val="dk1"/>
              </a:solidFill>
              <a:latin typeface="+mn-lt"/>
              <a:ea typeface="+mn-ea"/>
              <a:cs typeface="+mn-cs"/>
            </a:rPr>
            <a:t>benchmark</a:t>
          </a:r>
          <a:endParaRPr lang="en-US" sz="900" i="0" baseline="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900" i="0" baseline="0">
              <a:solidFill>
                <a:schemeClr val="dk1"/>
              </a:solidFill>
              <a:latin typeface="+mn-lt"/>
              <a:ea typeface="+mn-ea"/>
              <a:cs typeface="+mn-cs"/>
            </a:rPr>
            <a:t>                                  </a:t>
          </a:r>
          <a:r>
            <a:rPr lang="en-US" sz="900" i="1" baseline="0">
              <a:solidFill>
                <a:schemeClr val="dk1"/>
              </a:solidFill>
              <a:latin typeface="+mn-lt"/>
              <a:ea typeface="+mn-ea"/>
              <a:cs typeface="+mn-cs"/>
            </a:rPr>
            <a:t>Cancer Risk ≤ Benchmark Cancer Risk Level</a:t>
          </a:r>
          <a:endParaRPr lang="en-US" sz="900" i="1">
            <a:solidFill>
              <a:schemeClr val="dk1"/>
            </a:solidFill>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19</xdr:col>
      <xdr:colOff>600075</xdr:colOff>
      <xdr:row>2</xdr:row>
      <xdr:rowOff>0</xdr:rowOff>
    </xdr:from>
    <xdr:to>
      <xdr:col>22</xdr:col>
      <xdr:colOff>1238250</xdr:colOff>
      <xdr:row>4</xdr:row>
      <xdr:rowOff>161925</xdr:rowOff>
    </xdr:to>
    <xdr:sp macro="" textlink="">
      <xdr:nvSpPr>
        <xdr:cNvPr id="2" name="Button 1" hidden="1">
          <a:extLst>
            <a:ext uri="{63B3BB69-23CF-44E3-9099-C40C66FF867C}">
              <a14:compatExt xmlns:a14="http://schemas.microsoft.com/office/drawing/2010/main" spid="_x0000_s3073"/>
            </a:ext>
            <a:ext uri="{FF2B5EF4-FFF2-40B4-BE49-F238E27FC236}">
              <a16:creationId xmlns:a16="http://schemas.microsoft.com/office/drawing/2014/main" id="{4BB9E92B-FB06-454E-9A7B-7D26D5FA0E1A}"/>
            </a:ext>
          </a:extLst>
        </xdr:cNvPr>
        <xdr:cNvSpPr/>
      </xdr:nvSpPr>
      <xdr:spPr bwMode="auto">
        <a:xfrm>
          <a:off x="13580745" y="371475"/>
          <a:ext cx="2398395" cy="54483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Click here to autofill respirator APF and glove PF values.</a:t>
          </a:r>
        </a:p>
      </xdr:txBody>
    </xdr:sp>
    <xdr:clientData fPrintsWithSheet="0"/>
  </xdr:twoCellAnchor>
  <xdr:twoCellAnchor>
    <xdr:from>
      <xdr:col>19</xdr:col>
      <xdr:colOff>600075</xdr:colOff>
      <xdr:row>2</xdr:row>
      <xdr:rowOff>0</xdr:rowOff>
    </xdr:from>
    <xdr:to>
      <xdr:col>22</xdr:col>
      <xdr:colOff>1238250</xdr:colOff>
      <xdr:row>4</xdr:row>
      <xdr:rowOff>161925</xdr:rowOff>
    </xdr:to>
    <xdr:sp macro="" textlink="">
      <xdr:nvSpPr>
        <xdr:cNvPr id="5" name="Button 1" hidden="1">
          <a:extLst>
            <a:ext uri="{63B3BB69-23CF-44E3-9099-C40C66FF867C}">
              <a14:compatExt xmlns:a14="http://schemas.microsoft.com/office/drawing/2010/main" spid="_x0000_s3073"/>
            </a:ext>
            <a:ext uri="{FF2B5EF4-FFF2-40B4-BE49-F238E27FC236}">
              <a16:creationId xmlns:a16="http://schemas.microsoft.com/office/drawing/2014/main" id="{016C7D40-C42B-440F-8940-CEA06EEBDD62}"/>
            </a:ext>
          </a:extLst>
        </xdr:cNvPr>
        <xdr:cNvSpPr/>
      </xdr:nvSpPr>
      <xdr:spPr bwMode="auto">
        <a:xfrm>
          <a:off x="13580745" y="371475"/>
          <a:ext cx="2398395" cy="54483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Click here to autofill respirator APF and glove PF values.</a:t>
          </a:r>
        </a:p>
      </xdr:txBody>
    </xdr:sp>
    <xdr:clientData fPrintsWithSheet="0"/>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hero.epa.gov/hero/index.cfm/reference/details/reference_id/5469669" TargetMode="External"/><Relationship Id="rId1" Type="http://schemas.openxmlformats.org/officeDocument/2006/relationships/hyperlink" Target="https://hero.epa.gov/hero/index.cfm/reference/details/reference_id/3008543"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49332-0FB6-4899-81B5-E8E5F71EA78C}">
  <sheetPr>
    <tabColor rgb="FF92D050"/>
  </sheetPr>
  <dimension ref="B1:F11"/>
  <sheetViews>
    <sheetView tabSelected="1" workbookViewId="0">
      <selection activeCell="B12" sqref="B12"/>
    </sheetView>
  </sheetViews>
  <sheetFormatPr defaultRowHeight="14.4" x14ac:dyDescent="0.3"/>
  <cols>
    <col min="6" max="6" width="5.77734375" customWidth="1"/>
  </cols>
  <sheetData>
    <row r="1" spans="2:6" ht="18" x14ac:dyDescent="0.3">
      <c r="B1" s="335"/>
      <c r="C1" s="335"/>
      <c r="D1" s="335"/>
      <c r="E1" s="335"/>
      <c r="F1" s="335"/>
    </row>
    <row r="2" spans="2:6" ht="21" x14ac:dyDescent="0.3">
      <c r="B2" s="334"/>
      <c r="C2" s="334"/>
      <c r="D2" s="334"/>
      <c r="E2" s="334"/>
      <c r="F2" s="334"/>
    </row>
    <row r="3" spans="2:6" ht="22.35" customHeight="1" x14ac:dyDescent="0.3">
      <c r="B3" s="469" t="s">
        <v>323</v>
      </c>
      <c r="C3" s="469"/>
      <c r="D3" s="469"/>
      <c r="E3" s="469"/>
      <c r="F3" s="469"/>
    </row>
    <row r="4" spans="2:6" ht="42.6" customHeight="1" x14ac:dyDescent="0.3">
      <c r="B4" s="469"/>
      <c r="C4" s="469"/>
      <c r="D4" s="469"/>
      <c r="E4" s="469"/>
      <c r="F4" s="469"/>
    </row>
    <row r="7" spans="2:6" ht="81" customHeight="1" x14ac:dyDescent="0.3">
      <c r="B7" s="469" t="s">
        <v>322</v>
      </c>
      <c r="C7" s="469"/>
      <c r="D7" s="469"/>
      <c r="E7" s="469"/>
      <c r="F7" s="469"/>
    </row>
    <row r="9" spans="2:6" ht="20.399999999999999" x14ac:dyDescent="0.3">
      <c r="B9" s="470" t="s">
        <v>0</v>
      </c>
      <c r="C9" s="470"/>
      <c r="D9" s="470"/>
      <c r="E9" s="470"/>
      <c r="F9" s="470"/>
    </row>
    <row r="11" spans="2:6" ht="18" x14ac:dyDescent="0.35">
      <c r="B11" s="471" t="s">
        <v>324</v>
      </c>
      <c r="C11" s="472"/>
      <c r="D11" s="472"/>
      <c r="E11" s="472"/>
      <c r="F11" s="472"/>
    </row>
  </sheetData>
  <sheetProtection algorithmName="SHA-512" hashValue="jZSfaBLIe8PdVbvIS+1j5Xvzu2RqxQfPxw0j1k+AmsyiAmGKBQ1Cl8xrSn9wxJugaxFYIlUgeFcXovjNJywhYg==" saltValue="yT51FBtC37ycec5hx3B1Ew==" spinCount="100000" sheet="1" objects="1" scenarios="1" formatCells="0" formatColumns="0" formatRows="0" autoFilter="0"/>
  <mergeCells count="4">
    <mergeCell ref="B3:F4"/>
    <mergeCell ref="B7:F7"/>
    <mergeCell ref="B9:F9"/>
    <mergeCell ref="B11:F1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2BD3C-6B8F-447E-919C-D7BE0EE63F14}">
  <sheetPr>
    <tabColor rgb="FF92D050"/>
  </sheetPr>
  <dimension ref="B2:E15"/>
  <sheetViews>
    <sheetView workbookViewId="0">
      <selection activeCell="C6" sqref="C6"/>
    </sheetView>
  </sheetViews>
  <sheetFormatPr defaultRowHeight="14.4" x14ac:dyDescent="0.3"/>
  <cols>
    <col min="2" max="2" width="28.109375" customWidth="1"/>
    <col min="3" max="3" width="117.33203125" customWidth="1"/>
    <col min="4" max="10" width="11.5546875" customWidth="1"/>
    <col min="11" max="15" width="12.5546875" customWidth="1"/>
  </cols>
  <sheetData>
    <row r="2" spans="2:5" x14ac:dyDescent="0.3">
      <c r="B2" s="474" t="s">
        <v>325</v>
      </c>
      <c r="C2" s="474"/>
    </row>
    <row r="3" spans="2:5" ht="74.25" customHeight="1" x14ac:dyDescent="0.3">
      <c r="B3" s="473" t="s">
        <v>1</v>
      </c>
      <c r="C3" s="473"/>
      <c r="D3" s="173"/>
    </row>
    <row r="4" spans="2:5" ht="21.75" customHeight="1" x14ac:dyDescent="0.3">
      <c r="B4" s="218"/>
      <c r="C4" s="218"/>
      <c r="D4" s="218"/>
    </row>
    <row r="5" spans="2:5" x14ac:dyDescent="0.3">
      <c r="B5" s="336" t="s">
        <v>2</v>
      </c>
      <c r="C5" s="336" t="s">
        <v>3</v>
      </c>
    </row>
    <row r="6" spans="2:5" ht="158.4" x14ac:dyDescent="0.3">
      <c r="B6" s="337" t="s">
        <v>4</v>
      </c>
      <c r="C6" s="313" t="s">
        <v>5</v>
      </c>
      <c r="D6" s="173"/>
      <c r="E6" s="173"/>
    </row>
    <row r="7" spans="2:5" ht="43.2" x14ac:dyDescent="0.3">
      <c r="B7" s="337" t="s">
        <v>6</v>
      </c>
      <c r="C7" s="313" t="s">
        <v>7</v>
      </c>
      <c r="D7" s="173"/>
      <c r="E7" s="173"/>
    </row>
    <row r="8" spans="2:5" ht="72" x14ac:dyDescent="0.3">
      <c r="B8" s="337" t="s">
        <v>8</v>
      </c>
      <c r="C8" s="240" t="s">
        <v>9</v>
      </c>
      <c r="D8" s="239"/>
      <c r="E8" s="239"/>
    </row>
    <row r="9" spans="2:5" ht="57.6" x14ac:dyDescent="0.3">
      <c r="B9" s="241" t="s">
        <v>10</v>
      </c>
      <c r="C9" s="313" t="s">
        <v>11</v>
      </c>
      <c r="D9" s="173"/>
      <c r="E9" s="173"/>
    </row>
    <row r="10" spans="2:5" ht="20.25" customHeight="1" x14ac:dyDescent="0.3"/>
    <row r="11" spans="2:5" ht="20.25" customHeight="1" x14ac:dyDescent="0.3">
      <c r="B11" s="173"/>
      <c r="C11" s="173"/>
    </row>
    <row r="12" spans="2:5" x14ac:dyDescent="0.3">
      <c r="B12" s="173"/>
      <c r="C12" s="173"/>
    </row>
    <row r="13" spans="2:5" x14ac:dyDescent="0.3">
      <c r="B13" s="173"/>
      <c r="C13" s="173"/>
    </row>
    <row r="14" spans="2:5" x14ac:dyDescent="0.3">
      <c r="B14" s="173"/>
      <c r="C14" s="173"/>
    </row>
    <row r="15" spans="2:5" x14ac:dyDescent="0.3">
      <c r="C15" s="222"/>
    </row>
  </sheetData>
  <sheetProtection algorithmName="SHA-512" hashValue="ov9jbEB9PC4jPtg2/2fgTtNVAb3Hd/HYmOEUG98Iyfdt9gcIUtXAh/IJ9/fTtNiIKfhlKXmkLXrJIzYtCv0FzQ==" saltValue="Qw0aXcZfUDGu2BYQ8UV3xA==" spinCount="100000" sheet="1" objects="1" scenarios="1"/>
  <mergeCells count="2">
    <mergeCell ref="B3:C3"/>
    <mergeCell ref="B2:C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92D050"/>
  </sheetPr>
  <dimension ref="A1:S70"/>
  <sheetViews>
    <sheetView zoomScale="70" zoomScaleNormal="70" workbookViewId="0">
      <selection activeCell="C4" sqref="C4"/>
    </sheetView>
  </sheetViews>
  <sheetFormatPr defaultColWidth="8.6640625" defaultRowHeight="14.4" x14ac:dyDescent="0.3"/>
  <cols>
    <col min="1" max="1" width="2.44140625" style="12" customWidth="1"/>
    <col min="2" max="2" width="5" style="11" hidden="1" customWidth="1"/>
    <col min="3" max="3" width="38.44140625" style="12" customWidth="1"/>
    <col min="4" max="4" width="19.5546875" style="11" customWidth="1"/>
    <col min="5" max="5" width="20.5546875" style="12" customWidth="1"/>
    <col min="6" max="6" width="19.44140625" style="12" customWidth="1"/>
    <col min="7" max="7" width="21" style="12" customWidth="1"/>
    <col min="8" max="8" width="26.44140625" style="12" bestFit="1" customWidth="1"/>
    <col min="9" max="9" width="23" style="12" customWidth="1"/>
    <col min="10" max="10" width="19.6640625" style="12" customWidth="1"/>
    <col min="11" max="11" width="4.44140625" style="12" customWidth="1"/>
    <col min="12" max="12" width="5" style="12" hidden="1" customWidth="1"/>
    <col min="13" max="13" width="37.5546875" style="12" customWidth="1"/>
    <col min="14" max="14" width="18" style="12" customWidth="1"/>
    <col min="15" max="15" width="27.6640625" style="12" customWidth="1"/>
    <col min="16" max="16" width="22.44140625" style="12" customWidth="1"/>
    <col min="17" max="17" width="21" style="12" customWidth="1"/>
    <col min="18" max="18" width="22" style="12" customWidth="1"/>
    <col min="19" max="19" width="23.5546875" style="12" customWidth="1"/>
    <col min="20" max="16384" width="8.6640625" style="12"/>
  </cols>
  <sheetData>
    <row r="1" spans="1:19" ht="15.75" customHeight="1" thickBot="1" x14ac:dyDescent="0.35"/>
    <row r="2" spans="1:19" s="14" customFormat="1" ht="35.25" customHeight="1" thickBot="1" x14ac:dyDescent="0.35">
      <c r="B2" s="20"/>
      <c r="C2" s="314" t="s">
        <v>12</v>
      </c>
      <c r="D2" s="506" t="s">
        <v>13</v>
      </c>
      <c r="E2" s="507"/>
      <c r="F2" s="506" t="s">
        <v>14</v>
      </c>
      <c r="G2" s="507"/>
      <c r="I2" s="506" t="s">
        <v>15</v>
      </c>
      <c r="J2" s="507"/>
      <c r="M2" s="506" t="s">
        <v>16</v>
      </c>
      <c r="N2" s="507"/>
    </row>
    <row r="3" spans="1:19" s="14" customFormat="1" ht="60.75" customHeight="1" x14ac:dyDescent="0.3">
      <c r="B3" s="20"/>
      <c r="C3" s="180" t="s">
        <v>17</v>
      </c>
      <c r="D3" s="518" t="s">
        <v>18</v>
      </c>
      <c r="E3" s="519"/>
      <c r="F3" s="518" t="s">
        <v>19</v>
      </c>
      <c r="G3" s="519"/>
      <c r="I3" s="161" t="s">
        <v>20</v>
      </c>
      <c r="J3" s="82" t="s">
        <v>21</v>
      </c>
      <c r="M3" s="518" t="s">
        <v>22</v>
      </c>
      <c r="N3" s="519"/>
    </row>
    <row r="4" spans="1:19" s="14" customFormat="1" ht="54.6" customHeight="1" thickBot="1" x14ac:dyDescent="0.35">
      <c r="B4" s="20"/>
      <c r="C4" s="181" t="s">
        <v>257</v>
      </c>
      <c r="D4" s="520" t="s">
        <v>24</v>
      </c>
      <c r="E4" s="521"/>
      <c r="F4" s="520" t="str">
        <f>VLOOKUP($C$4,'Inhalation Exposure'!C4:F60,4,FALSE)</f>
        <v>Spray 250-day application; resin paints &amp; coatings (mist)</v>
      </c>
      <c r="G4" s="521"/>
      <c r="I4" s="160">
        <v>10</v>
      </c>
      <c r="J4" s="159">
        <v>5</v>
      </c>
      <c r="M4" s="520" t="s">
        <v>25</v>
      </c>
      <c r="N4" s="521"/>
    </row>
    <row r="5" spans="1:19" s="14" customFormat="1" ht="21" x14ac:dyDescent="0.3">
      <c r="A5" s="51"/>
      <c r="B5" s="20"/>
      <c r="E5" s="22"/>
      <c r="F5" s="515"/>
      <c r="G5" s="515"/>
      <c r="H5" s="317"/>
      <c r="K5" s="317"/>
      <c r="P5" s="70"/>
      <c r="Q5" s="67"/>
      <c r="R5" s="52"/>
    </row>
    <row r="6" spans="1:19" s="14" customFormat="1" ht="21" x14ac:dyDescent="0.3">
      <c r="B6" s="20"/>
      <c r="C6" s="52" t="s">
        <v>26</v>
      </c>
      <c r="D6" s="20"/>
      <c r="E6" s="22"/>
      <c r="F6" s="22"/>
      <c r="G6" s="22"/>
      <c r="H6" s="22"/>
      <c r="I6" s="22"/>
      <c r="J6" s="22"/>
      <c r="K6" s="22"/>
      <c r="M6" s="52" t="s">
        <v>16</v>
      </c>
      <c r="N6" s="12"/>
      <c r="O6" s="12"/>
      <c r="P6" s="70"/>
      <c r="Q6" s="67"/>
      <c r="R6" s="12"/>
    </row>
    <row r="7" spans="1:19" ht="21.6" thickBot="1" x14ac:dyDescent="0.35">
      <c r="C7" s="13" t="s">
        <v>27</v>
      </c>
      <c r="F7" s="147"/>
      <c r="G7" s="147"/>
      <c r="H7" s="147"/>
      <c r="I7" s="97"/>
      <c r="J7" s="97"/>
      <c r="K7" s="97"/>
      <c r="M7" s="13" t="s">
        <v>27</v>
      </c>
      <c r="P7" s="70"/>
      <c r="Q7" s="67"/>
    </row>
    <row r="8" spans="1:19" ht="38.25" customHeight="1" x14ac:dyDescent="0.3">
      <c r="C8" s="510" t="s">
        <v>28</v>
      </c>
      <c r="D8" s="485" t="s">
        <v>29</v>
      </c>
      <c r="E8" s="323" t="s">
        <v>30</v>
      </c>
      <c r="F8" s="321" t="s">
        <v>31</v>
      </c>
      <c r="G8" s="321" t="s">
        <v>32</v>
      </c>
      <c r="H8" s="323" t="s">
        <v>33</v>
      </c>
      <c r="I8" s="325" t="s">
        <v>34</v>
      </c>
      <c r="K8" s="91"/>
      <c r="L8" s="91"/>
      <c r="M8" s="528" t="s">
        <v>28</v>
      </c>
      <c r="N8" s="522" t="s">
        <v>29</v>
      </c>
      <c r="O8" s="318" t="s">
        <v>35</v>
      </c>
      <c r="P8" s="321" t="s">
        <v>36</v>
      </c>
      <c r="Q8" s="321" t="s">
        <v>37</v>
      </c>
      <c r="R8" s="321" t="s">
        <v>38</v>
      </c>
      <c r="S8" s="325" t="s">
        <v>39</v>
      </c>
    </row>
    <row r="9" spans="1:19" ht="36.75" customHeight="1" thickBot="1" x14ac:dyDescent="0.35">
      <c r="C9" s="511"/>
      <c r="D9" s="486"/>
      <c r="E9" s="328" t="s">
        <v>40</v>
      </c>
      <c r="F9" s="322" t="s">
        <v>41</v>
      </c>
      <c r="G9" s="322" t="s">
        <v>42</v>
      </c>
      <c r="H9" s="328" t="s">
        <v>43</v>
      </c>
      <c r="I9" s="326" t="s">
        <v>44</v>
      </c>
      <c r="K9" s="91"/>
      <c r="L9" s="91"/>
      <c r="M9" s="529"/>
      <c r="N9" s="523"/>
      <c r="O9" s="319" t="s">
        <v>45</v>
      </c>
      <c r="P9" s="322" t="s">
        <v>46</v>
      </c>
      <c r="Q9" s="322" t="s">
        <v>47</v>
      </c>
      <c r="R9" s="322" t="s">
        <v>48</v>
      </c>
      <c r="S9" s="326" t="s">
        <v>49</v>
      </c>
    </row>
    <row r="10" spans="1:19" x14ac:dyDescent="0.3">
      <c r="C10" s="233" t="s">
        <v>25</v>
      </c>
      <c r="D10" s="512" t="s">
        <v>51</v>
      </c>
      <c r="E10" s="274">
        <f>SUMIFS('Inhalation Exposure'!$I:$I,'Inhalation Exposure'!$C:$C,$C$4,'Inhalation Exposure'!$D:$D,$C10,'Inhalation Exposure'!$E:$E,$D$4)</f>
        <v>5.5250000000000004</v>
      </c>
      <c r="F10" s="274">
        <f>SUMIFS('Inhalation Exposure'!$M:$M,'Inhalation Exposure'!$C:$C,$C$4,'Inhalation Exposure'!$D:$D,$C10,'Inhalation Exposure'!$E:$E,$D$4)</f>
        <v>3.7585034013605445</v>
      </c>
      <c r="G10" s="274">
        <f>SUMIFS('Inhalation Exposure'!$AA:$AA,'Inhalation Exposure'!$C:$C,$C$4,'Inhalation Exposure'!$D:$D,$C10,'Inhalation Exposure'!$E:$E,$D$4)</f>
        <v>2.7562358276643995</v>
      </c>
      <c r="H10" s="275">
        <f>SUMIFS('Inhalation Exposure'!$Q:$Q,'Inhalation Exposure'!$C:$C,$C$4,'Inhalation Exposure'!$D:$D,$C10,'Inhalation Exposure'!$E:$E,$D$4)</f>
        <v>2.5743173981921537</v>
      </c>
      <c r="I10" s="276">
        <f>SUMIFS('Inhalation Exposure'!$U:$U,'Inhalation Exposure'!$C:$C,$C$4,'Inhalation Exposure'!$D:$D,$C10,'Inhalation Exposure'!$E:$E,$D$4)</f>
        <v>1.3201627683036685</v>
      </c>
      <c r="K10" s="98"/>
      <c r="L10" s="98"/>
      <c r="M10" s="526" t="s">
        <v>52</v>
      </c>
      <c r="N10" s="158" t="s">
        <v>51</v>
      </c>
      <c r="O10" s="283">
        <f>'Dermal Exposure'!M5</f>
        <v>641.97325000000001</v>
      </c>
      <c r="P10" s="284">
        <f>'Dermal Exposure'!N5</f>
        <v>8.0246656250000008</v>
      </c>
      <c r="Q10" s="284">
        <f>'Dermal Exposure'!Q5</f>
        <v>5.8847547916666674</v>
      </c>
      <c r="R10" s="284">
        <f>'Dermal Exposure'!O5</f>
        <v>5.4963463184931509</v>
      </c>
      <c r="S10" s="285">
        <f>'Dermal Exposure'!P5</f>
        <v>2.8186391376887951</v>
      </c>
    </row>
    <row r="11" spans="1:19" x14ac:dyDescent="0.3">
      <c r="C11" s="234" t="s">
        <v>53</v>
      </c>
      <c r="D11" s="513"/>
      <c r="E11" s="277">
        <f>SUMIFS('Inhalation Exposure'!$I:$I,'Inhalation Exposure'!$C:$C,$C$4,'Inhalation Exposure'!$D:$D,$C11,'Inhalation Exposure'!$E:$E,$D$4)</f>
        <v>0</v>
      </c>
      <c r="F11" s="277">
        <f>SUMIFS('Inhalation Exposure'!$M:$M,'Inhalation Exposure'!$C:$C,$C$4,'Inhalation Exposure'!$D:$D,$C11,'Inhalation Exposure'!$E:$E,$D$4)</f>
        <v>0</v>
      </c>
      <c r="G11" s="277">
        <f>SUMIFS('Inhalation Exposure'!$AA:$AA,'Inhalation Exposure'!$C:$C,$C$4,'Inhalation Exposure'!$D:$D,$C11,'Inhalation Exposure'!$E:$E,$D$4)</f>
        <v>0</v>
      </c>
      <c r="H11" s="278">
        <f>SUMIFS('Inhalation Exposure'!$Q:$Q,'Inhalation Exposure'!$C:$C,$C$4,'Inhalation Exposure'!$D:$D,$C11,'Inhalation Exposure'!$E:$E,$D$4)</f>
        <v>0</v>
      </c>
      <c r="I11" s="279">
        <f>SUMIFS('Inhalation Exposure'!$U:$U,'Inhalation Exposure'!$C:$C,$C$4,'Inhalation Exposure'!$D:$D,$C11,'Inhalation Exposure'!$E:$E,$D$4)</f>
        <v>0</v>
      </c>
      <c r="K11" s="98"/>
      <c r="L11" s="98"/>
      <c r="M11" s="527"/>
      <c r="N11" s="244" t="s">
        <v>54</v>
      </c>
      <c r="O11" s="286">
        <f>'Dermal Exposure'!M6</f>
        <v>118.42225000000001</v>
      </c>
      <c r="P11" s="287">
        <f>'Dermal Exposure'!N6</f>
        <v>1.4802781250000001</v>
      </c>
      <c r="Q11" s="287">
        <f>'Dermal Exposure'!Q6</f>
        <v>1.0855372916666668</v>
      </c>
      <c r="R11" s="287">
        <f>'Dermal Exposure'!O6</f>
        <v>1.0138891267123289</v>
      </c>
      <c r="S11" s="288">
        <f>'Dermal Exposure'!P6</f>
        <v>0.40295593497541277</v>
      </c>
    </row>
    <row r="12" spans="1:19" ht="15" customHeight="1" x14ac:dyDescent="0.3">
      <c r="C12" s="234" t="s">
        <v>25</v>
      </c>
      <c r="D12" s="513" t="s">
        <v>54</v>
      </c>
      <c r="E12" s="277">
        <f>SUMIFS('Inhalation Exposure'!$J:$J,'Inhalation Exposure'!$C:$C,$C$4,'Inhalation Exposure'!$D:$D,$C12,'Inhalation Exposure'!$E:$E,$D$4)</f>
        <v>0.84499999999999997</v>
      </c>
      <c r="F12" s="277">
        <f>SUMIFS('Inhalation Exposure'!$N:$N,'Inhalation Exposure'!$C:$C,$C$4,'Inhalation Exposure'!$D:$D,$C12,'Inhalation Exposure'!$E:$E,$D$4)</f>
        <v>0.5748299319727892</v>
      </c>
      <c r="G12" s="277">
        <f>SUMIFS('Inhalation Exposure'!$AB:$AB,'Inhalation Exposure'!$C:$C,$C$4,'Inhalation Exposure'!$D:$D,$C12,'Inhalation Exposure'!$E:$E,$D$4)</f>
        <v>0.42154195011337869</v>
      </c>
      <c r="H12" s="278">
        <f>SUMIFS('Inhalation Exposure'!$R:$R,'Inhalation Exposure'!$C:$C,$C$4,'Inhalation Exposure'!$D:$D,$C12,'Inhalation Exposure'!$E:$E,$D$4)</f>
        <v>0.39371913148821175</v>
      </c>
      <c r="I12" s="279">
        <f>SUMIFS('Inhalation Exposure'!$V:$V,'Inhalation Exposure'!$C:$C,$C$4,'Inhalation Exposure'!$D:$D,$C12,'Inhalation Exposure'!$E:$E,$D$4)</f>
        <v>0.15647811636069953</v>
      </c>
      <c r="K12" s="98"/>
      <c r="L12" s="98"/>
      <c r="M12" s="524" t="str">
        <f>_xlfn.CONCAT("Worker with Gloves; 
PF of ",J4)</f>
        <v>Worker with Gloves; 
PF of 5</v>
      </c>
      <c r="N12" s="244" t="s">
        <v>51</v>
      </c>
      <c r="O12" s="286">
        <f t="shared" ref="O12:S13" si="0">O10/$J$4</f>
        <v>128.39465000000001</v>
      </c>
      <c r="P12" s="287">
        <f t="shared" si="0"/>
        <v>1.6049331250000001</v>
      </c>
      <c r="Q12" s="287">
        <f t="shared" si="0"/>
        <v>1.1769509583333335</v>
      </c>
      <c r="R12" s="287">
        <f t="shared" si="0"/>
        <v>1.0992692636986301</v>
      </c>
      <c r="S12" s="288">
        <f t="shared" si="0"/>
        <v>0.56372782753775907</v>
      </c>
    </row>
    <row r="13" spans="1:19" ht="15" thickBot="1" x14ac:dyDescent="0.35">
      <c r="C13" s="235" t="s">
        <v>53</v>
      </c>
      <c r="D13" s="514"/>
      <c r="E13" s="280">
        <f>SUMIFS('Inhalation Exposure'!$J:$J,'Inhalation Exposure'!$C:$C,$C$4,'Inhalation Exposure'!$D:$D,$C13,'Inhalation Exposure'!$E:$E,$D$4)</f>
        <v>0</v>
      </c>
      <c r="F13" s="280">
        <f>SUMIFS('Inhalation Exposure'!$N:$N,'Inhalation Exposure'!$C:$C,$C$4,'Inhalation Exposure'!$D:$D,$C13,'Inhalation Exposure'!$E:$E,$D$4)</f>
        <v>0</v>
      </c>
      <c r="G13" s="280">
        <f>SUMIFS('Inhalation Exposure'!$AB:$AB,'Inhalation Exposure'!$C:$C,$C$4,'Inhalation Exposure'!$D:$D,$C13,'Inhalation Exposure'!$E:$E,$D$4)</f>
        <v>0</v>
      </c>
      <c r="H13" s="281">
        <f>SUMIFS('Inhalation Exposure'!$R:$R,'Inhalation Exposure'!$C:$C,$C$4,'Inhalation Exposure'!$D:$D,$C13,'Inhalation Exposure'!$E:$E,$D$4)</f>
        <v>0</v>
      </c>
      <c r="I13" s="282">
        <f>SUMIFS('Inhalation Exposure'!$V:$V,'Inhalation Exposure'!$C:$C,$C$4,'Inhalation Exposure'!$D:$D,$C13,'Inhalation Exposure'!$E:$E,$D$4)</f>
        <v>0</v>
      </c>
      <c r="K13" s="98"/>
      <c r="L13" s="98"/>
      <c r="M13" s="525"/>
      <c r="N13" s="122" t="s">
        <v>54</v>
      </c>
      <c r="O13" s="289">
        <f t="shared" si="0"/>
        <v>23.684450000000002</v>
      </c>
      <c r="P13" s="290">
        <f t="shared" si="0"/>
        <v>0.29605562500000004</v>
      </c>
      <c r="Q13" s="290">
        <f t="shared" si="0"/>
        <v>0.21710745833333336</v>
      </c>
      <c r="R13" s="290">
        <f t="shared" si="0"/>
        <v>0.20277782534246577</v>
      </c>
      <c r="S13" s="291">
        <f t="shared" si="0"/>
        <v>8.0591186995082553E-2</v>
      </c>
    </row>
    <row r="14" spans="1:19" s="14" customFormat="1" x14ac:dyDescent="0.3">
      <c r="B14" s="20"/>
      <c r="C14" s="19"/>
      <c r="D14" s="324"/>
      <c r="E14" s="22"/>
      <c r="F14" s="324"/>
      <c r="G14" s="324"/>
      <c r="H14" s="324"/>
      <c r="I14" s="324"/>
      <c r="J14" s="324"/>
      <c r="K14" s="324"/>
      <c r="M14" s="19"/>
      <c r="N14" s="324"/>
      <c r="O14" s="22"/>
      <c r="Q14" s="324"/>
    </row>
    <row r="15" spans="1:19" s="14" customFormat="1" ht="36" customHeight="1" thickBot="1" x14ac:dyDescent="0.35">
      <c r="B15" s="20"/>
      <c r="C15" s="21" t="s">
        <v>55</v>
      </c>
      <c r="D15" s="324"/>
      <c r="E15" s="22"/>
      <c r="G15" s="324"/>
      <c r="M15" s="59" t="s">
        <v>56</v>
      </c>
      <c r="N15" s="59"/>
      <c r="O15" s="59"/>
      <c r="P15" s="61"/>
      <c r="Q15" s="21"/>
      <c r="R15" s="21"/>
    </row>
    <row r="16" spans="1:19" s="14" customFormat="1" ht="27" customHeight="1" x14ac:dyDescent="0.3">
      <c r="B16" s="20"/>
      <c r="C16" s="485" t="s">
        <v>57</v>
      </c>
      <c r="D16" s="475" t="s">
        <v>58</v>
      </c>
      <c r="E16" s="477" t="s">
        <v>29</v>
      </c>
      <c r="F16" s="516" t="s">
        <v>59</v>
      </c>
      <c r="G16" s="475" t="s">
        <v>60</v>
      </c>
      <c r="H16" s="475"/>
      <c r="I16" s="503" t="str">
        <f>_xlfn.CONCAT("Respirator Scenario: APF of ",$I$4)</f>
        <v>Respirator Scenario: APF of 10</v>
      </c>
      <c r="J16" s="504"/>
      <c r="K16" s="91"/>
      <c r="M16" s="485" t="s">
        <v>57</v>
      </c>
      <c r="N16" s="475" t="s">
        <v>61</v>
      </c>
      <c r="O16" s="477" t="s">
        <v>29</v>
      </c>
      <c r="P16" s="479" t="s">
        <v>59</v>
      </c>
      <c r="Q16" s="318" t="s">
        <v>60</v>
      </c>
      <c r="R16" s="320" t="s">
        <v>62</v>
      </c>
      <c r="S16" s="69"/>
    </row>
    <row r="17" spans="1:19" s="14" customFormat="1" ht="51.75" customHeight="1" thickBot="1" x14ac:dyDescent="0.35">
      <c r="B17" s="20"/>
      <c r="C17" s="486"/>
      <c r="D17" s="476"/>
      <c r="E17" s="478"/>
      <c r="F17" s="517"/>
      <c r="G17" s="322" t="s">
        <v>63</v>
      </c>
      <c r="H17" s="322" t="s">
        <v>64</v>
      </c>
      <c r="I17" s="322" t="s">
        <v>63</v>
      </c>
      <c r="J17" s="326" t="s">
        <v>64</v>
      </c>
      <c r="K17" s="91"/>
      <c r="L17" s="22"/>
      <c r="M17" s="486"/>
      <c r="N17" s="476"/>
      <c r="O17" s="478"/>
      <c r="P17" s="480"/>
      <c r="Q17" s="319" t="s">
        <v>65</v>
      </c>
      <c r="R17" s="165" t="str">
        <f>_xlfn.CONCAT("Worker MOE with Gloves: 
PF of ",$J$4)</f>
        <v>Worker MOE with Gloves: 
PF of 5</v>
      </c>
    </row>
    <row r="18" spans="1:19" s="14" customFormat="1" ht="22.5" customHeight="1" x14ac:dyDescent="0.3">
      <c r="B18" s="495" t="s">
        <v>66</v>
      </c>
      <c r="C18" s="481" t="str">
        <f>'Health Data'!D6</f>
        <v>Tremors (S)</v>
      </c>
      <c r="D18" s="509">
        <f>VLOOKUP($B18,'Health Data'!$F$6:$K$8,2,FALSE)</f>
        <v>51.5</v>
      </c>
      <c r="E18" s="268" t="s">
        <v>51</v>
      </c>
      <c r="F18" s="269">
        <f>VLOOKUP($B$18,'Health Data'!$F$6:$I$8,4,FALSE)</f>
        <v>30</v>
      </c>
      <c r="G18" s="257">
        <f>IFERROR(D18/$F$10, "")</f>
        <v>13.702262443438913</v>
      </c>
      <c r="H18" s="62" t="str">
        <f>IFERROR(D18/$F$11, "")</f>
        <v/>
      </c>
      <c r="I18" s="62">
        <f>IFERROR(G18*$I$4,"")</f>
        <v>137.02262443438914</v>
      </c>
      <c r="J18" s="86" t="str">
        <f>IFERROR(H18*$I$4,"")</f>
        <v/>
      </c>
      <c r="K18" s="58"/>
      <c r="L18" s="489" t="s">
        <v>66</v>
      </c>
      <c r="M18" s="481" t="str">
        <f>'Health Data'!D6</f>
        <v>Tremors (S)</v>
      </c>
      <c r="N18" s="483">
        <f>VLOOKUP($L$18,'Health Data'!$F$6:$K$8,3,FALSE)</f>
        <v>9.4600000000000009</v>
      </c>
      <c r="O18" s="246" t="s">
        <v>51</v>
      </c>
      <c r="P18" s="247">
        <f>VLOOKUP($L$18,'Health Data'!$F$6:$I$8,4,FALSE)</f>
        <v>30</v>
      </c>
      <c r="Q18" s="245">
        <f>IFERROR(N18/$P$10, "")</f>
        <v>1.1788653187652289</v>
      </c>
      <c r="R18" s="248">
        <f>IFERROR(N18/$P$12, "")</f>
        <v>5.8943265938261451</v>
      </c>
    </row>
    <row r="19" spans="1:19" s="14" customFormat="1" ht="21.75" customHeight="1" thickBot="1" x14ac:dyDescent="0.35">
      <c r="B19" s="495"/>
      <c r="C19" s="482"/>
      <c r="D19" s="499"/>
      <c r="E19" s="270" t="s">
        <v>54</v>
      </c>
      <c r="F19" s="271">
        <f>VLOOKUP($B$18,'Health Data'!$F$6:$I$8,4,FALSE)</f>
        <v>30</v>
      </c>
      <c r="G19" s="258">
        <f>IFERROR(D18/$F$12, "")</f>
        <v>89.591715976331344</v>
      </c>
      <c r="H19" s="63" t="str">
        <f>IFERROR(D18/$F$13, "")</f>
        <v/>
      </c>
      <c r="I19" s="63">
        <f>IFERROR(G19*$I$4,"")</f>
        <v>895.91715976331341</v>
      </c>
      <c r="J19" s="137" t="str">
        <f>IFERROR(H19*$I$4,"")</f>
        <v/>
      </c>
      <c r="K19" s="58"/>
      <c r="L19" s="489"/>
      <c r="M19" s="482"/>
      <c r="N19" s="484"/>
      <c r="O19" s="249" t="s">
        <v>54</v>
      </c>
      <c r="P19" s="250">
        <f>VLOOKUP($L$18,'Health Data'!$F$6:$I$8,4,FALSE)</f>
        <v>30</v>
      </c>
      <c r="Q19" s="251">
        <f>IFERROR(N18/$P$11,"")</f>
        <v>6.3906909385693993</v>
      </c>
      <c r="R19" s="137">
        <f>IFERROR(N18/$P$13,"")</f>
        <v>31.953454692846993</v>
      </c>
    </row>
    <row r="20" spans="1:19" s="14" customFormat="1" x14ac:dyDescent="0.3">
      <c r="B20" s="324"/>
      <c r="C20" s="25"/>
      <c r="D20" s="12"/>
      <c r="E20" s="41"/>
      <c r="F20" s="68"/>
      <c r="G20" s="58"/>
      <c r="H20" s="58"/>
      <c r="L20" s="157"/>
      <c r="M20" s="25"/>
      <c r="N20" s="12"/>
      <c r="O20" s="12"/>
      <c r="P20" s="68"/>
      <c r="Q20" s="12"/>
      <c r="R20" s="12"/>
      <c r="S20" s="58"/>
    </row>
    <row r="21" spans="1:19" s="24" customFormat="1" ht="24" customHeight="1" thickBot="1" x14ac:dyDescent="0.35">
      <c r="B21" s="22"/>
      <c r="C21" s="59" t="s">
        <v>67</v>
      </c>
      <c r="D21" s="41"/>
      <c r="E21" s="58"/>
      <c r="F21" s="12"/>
      <c r="G21" s="58"/>
      <c r="H21" s="42"/>
      <c r="L21" s="14"/>
      <c r="M21" s="59" t="s">
        <v>68</v>
      </c>
      <c r="N21" s="67"/>
      <c r="O21" s="67"/>
      <c r="P21" s="58"/>
      <c r="Q21" s="41"/>
      <c r="R21" s="41"/>
      <c r="S21" s="42"/>
    </row>
    <row r="22" spans="1:19" s="24" customFormat="1" ht="27.6" x14ac:dyDescent="0.3">
      <c r="B22" s="22"/>
      <c r="C22" s="485" t="s">
        <v>57</v>
      </c>
      <c r="D22" s="475" t="s">
        <v>58</v>
      </c>
      <c r="E22" s="477" t="s">
        <v>29</v>
      </c>
      <c r="F22" s="475" t="s">
        <v>59</v>
      </c>
      <c r="G22" s="492" t="s">
        <v>69</v>
      </c>
      <c r="H22" s="475"/>
      <c r="I22" s="503" t="str">
        <f>_xlfn.CONCAT("Respirator Scenario: APF of ",$I$4)</f>
        <v>Respirator Scenario: APF of 10</v>
      </c>
      <c r="J22" s="503"/>
      <c r="K22" s="91"/>
      <c r="L22" s="14"/>
      <c r="M22" s="485" t="s">
        <v>57</v>
      </c>
      <c r="N22" s="475" t="s">
        <v>61</v>
      </c>
      <c r="O22" s="477" t="s">
        <v>29</v>
      </c>
      <c r="P22" s="479" t="s">
        <v>59</v>
      </c>
      <c r="Q22" s="318" t="s">
        <v>70</v>
      </c>
      <c r="R22" s="320" t="s">
        <v>62</v>
      </c>
      <c r="S22" s="42"/>
    </row>
    <row r="23" spans="1:19" s="24" customFormat="1" ht="36" customHeight="1" thickBot="1" x14ac:dyDescent="0.35">
      <c r="B23" s="22"/>
      <c r="C23" s="508"/>
      <c r="D23" s="476"/>
      <c r="E23" s="478"/>
      <c r="F23" s="476"/>
      <c r="G23" s="134" t="s">
        <v>63</v>
      </c>
      <c r="H23" s="143" t="s">
        <v>64</v>
      </c>
      <c r="I23" s="322" t="s">
        <v>63</v>
      </c>
      <c r="J23" s="326" t="s">
        <v>64</v>
      </c>
      <c r="K23" s="91"/>
      <c r="L23" s="14"/>
      <c r="M23" s="486"/>
      <c r="N23" s="476"/>
      <c r="O23" s="478"/>
      <c r="P23" s="480"/>
      <c r="Q23" s="319" t="s">
        <v>65</v>
      </c>
      <c r="R23" s="165" t="str">
        <f>_xlfn.CONCAT("Worker MOE with Gloves: 
PF of ",$J$4)</f>
        <v>Worker MOE with Gloves: 
PF of 5</v>
      </c>
      <c r="S23" s="42"/>
    </row>
    <row r="24" spans="1:19" s="24" customFormat="1" ht="12.75" customHeight="1" x14ac:dyDescent="0.3">
      <c r="B24" s="489" t="s">
        <v>71</v>
      </c>
      <c r="C24" s="481" t="str">
        <f>'Health Data'!D7</f>
        <v>Reproductive toxicity</v>
      </c>
      <c r="D24" s="498">
        <f>VLOOKUP($B24,'Health Data'!$F$6:$K$8,2,FALSE)</f>
        <v>14.9</v>
      </c>
      <c r="E24" s="272" t="s">
        <v>51</v>
      </c>
      <c r="F24" s="259">
        <f>VLOOKUP($B$30,'Health Data'!$F$6:$I$8,4,FALSE)</f>
        <v>30</v>
      </c>
      <c r="G24" s="62">
        <f>IFERROR(D24/$G$10, "")</f>
        <v>5.4059234882764287</v>
      </c>
      <c r="H24" s="62" t="str">
        <f>IFERROR(D24/$G$11, "")</f>
        <v/>
      </c>
      <c r="I24" s="62">
        <f>IFERROR(G24*$I$4,"")</f>
        <v>54.059234882764287</v>
      </c>
      <c r="J24" s="100" t="str">
        <f>IFERROR(H24*$I$4,"")</f>
        <v/>
      </c>
      <c r="K24" s="25"/>
      <c r="L24" s="489" t="s">
        <v>71</v>
      </c>
      <c r="M24" s="481" t="str">
        <f>'Health Data'!D7</f>
        <v>Reproductive toxicity</v>
      </c>
      <c r="N24" s="483">
        <f>VLOOKUP($L$24,'Health Data'!$F$6:$K$8,3,FALSE)</f>
        <v>2.73</v>
      </c>
      <c r="O24" s="246" t="s">
        <v>51</v>
      </c>
      <c r="P24" s="247">
        <f>VLOOKUP($L$30,'Health Data'!$F$6:$I$8,4,FALSE)</f>
        <v>30</v>
      </c>
      <c r="Q24" s="245">
        <f>IFERROR(N24/$Q$10, "")</f>
        <v>0.46391057854541723</v>
      </c>
      <c r="R24" s="248">
        <f>IFERROR(N24/$Q$12, "")</f>
        <v>2.3195528927270863</v>
      </c>
      <c r="S24" s="42"/>
    </row>
    <row r="25" spans="1:19" s="24" customFormat="1" ht="13.5" customHeight="1" thickBot="1" x14ac:dyDescent="0.35">
      <c r="B25" s="489"/>
      <c r="C25" s="482"/>
      <c r="D25" s="499"/>
      <c r="E25" s="273" t="s">
        <v>54</v>
      </c>
      <c r="F25" s="260">
        <f>VLOOKUP($B$30,'Health Data'!$F$6:$I$8,4,FALSE)</f>
        <v>30</v>
      </c>
      <c r="G25" s="63">
        <f>IFERROR(D24/$G$12, "")</f>
        <v>35.346422807961268</v>
      </c>
      <c r="H25" s="63" t="str">
        <f>IFERROR(D24/$G$13, "")</f>
        <v/>
      </c>
      <c r="I25" s="63">
        <f>IFERROR(G25*$I$4,"")</f>
        <v>353.46422807961267</v>
      </c>
      <c r="J25" s="137" t="str">
        <f>IFERROR(H25*$I$4,"")</f>
        <v/>
      </c>
      <c r="K25" s="25"/>
      <c r="L25" s="489"/>
      <c r="M25" s="482"/>
      <c r="N25" s="484"/>
      <c r="O25" s="249" t="s">
        <v>54</v>
      </c>
      <c r="P25" s="250">
        <f>VLOOKUP($L$30,'Health Data'!$F$6:$I$8,4,FALSE)</f>
        <v>30</v>
      </c>
      <c r="Q25" s="251">
        <f>IFERROR(N24/$Q$11,"")</f>
        <v>2.5148836626409463</v>
      </c>
      <c r="R25" s="137">
        <f>IFERROR(N24/$Q$13,"")</f>
        <v>12.574418313204731</v>
      </c>
      <c r="S25" s="42"/>
    </row>
    <row r="26" spans="1:19" s="14" customFormat="1" x14ac:dyDescent="0.3">
      <c r="B26" s="324"/>
      <c r="C26" s="25"/>
      <c r="D26" s="12"/>
      <c r="E26" s="41"/>
      <c r="F26" s="68"/>
      <c r="G26" s="58"/>
      <c r="H26" s="58"/>
      <c r="L26" s="157"/>
      <c r="M26" s="25"/>
      <c r="N26" s="12"/>
      <c r="O26" s="12"/>
      <c r="P26" s="68"/>
      <c r="Q26" s="12"/>
      <c r="R26" s="12"/>
      <c r="S26" s="58"/>
    </row>
    <row r="27" spans="1:19" s="14" customFormat="1" ht="39.75" customHeight="1" thickBot="1" x14ac:dyDescent="0.35">
      <c r="B27" s="324"/>
      <c r="C27" s="59" t="s">
        <v>73</v>
      </c>
      <c r="D27" s="59"/>
      <c r="E27" s="60"/>
      <c r="F27" s="61"/>
      <c r="G27" s="61"/>
      <c r="H27" s="61"/>
      <c r="I27" s="61"/>
      <c r="J27" s="61"/>
      <c r="K27" s="10"/>
      <c r="M27" s="59" t="s">
        <v>74</v>
      </c>
      <c r="N27" s="59"/>
      <c r="O27" s="59"/>
      <c r="P27" s="61"/>
      <c r="Q27" s="21"/>
      <c r="R27" s="21"/>
    </row>
    <row r="28" spans="1:19" s="14" customFormat="1" ht="28.5" customHeight="1" x14ac:dyDescent="0.3">
      <c r="B28" s="324"/>
      <c r="C28" s="485" t="s">
        <v>57</v>
      </c>
      <c r="D28" s="475" t="s">
        <v>58</v>
      </c>
      <c r="E28" s="477" t="s">
        <v>29</v>
      </c>
      <c r="F28" s="475" t="s">
        <v>59</v>
      </c>
      <c r="G28" s="492" t="s">
        <v>75</v>
      </c>
      <c r="H28" s="475"/>
      <c r="I28" s="503" t="str">
        <f>_xlfn.CONCAT("Respirator Scenario: APF of ",$I$4)</f>
        <v>Respirator Scenario: APF of 10</v>
      </c>
      <c r="J28" s="503"/>
      <c r="K28" s="91"/>
      <c r="M28" s="485" t="s">
        <v>57</v>
      </c>
      <c r="N28" s="475" t="s">
        <v>61</v>
      </c>
      <c r="O28" s="477" t="s">
        <v>29</v>
      </c>
      <c r="P28" s="479" t="s">
        <v>59</v>
      </c>
      <c r="Q28" s="318" t="s">
        <v>75</v>
      </c>
      <c r="R28" s="320" t="s">
        <v>62</v>
      </c>
    </row>
    <row r="29" spans="1:19" s="14" customFormat="1" ht="39" customHeight="1" thickBot="1" x14ac:dyDescent="0.35">
      <c r="B29" s="324"/>
      <c r="C29" s="508"/>
      <c r="D29" s="476"/>
      <c r="E29" s="478"/>
      <c r="F29" s="476"/>
      <c r="G29" s="134" t="s">
        <v>63</v>
      </c>
      <c r="H29" s="134" t="s">
        <v>64</v>
      </c>
      <c r="I29" s="322" t="s">
        <v>63</v>
      </c>
      <c r="J29" s="326" t="s">
        <v>64</v>
      </c>
      <c r="K29" s="91"/>
      <c r="L29" s="22"/>
      <c r="M29" s="486"/>
      <c r="N29" s="476"/>
      <c r="O29" s="478"/>
      <c r="P29" s="480"/>
      <c r="Q29" s="319" t="s">
        <v>65</v>
      </c>
      <c r="R29" s="165" t="str">
        <f>_xlfn.CONCAT("Worker MOE with Gloves: 
PF of ",$J$4)</f>
        <v>Worker MOE with Gloves: 
PF of 5</v>
      </c>
    </row>
    <row r="30" spans="1:19" s="14" customFormat="1" ht="19.5" customHeight="1" x14ac:dyDescent="0.3">
      <c r="B30" s="495" t="s">
        <v>71</v>
      </c>
      <c r="C30" s="481" t="str">
        <f>'Health Data'!D7</f>
        <v>Reproductive toxicity</v>
      </c>
      <c r="D30" s="498">
        <f>VLOOKUP($B30,'Health Data'!$F$6:$K$8,2,FALSE)</f>
        <v>14.9</v>
      </c>
      <c r="E30" s="272" t="s">
        <v>51</v>
      </c>
      <c r="F30" s="259">
        <f>VLOOKUP($B$30,'Health Data'!$F$6:$I$8,4,FALSE)</f>
        <v>30</v>
      </c>
      <c r="G30" s="62">
        <f>IFERROR(D30/$H$10, "")</f>
        <v>5.7879420814479641</v>
      </c>
      <c r="H30" s="62" t="str">
        <f>IFERROR(D30/$H$11, "")</f>
        <v/>
      </c>
      <c r="I30" s="62">
        <f>IFERROR(G30*$I$4,"")</f>
        <v>57.879420814479644</v>
      </c>
      <c r="J30" s="100" t="str">
        <f>IFERROR(H30*$I$4,"")</f>
        <v/>
      </c>
      <c r="K30" s="58"/>
      <c r="L30" s="489" t="s">
        <v>71</v>
      </c>
      <c r="M30" s="481" t="str">
        <f>'Health Data'!D7</f>
        <v>Reproductive toxicity</v>
      </c>
      <c r="N30" s="483">
        <f>VLOOKUP($L$30,'Health Data'!$F$6:$K$8,3,FALSE)</f>
        <v>2.73</v>
      </c>
      <c r="O30" s="246" t="s">
        <v>51</v>
      </c>
      <c r="P30" s="247">
        <f>VLOOKUP($L$30,'Health Data'!$F$6:$I$8,4,FALSE)</f>
        <v>30</v>
      </c>
      <c r="Q30" s="245">
        <f>IFERROR(N30/$R$10, "")</f>
        <v>0.49669359276262676</v>
      </c>
      <c r="R30" s="248">
        <f>IFERROR(N30/$R$12, "")</f>
        <v>2.4834679638131338</v>
      </c>
    </row>
    <row r="31" spans="1:19" s="24" customFormat="1" ht="22.5" customHeight="1" thickBot="1" x14ac:dyDescent="0.35">
      <c r="A31" s="14"/>
      <c r="B31" s="495"/>
      <c r="C31" s="482"/>
      <c r="D31" s="499"/>
      <c r="E31" s="273" t="s">
        <v>54</v>
      </c>
      <c r="F31" s="260">
        <f>VLOOKUP($B$30,'Health Data'!$F$6:$I$8,4,FALSE)</f>
        <v>30</v>
      </c>
      <c r="G31" s="63">
        <f>IFERROR(D30/$H$12, "")</f>
        <v>37.844236686390531</v>
      </c>
      <c r="H31" s="63" t="str">
        <f>IFERROR(D30/$H$13, "")</f>
        <v/>
      </c>
      <c r="I31" s="63">
        <f>IFERROR(G31*$I$4,"")</f>
        <v>378.44236686390531</v>
      </c>
      <c r="J31" s="137" t="str">
        <f>IFERROR(H31*$I$4,"")</f>
        <v/>
      </c>
      <c r="K31" s="58"/>
      <c r="L31" s="489"/>
      <c r="M31" s="482"/>
      <c r="N31" s="484"/>
      <c r="O31" s="249" t="s">
        <v>54</v>
      </c>
      <c r="P31" s="250">
        <f>VLOOKUP($L$30,'Health Data'!$F$6:$I$8,4,FALSE)</f>
        <v>30</v>
      </c>
      <c r="Q31" s="251">
        <f>IFERROR(N30/$R$11,"")</f>
        <v>2.6926021081342397</v>
      </c>
      <c r="R31" s="137">
        <f>IFERROR(N30/$R$13,"")</f>
        <v>13.463010540671199</v>
      </c>
    </row>
    <row r="32" spans="1:19" s="24" customFormat="1" ht="15" thickBot="1" x14ac:dyDescent="0.35">
      <c r="B32" s="22"/>
      <c r="C32" s="67"/>
      <c r="D32" s="41"/>
      <c r="E32" s="58"/>
      <c r="F32" s="12"/>
      <c r="G32" s="58"/>
      <c r="H32" s="42"/>
      <c r="L32" s="14"/>
      <c r="M32" s="67"/>
      <c r="N32" s="67"/>
      <c r="O32" s="67"/>
      <c r="P32" s="58"/>
      <c r="Q32" s="41"/>
      <c r="R32" s="41"/>
      <c r="S32" s="42"/>
    </row>
    <row r="33" spans="1:19" s="24" customFormat="1" ht="37.5" customHeight="1" thickBot="1" x14ac:dyDescent="0.35">
      <c r="B33" s="11"/>
      <c r="C33" s="21" t="s">
        <v>76</v>
      </c>
      <c r="D33" s="14"/>
      <c r="E33" s="10"/>
      <c r="F33" s="12"/>
      <c r="G33" s="501" t="s">
        <v>77</v>
      </c>
      <c r="H33" s="502"/>
      <c r="I33" s="503" t="str">
        <f>_xlfn.CONCAT("Respirator Scenario: APF of ",$I$4)</f>
        <v>Respirator Scenario: APF of 10</v>
      </c>
      <c r="J33" s="504"/>
      <c r="K33" s="91"/>
      <c r="L33" s="14"/>
      <c r="M33" s="21" t="s">
        <v>76</v>
      </c>
      <c r="N33" s="21"/>
      <c r="P33" s="10"/>
      <c r="Q33" s="318" t="s">
        <v>77</v>
      </c>
      <c r="R33" s="320" t="s">
        <v>62</v>
      </c>
      <c r="S33" s="10"/>
    </row>
    <row r="34" spans="1:19" s="24" customFormat="1" ht="28.2" thickBot="1" x14ac:dyDescent="0.35">
      <c r="B34" s="11"/>
      <c r="C34" s="65" t="s">
        <v>78</v>
      </c>
      <c r="D34" s="84" t="s">
        <v>79</v>
      </c>
      <c r="E34" s="84" t="s">
        <v>29</v>
      </c>
      <c r="F34" s="85" t="s">
        <v>80</v>
      </c>
      <c r="G34" s="65" t="s">
        <v>81</v>
      </c>
      <c r="H34" s="66" t="s">
        <v>82</v>
      </c>
      <c r="I34" s="66" t="s">
        <v>81</v>
      </c>
      <c r="J34" s="162" t="s">
        <v>82</v>
      </c>
      <c r="K34" s="91"/>
      <c r="L34" s="14"/>
      <c r="M34" s="65" t="s">
        <v>78</v>
      </c>
      <c r="N34" s="236" t="s">
        <v>83</v>
      </c>
      <c r="O34" s="237" t="s">
        <v>29</v>
      </c>
      <c r="P34" s="85" t="s">
        <v>80</v>
      </c>
      <c r="Q34" s="95" t="s">
        <v>52</v>
      </c>
      <c r="R34" s="166" t="str">
        <f>_xlfn.CONCAT("Worker with Gloves: 
PF of ",$J$4)</f>
        <v>Worker with Gloves: 
PF of 5</v>
      </c>
    </row>
    <row r="35" spans="1:19" s="14" customFormat="1" ht="23.25" customHeight="1" x14ac:dyDescent="0.3">
      <c r="A35" s="24"/>
      <c r="B35" s="489" t="s">
        <v>84</v>
      </c>
      <c r="C35" s="496" t="str">
        <f>'Health Data'!D8</f>
        <v>Renal tubule adenomas and    carcinomas in male Fischer 344 rats (S)</v>
      </c>
      <c r="D35" s="493">
        <f>VLOOKUP($B35,'Health Data'!$F$6:$K$8,5,FALSE)</f>
        <v>4.5100000000000001E-3</v>
      </c>
      <c r="E35" s="266" t="s">
        <v>51</v>
      </c>
      <c r="F35" s="303">
        <f>VLOOKUP($B$35,'Health Data'!$F$6:$I$8,4,FALSE)</f>
        <v>1E-4</v>
      </c>
      <c r="G35" s="99">
        <f>IFERROR(I10*D35, "")</f>
        <v>5.9539340850495448E-3</v>
      </c>
      <c r="H35" s="99" t="str">
        <f>IF(I11*D35=0, "",I11*D35)</f>
        <v/>
      </c>
      <c r="I35" s="74">
        <f>IFERROR(G35/$I$4,"")</f>
        <v>5.9539340850495452E-4</v>
      </c>
      <c r="J35" s="261" t="str">
        <f>IFERROR(H35/$I$4,"")</f>
        <v/>
      </c>
      <c r="K35" s="25"/>
      <c r="L35" s="505" t="s">
        <v>84</v>
      </c>
      <c r="M35" s="500" t="str">
        <f>'Health Data'!D8</f>
        <v>Renal tubule adenomas and    carcinomas in male Fischer 344 rats (S)</v>
      </c>
      <c r="N35" s="490">
        <f>VLOOKUP($L$35,'Health Data'!$F$6:$K$8,6,FALSE)</f>
        <v>2.4500000000000001E-2</v>
      </c>
      <c r="O35" s="252" t="s">
        <v>51</v>
      </c>
      <c r="P35" s="487">
        <f>VLOOKUP($L$35,'Health Data'!$F$6:$I$8,4,FALSE)</f>
        <v>1E-4</v>
      </c>
      <c r="Q35" s="253">
        <f>IFERROR($S$10*N35, "")</f>
        <v>6.905665887337549E-2</v>
      </c>
      <c r="R35" s="254">
        <f>IFERROR($S$12*N35, "")</f>
        <v>1.3811331774675098E-2</v>
      </c>
    </row>
    <row r="36" spans="1:19" s="14" customFormat="1" ht="24" customHeight="1" thickBot="1" x14ac:dyDescent="0.35">
      <c r="B36" s="489"/>
      <c r="C36" s="497"/>
      <c r="D36" s="494"/>
      <c r="E36" s="267" t="s">
        <v>54</v>
      </c>
      <c r="F36" s="304">
        <f>VLOOKUP($B$35,'Health Data'!$F$6:$I$8,4,FALSE)</f>
        <v>1E-4</v>
      </c>
      <c r="G36" s="262">
        <f>IFERROR(I12*D35, "")</f>
        <v>7.0571630478675487E-4</v>
      </c>
      <c r="H36" s="263" t="str">
        <f>IF(I13*D35=0, "",I13*D35)</f>
        <v/>
      </c>
      <c r="I36" s="264">
        <f>IFERROR(G36/$I$4,"")</f>
        <v>7.0571630478675492E-5</v>
      </c>
      <c r="J36" s="265" t="str">
        <f>IFERROR(H36/$I$4,"")</f>
        <v/>
      </c>
      <c r="K36" s="25"/>
      <c r="L36" s="505"/>
      <c r="M36" s="497"/>
      <c r="N36" s="491"/>
      <c r="O36" s="172" t="s">
        <v>54</v>
      </c>
      <c r="P36" s="488"/>
      <c r="Q36" s="255">
        <f>IFERROR($S$11*N35, "")</f>
        <v>9.8724204068976126E-3</v>
      </c>
      <c r="R36" s="256">
        <f>IFERROR($S$13*N35, "")</f>
        <v>1.9744840813795228E-3</v>
      </c>
      <c r="S36" s="12"/>
    </row>
    <row r="37" spans="1:19" s="14" customFormat="1" x14ac:dyDescent="0.3">
      <c r="B37" s="324"/>
      <c r="C37" s="19"/>
      <c r="D37" s="107"/>
      <c r="E37" s="107"/>
      <c r="F37" s="146"/>
      <c r="G37" s="145"/>
      <c r="H37" s="25"/>
      <c r="I37" s="145"/>
      <c r="J37" s="25"/>
      <c r="K37" s="25"/>
      <c r="M37" s="19"/>
      <c r="N37" s="107"/>
      <c r="O37" s="106"/>
      <c r="P37" s="146"/>
      <c r="Q37" s="11"/>
      <c r="R37" s="11"/>
      <c r="S37" s="12"/>
    </row>
    <row r="38" spans="1:19" s="24" customFormat="1" x14ac:dyDescent="0.3">
      <c r="B38" s="11"/>
      <c r="C38" s="12"/>
      <c r="D38" s="11"/>
      <c r="E38" s="12"/>
      <c r="F38" s="12"/>
      <c r="G38" s="12"/>
      <c r="H38" s="12"/>
      <c r="I38" s="12"/>
      <c r="J38" s="12"/>
      <c r="K38" s="12"/>
      <c r="L38" s="14"/>
      <c r="M38" s="12"/>
      <c r="N38" s="12"/>
      <c r="O38" s="12"/>
      <c r="P38" s="12"/>
      <c r="Q38" s="14"/>
    </row>
    <row r="39" spans="1:19" s="14" customFormat="1" x14ac:dyDescent="0.3">
      <c r="A39" s="24"/>
      <c r="B39" s="11"/>
      <c r="C39" s="12"/>
      <c r="D39" s="11"/>
      <c r="E39" s="12"/>
      <c r="F39" s="12"/>
      <c r="G39" s="12"/>
      <c r="H39" s="12"/>
      <c r="I39" s="12"/>
      <c r="J39" s="12"/>
      <c r="K39" s="12"/>
      <c r="M39" s="12"/>
      <c r="N39" s="12"/>
      <c r="O39" s="12"/>
      <c r="P39" s="12"/>
      <c r="Q39" s="12"/>
    </row>
    <row r="40" spans="1:19" s="14" customFormat="1" x14ac:dyDescent="0.3">
      <c r="B40" s="11"/>
      <c r="C40" s="12"/>
      <c r="D40" s="11"/>
      <c r="E40" s="12"/>
      <c r="F40" s="12"/>
      <c r="G40" s="12"/>
      <c r="H40" s="12"/>
      <c r="I40" s="12"/>
      <c r="J40" s="12"/>
      <c r="K40" s="12"/>
      <c r="L40" s="12"/>
      <c r="M40" s="12"/>
      <c r="N40" s="12"/>
      <c r="O40" s="12"/>
      <c r="P40" s="12"/>
      <c r="Q40" s="12"/>
    </row>
    <row r="41" spans="1:19" x14ac:dyDescent="0.3">
      <c r="A41" s="14"/>
    </row>
    <row r="47" spans="1:19" x14ac:dyDescent="0.3">
      <c r="H47" s="14"/>
      <c r="I47" s="14"/>
      <c r="J47" s="14"/>
      <c r="K47" s="14"/>
    </row>
    <row r="52" spans="1:17" x14ac:dyDescent="0.3">
      <c r="M52" s="14"/>
      <c r="N52" s="14"/>
      <c r="O52" s="14"/>
      <c r="P52" s="14"/>
    </row>
    <row r="53" spans="1:17" x14ac:dyDescent="0.3">
      <c r="C53" s="14"/>
      <c r="D53" s="20"/>
      <c r="E53" s="14"/>
      <c r="F53" s="14"/>
      <c r="G53" s="14"/>
    </row>
    <row r="55" spans="1:17" x14ac:dyDescent="0.3">
      <c r="B55" s="20"/>
    </row>
    <row r="56" spans="1:17" x14ac:dyDescent="0.3">
      <c r="B56" s="39"/>
      <c r="Q56" s="14"/>
    </row>
    <row r="57" spans="1:17" x14ac:dyDescent="0.3">
      <c r="B57" s="39"/>
      <c r="H57" s="28"/>
      <c r="I57" s="28"/>
      <c r="J57" s="28"/>
      <c r="K57" s="28"/>
      <c r="L57" s="14"/>
    </row>
    <row r="58" spans="1:17" s="14" customFormat="1" x14ac:dyDescent="0.3">
      <c r="A58" s="12"/>
      <c r="B58" s="39"/>
      <c r="C58" s="12"/>
      <c r="D58" s="11"/>
      <c r="E58" s="12"/>
      <c r="F58" s="12"/>
      <c r="G58" s="12"/>
      <c r="H58" s="28"/>
      <c r="I58" s="28"/>
      <c r="J58" s="28"/>
      <c r="K58" s="28"/>
      <c r="L58" s="12"/>
      <c r="M58" s="12"/>
      <c r="N58" s="12"/>
      <c r="O58" s="12"/>
      <c r="P58" s="12"/>
      <c r="Q58" s="12"/>
    </row>
    <row r="59" spans="1:17" x14ac:dyDescent="0.3">
      <c r="A59" s="14"/>
      <c r="B59" s="39"/>
      <c r="H59" s="27"/>
      <c r="I59" s="27"/>
      <c r="J59" s="27"/>
      <c r="K59" s="27"/>
    </row>
    <row r="60" spans="1:17" x14ac:dyDescent="0.3">
      <c r="B60" s="39"/>
      <c r="H60" s="27"/>
      <c r="I60" s="27"/>
      <c r="J60" s="27"/>
      <c r="K60" s="27"/>
    </row>
    <row r="61" spans="1:17" x14ac:dyDescent="0.3">
      <c r="B61" s="39"/>
    </row>
    <row r="62" spans="1:17" x14ac:dyDescent="0.3">
      <c r="B62" s="39"/>
      <c r="C62" s="38"/>
      <c r="D62" s="39"/>
      <c r="E62" s="38"/>
      <c r="M62" s="27"/>
      <c r="N62" s="27"/>
      <c r="O62" s="27"/>
      <c r="P62" s="27"/>
    </row>
    <row r="63" spans="1:17" x14ac:dyDescent="0.3">
      <c r="B63" s="39"/>
      <c r="E63" s="40"/>
      <c r="F63" s="27"/>
      <c r="G63" s="28"/>
      <c r="M63" s="27"/>
      <c r="N63" s="27"/>
      <c r="O63" s="27"/>
      <c r="P63" s="27"/>
    </row>
    <row r="65" spans="3:15" x14ac:dyDescent="0.3">
      <c r="O65" s="11"/>
    </row>
    <row r="66" spans="3:15" ht="28.8" x14ac:dyDescent="0.3">
      <c r="C66" s="90" t="s">
        <v>85</v>
      </c>
      <c r="D66" s="90" t="s">
        <v>86</v>
      </c>
      <c r="E66" s="142" t="str">
        <f>_xlfn.CONCAT("Cancer Risk with APF of ",$I$4)</f>
        <v>Cancer Risk with APF of 10</v>
      </c>
      <c r="M66" s="90" t="s">
        <v>87</v>
      </c>
      <c r="N66" s="90" t="s">
        <v>88</v>
      </c>
      <c r="O66" s="11"/>
    </row>
    <row r="67" spans="3:15" x14ac:dyDescent="0.3">
      <c r="C67" s="93" t="s">
        <v>89</v>
      </c>
      <c r="D67" s="88" t="str">
        <f>H36</f>
        <v/>
      </c>
      <c r="E67" s="88" t="str">
        <f>J36</f>
        <v/>
      </c>
      <c r="M67" s="93" t="str">
        <f>Q34</f>
        <v>Worker, No Gloves</v>
      </c>
      <c r="N67" s="88">
        <f>Q35</f>
        <v>6.905665887337549E-2</v>
      </c>
      <c r="O67" s="11"/>
    </row>
    <row r="68" spans="3:15" x14ac:dyDescent="0.3">
      <c r="C68" s="93" t="s">
        <v>90</v>
      </c>
      <c r="D68" s="88" t="str">
        <f>H35</f>
        <v/>
      </c>
      <c r="E68" s="88" t="str">
        <f>J35</f>
        <v/>
      </c>
      <c r="M68" s="93" t="str">
        <f>R34</f>
        <v>Worker with Gloves: 
PF of 5</v>
      </c>
      <c r="N68" s="138">
        <f>R35</f>
        <v>1.3811331774675098E-2</v>
      </c>
      <c r="O68" s="71"/>
    </row>
    <row r="69" spans="3:15" x14ac:dyDescent="0.3">
      <c r="C69" s="93" t="s">
        <v>91</v>
      </c>
      <c r="D69" s="88">
        <f>G36</f>
        <v>7.0571630478675487E-4</v>
      </c>
      <c r="E69" s="88">
        <f>I36</f>
        <v>7.0571630478675492E-5</v>
      </c>
      <c r="O69" s="72"/>
    </row>
    <row r="70" spans="3:15" x14ac:dyDescent="0.3">
      <c r="C70" s="93" t="s">
        <v>92</v>
      </c>
      <c r="D70" s="88">
        <f>G35</f>
        <v>5.9539340850495448E-3</v>
      </c>
      <c r="E70" s="88">
        <f>I35</f>
        <v>5.9539340850495452E-4</v>
      </c>
    </row>
  </sheetData>
  <sheetProtection algorithmName="SHA-512" hashValue="8Zsd4sk+Qnb6bbA+B0KBxfqRzO2cSYVaus91hu0FMlr7ZJP01HeIp/SPBsUYBlHssk67aaJKkeBqBEu8xjOc7Q==" saltValue="joICY2h4CKc4DPW2Dein2w==" spinCount="100000" sheet="1" objects="1" scenarios="1" autoFilter="0"/>
  <dataConsolidate link="1"/>
  <mergeCells count="76">
    <mergeCell ref="F2:G2"/>
    <mergeCell ref="F3:G3"/>
    <mergeCell ref="F4:G4"/>
    <mergeCell ref="I2:J2"/>
    <mergeCell ref="D4:E4"/>
    <mergeCell ref="D3:E3"/>
    <mergeCell ref="D2:E2"/>
    <mergeCell ref="M3:N3"/>
    <mergeCell ref="M4:N4"/>
    <mergeCell ref="N8:N9"/>
    <mergeCell ref="M12:M13"/>
    <mergeCell ref="M10:M11"/>
    <mergeCell ref="M8:M9"/>
    <mergeCell ref="F5:G5"/>
    <mergeCell ref="C16:C17"/>
    <mergeCell ref="I16:J16"/>
    <mergeCell ref="M28:M29"/>
    <mergeCell ref="D16:D17"/>
    <mergeCell ref="E16:E17"/>
    <mergeCell ref="G16:H16"/>
    <mergeCell ref="F16:F17"/>
    <mergeCell ref="L18:L19"/>
    <mergeCell ref="D24:D25"/>
    <mergeCell ref="C22:C23"/>
    <mergeCell ref="D22:D23"/>
    <mergeCell ref="E22:E23"/>
    <mergeCell ref="G22:H22"/>
    <mergeCell ref="I22:J22"/>
    <mergeCell ref="L24:L25"/>
    <mergeCell ref="I33:J33"/>
    <mergeCell ref="L30:L31"/>
    <mergeCell ref="B35:B36"/>
    <mergeCell ref="L35:L36"/>
    <mergeCell ref="M2:N2"/>
    <mergeCell ref="I28:J28"/>
    <mergeCell ref="E28:E29"/>
    <mergeCell ref="B18:B19"/>
    <mergeCell ref="C18:C19"/>
    <mergeCell ref="D28:D29"/>
    <mergeCell ref="C28:C29"/>
    <mergeCell ref="D18:D19"/>
    <mergeCell ref="C8:C9"/>
    <mergeCell ref="D8:D9"/>
    <mergeCell ref="D10:D11"/>
    <mergeCell ref="D12:D13"/>
    <mergeCell ref="B24:B25"/>
    <mergeCell ref="C24:C25"/>
    <mergeCell ref="N35:N36"/>
    <mergeCell ref="N24:N25"/>
    <mergeCell ref="N22:N23"/>
    <mergeCell ref="G28:H28"/>
    <mergeCell ref="F28:F29"/>
    <mergeCell ref="M24:M25"/>
    <mergeCell ref="D35:D36"/>
    <mergeCell ref="M30:M31"/>
    <mergeCell ref="B30:B31"/>
    <mergeCell ref="C30:C31"/>
    <mergeCell ref="C35:C36"/>
    <mergeCell ref="D30:D31"/>
    <mergeCell ref="M35:M36"/>
    <mergeCell ref="G33:H33"/>
    <mergeCell ref="P35:P36"/>
    <mergeCell ref="O28:O29"/>
    <mergeCell ref="N30:N31"/>
    <mergeCell ref="P28:P29"/>
    <mergeCell ref="N28:N29"/>
    <mergeCell ref="F22:F23"/>
    <mergeCell ref="O22:O23"/>
    <mergeCell ref="P22:P23"/>
    <mergeCell ref="O16:O17"/>
    <mergeCell ref="P16:P17"/>
    <mergeCell ref="M18:M19"/>
    <mergeCell ref="N18:N19"/>
    <mergeCell ref="M16:M17"/>
    <mergeCell ref="N16:N17"/>
    <mergeCell ref="M22:M23"/>
  </mergeCells>
  <conditionalFormatting sqref="E10:I13 O10:S13 G18:J19 Q18:R19 G24:J25 Q24:R25 G30:J31 Q30:R31 G35:J36 Q35:R36">
    <cfRule type="cellIs" dxfId="94" priority="1" operator="equal">
      <formula>0</formula>
    </cfRule>
    <cfRule type="containsBlanks" dxfId="93" priority="2" stopIfTrue="1">
      <formula>LEN(TRIM(E10))=0</formula>
    </cfRule>
    <cfRule type="cellIs" dxfId="92" priority="3" operator="greaterThanOrEqual">
      <formula>10000</formula>
    </cfRule>
    <cfRule type="cellIs" dxfId="91" priority="4" operator="between">
      <formula>10</formula>
      <formula>9999.999</formula>
    </cfRule>
    <cfRule type="cellIs" dxfId="90" priority="5" operator="between">
      <formula>1</formula>
      <formula>9.999</formula>
    </cfRule>
    <cfRule type="cellIs" dxfId="89" priority="6" operator="between">
      <formula>0.1</formula>
      <formula>0.999</formula>
    </cfRule>
    <cfRule type="cellIs" dxfId="88" priority="7" operator="lessThan">
      <formula>0.1</formula>
    </cfRule>
  </conditionalFormatting>
  <conditionalFormatting sqref="G18:J19">
    <cfRule type="cellIs" dxfId="87" priority="8" operator="greaterThanOrEqual">
      <formula>$F$18</formula>
    </cfRule>
    <cfRule type="cellIs" dxfId="86" priority="9" operator="lessThan">
      <formula>$F$18</formula>
    </cfRule>
  </conditionalFormatting>
  <conditionalFormatting sqref="G24:J25">
    <cfRule type="cellIs" dxfId="85" priority="24" operator="greaterThanOrEqual">
      <formula>$F$24</formula>
    </cfRule>
    <cfRule type="cellIs" dxfId="84" priority="25" operator="lessThan">
      <formula>$F$24</formula>
    </cfRule>
  </conditionalFormatting>
  <conditionalFormatting sqref="G30:J31">
    <cfRule type="cellIs" dxfId="83" priority="26" operator="greaterThanOrEqual">
      <formula>$F$30</formula>
    </cfRule>
    <cfRule type="cellIs" dxfId="82" priority="27" operator="lessThan">
      <formula>$F$30</formula>
    </cfRule>
  </conditionalFormatting>
  <conditionalFormatting sqref="G35:J36">
    <cfRule type="cellIs" dxfId="81" priority="28" operator="lessThanOrEqual">
      <formula>$F$35</formula>
    </cfRule>
    <cfRule type="cellIs" dxfId="80" priority="29" operator="greaterThan">
      <formula>$F$35</formula>
    </cfRule>
  </conditionalFormatting>
  <conditionalFormatting sqref="Q18:R19">
    <cfRule type="cellIs" dxfId="79" priority="30" operator="greaterThanOrEqual">
      <formula>$P18</formula>
    </cfRule>
    <cfRule type="cellIs" dxfId="78" priority="31" operator="lessThan">
      <formula>$P18</formula>
    </cfRule>
  </conditionalFormatting>
  <conditionalFormatting sqref="Q24:R25">
    <cfRule type="cellIs" dxfId="77" priority="32" operator="greaterThanOrEqual">
      <formula>$P$24</formula>
    </cfRule>
    <cfRule type="cellIs" dxfId="76" priority="37" operator="lessThan">
      <formula>$P$24</formula>
    </cfRule>
  </conditionalFormatting>
  <conditionalFormatting sqref="Q30:R31">
    <cfRule type="cellIs" dxfId="75" priority="41" operator="greaterThanOrEqual">
      <formula>$P$30</formula>
    </cfRule>
    <cfRule type="cellIs" dxfId="74" priority="60" operator="lessThan">
      <formula>$P$30</formula>
    </cfRule>
  </conditionalFormatting>
  <conditionalFormatting sqref="Q35:R36">
    <cfRule type="cellIs" dxfId="73" priority="64" operator="lessThanOrEqual">
      <formula>$P$35</formula>
    </cfRule>
    <cfRule type="cellIs" dxfId="72" priority="274" operator="greaterThan">
      <formula>$P$35</formula>
    </cfRule>
  </conditionalFormatting>
  <dataValidations count="1">
    <dataValidation allowBlank="1" showErrorMessage="1" sqref="M8 O8:O9 C8 C12:C13 F8:F9" xr:uid="{00000000-0002-0000-0200-000005000000}"/>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E5526D17-97EC-4AA5-A666-8D2A0F9CF0D6}">
          <x14:formula1>
            <xm:f>'List Values'!$H$2:$H$5</xm:f>
          </x14:formula1>
          <xm:sqref>J4</xm:sqref>
        </x14:dataValidation>
        <x14:dataValidation type="list" allowBlank="1" showInputMessage="1" showErrorMessage="1" xr:uid="{B0688B23-6125-49FA-9B9F-BE3A00B4E2DD}">
          <x14:formula1>
            <xm:f>'List Values'!$E$17:$E$21</xm:f>
          </x14:formula1>
          <xm:sqref>I4</xm:sqref>
        </x14:dataValidation>
        <x14:dataValidation type="list" allowBlank="1" showInputMessage="1" showErrorMessage="1" xr:uid="{98A8A21A-DA4D-40DE-8C2C-D67C61F61F44}">
          <x14:formula1>
            <xm:f>'List Values'!$B$19:$B$20</xm:f>
          </x14:formula1>
          <xm:sqref>D4:E4</xm:sqref>
        </x14:dataValidation>
        <x14:dataValidation type="list" allowBlank="1" showInputMessage="1" showErrorMessage="1" xr:uid="{1C5E306D-C824-4929-9AEE-EA5B828A6635}">
          <x14:formula1>
            <xm:f>'List Values'!$H$10:$H$11</xm:f>
          </x14:formula1>
          <xm:sqref>M4:N4</xm:sqref>
        </x14:dataValidation>
        <x14:dataValidation type="list" allowBlank="1" showInputMessage="1" showErrorMessage="1" xr:uid="{7A257FB3-03C7-4DEF-9441-F0399894DF14}">
          <x14:formula1>
            <xm:f>'List Values'!$B$2:$B$15</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D8A6-1677-465E-88B2-1343E7284108}">
  <sheetPr>
    <tabColor rgb="FF92D050"/>
  </sheetPr>
  <dimension ref="A1:AA62"/>
  <sheetViews>
    <sheetView workbookViewId="0">
      <selection activeCell="F9" sqref="F9"/>
    </sheetView>
  </sheetViews>
  <sheetFormatPr defaultColWidth="8.6640625" defaultRowHeight="13.8" x14ac:dyDescent="0.3"/>
  <cols>
    <col min="1" max="1" width="2.44140625" style="106" customWidth="1"/>
    <col min="2" max="2" width="4.6640625" style="107" hidden="1" customWidth="1"/>
    <col min="3" max="3" width="27.44140625" style="70" customWidth="1"/>
    <col min="4" max="4" width="13" style="108" customWidth="1"/>
    <col min="5" max="5" width="10.6640625" style="70" customWidth="1"/>
    <col min="6" max="6" width="18.5546875" style="70" customWidth="1"/>
    <col min="7" max="7" width="2.5546875" style="106" customWidth="1"/>
    <col min="8" max="8" width="21.5546875" style="106" customWidth="1"/>
    <col min="9" max="9" width="18.5546875" style="106" customWidth="1"/>
    <col min="10" max="10" width="20" style="106" customWidth="1"/>
    <col min="11" max="11" width="17.6640625" style="106" customWidth="1"/>
    <col min="12" max="12" width="18.88671875" style="106" customWidth="1"/>
    <col min="13" max="13" width="14" style="106" customWidth="1"/>
    <col min="14" max="14" width="16.33203125" style="106" customWidth="1"/>
    <col min="15" max="16" width="14" style="106" customWidth="1"/>
    <col min="17" max="17" width="2.5546875" style="106" customWidth="1"/>
    <col min="18" max="18" width="23.44140625" style="106" customWidth="1"/>
    <col min="19" max="19" width="25.33203125" style="106" customWidth="1"/>
    <col min="20" max="20" width="18.6640625" style="106" customWidth="1"/>
    <col min="21" max="22" width="12.44140625" style="106" customWidth="1"/>
    <col min="23" max="23" width="14" style="106" customWidth="1"/>
    <col min="24" max="24" width="13.6640625" style="106" customWidth="1"/>
    <col min="25" max="16384" width="8.6640625" style="106"/>
  </cols>
  <sheetData>
    <row r="1" spans="1:24" ht="14.4" thickBot="1" x14ac:dyDescent="0.35"/>
    <row r="2" spans="1:24" s="24" customFormat="1" ht="25.5" customHeight="1" thickBot="1" x14ac:dyDescent="0.35">
      <c r="B2" s="26"/>
      <c r="C2" s="67"/>
      <c r="D2" s="67"/>
      <c r="E2" s="67"/>
      <c r="F2" s="67"/>
      <c r="H2" s="177" t="s">
        <v>158</v>
      </c>
      <c r="J2" s="177" t="s">
        <v>159</v>
      </c>
      <c r="K2" s="179" t="s">
        <v>13</v>
      </c>
      <c r="L2" s="179" t="s">
        <v>14</v>
      </c>
      <c r="R2" s="177" t="s">
        <v>160</v>
      </c>
    </row>
    <row r="3" spans="1:24" s="24" customFormat="1" ht="34.5" customHeight="1" thickBot="1" x14ac:dyDescent="0.35">
      <c r="B3" s="26"/>
      <c r="C3" s="67"/>
      <c r="D3" s="67"/>
      <c r="E3" s="67"/>
      <c r="F3" s="67"/>
      <c r="H3" s="176" t="s">
        <v>161</v>
      </c>
      <c r="J3" s="228" t="s">
        <v>17</v>
      </c>
      <c r="K3" s="174" t="s">
        <v>18</v>
      </c>
      <c r="L3" s="174" t="s">
        <v>19</v>
      </c>
      <c r="R3" s="163" t="s">
        <v>162</v>
      </c>
    </row>
    <row r="4" spans="1:24" s="24" customFormat="1" ht="28.2" thickBot="1" x14ac:dyDescent="0.35">
      <c r="B4" s="26"/>
      <c r="C4" s="67"/>
      <c r="D4" s="67"/>
      <c r="E4" s="67"/>
      <c r="F4" s="67"/>
      <c r="H4" s="178" t="s">
        <v>50</v>
      </c>
      <c r="J4" s="229" t="s">
        <v>23</v>
      </c>
      <c r="K4" s="175" t="s">
        <v>24</v>
      </c>
      <c r="L4" s="175" t="str">
        <f>VLOOKUP($J$4,'Inhalation Exposure'!C4:F60,4,FALSE)</f>
        <v>8-hr shift; 1 site</v>
      </c>
      <c r="R4" s="164" t="s">
        <v>25</v>
      </c>
    </row>
    <row r="5" spans="1:24" s="24" customFormat="1" ht="23.25" customHeight="1" x14ac:dyDescent="0.3">
      <c r="A5" s="109"/>
      <c r="B5" s="26"/>
      <c r="C5" s="67"/>
      <c r="D5" s="67"/>
      <c r="E5" s="67"/>
      <c r="F5" s="67"/>
      <c r="J5" s="67"/>
      <c r="K5" s="67"/>
      <c r="L5" s="110"/>
      <c r="M5" s="110"/>
      <c r="R5" s="70"/>
      <c r="S5" s="67"/>
      <c r="T5" s="111"/>
    </row>
    <row r="6" spans="1:24" s="24" customFormat="1" x14ac:dyDescent="0.3">
      <c r="B6" s="26"/>
      <c r="C6" s="67"/>
      <c r="D6" s="67"/>
      <c r="E6" s="67"/>
      <c r="F6" s="67"/>
      <c r="H6" s="111" t="s">
        <v>26</v>
      </c>
      <c r="I6" s="26"/>
      <c r="J6" s="67"/>
      <c r="K6" s="67"/>
      <c r="L6" s="67"/>
      <c r="M6" s="67"/>
      <c r="R6" s="111" t="s">
        <v>16</v>
      </c>
      <c r="S6" s="106"/>
      <c r="T6" s="106"/>
      <c r="U6" s="70"/>
      <c r="V6" s="67"/>
    </row>
    <row r="7" spans="1:24" ht="14.4" thickBot="1" x14ac:dyDescent="0.35">
      <c r="H7" s="112" t="s">
        <v>27</v>
      </c>
      <c r="I7" s="107"/>
      <c r="L7" s="67"/>
      <c r="M7" s="67"/>
      <c r="R7" s="112" t="s">
        <v>27</v>
      </c>
      <c r="U7" s="70"/>
      <c r="V7" s="67"/>
    </row>
    <row r="8" spans="1:24" ht="55.2" x14ac:dyDescent="0.3">
      <c r="H8" s="528" t="s">
        <v>28</v>
      </c>
      <c r="I8" s="534" t="s">
        <v>29</v>
      </c>
      <c r="J8" s="323" t="s">
        <v>30</v>
      </c>
      <c r="K8" s="321" t="s">
        <v>31</v>
      </c>
      <c r="L8" s="321" t="s">
        <v>32</v>
      </c>
      <c r="M8" s="323" t="s">
        <v>33</v>
      </c>
      <c r="N8" s="325" t="s">
        <v>34</v>
      </c>
      <c r="R8" s="528" t="s">
        <v>28</v>
      </c>
      <c r="S8" s="534" t="s">
        <v>29</v>
      </c>
      <c r="T8" s="321" t="s">
        <v>35</v>
      </c>
      <c r="U8" s="321" t="s">
        <v>36</v>
      </c>
      <c r="V8" s="325" t="s">
        <v>163</v>
      </c>
      <c r="W8" s="321" t="s">
        <v>38</v>
      </c>
      <c r="X8" s="325" t="s">
        <v>39</v>
      </c>
    </row>
    <row r="9" spans="1:24" ht="40.5" customHeight="1" thickBot="1" x14ac:dyDescent="0.35">
      <c r="H9" s="529"/>
      <c r="I9" s="535"/>
      <c r="J9" s="328" t="s">
        <v>40</v>
      </c>
      <c r="K9" s="322" t="s">
        <v>41</v>
      </c>
      <c r="L9" s="322" t="s">
        <v>42</v>
      </c>
      <c r="M9" s="328" t="s">
        <v>43</v>
      </c>
      <c r="N9" s="326" t="s">
        <v>44</v>
      </c>
      <c r="R9" s="559"/>
      <c r="S9" s="561"/>
      <c r="T9" s="322" t="s">
        <v>45</v>
      </c>
      <c r="U9" s="322" t="s">
        <v>46</v>
      </c>
      <c r="V9" s="326" t="s">
        <v>164</v>
      </c>
      <c r="W9" s="322" t="s">
        <v>49</v>
      </c>
      <c r="X9" s="326" t="s">
        <v>48</v>
      </c>
    </row>
    <row r="10" spans="1:24" x14ac:dyDescent="0.3">
      <c r="H10" s="315" t="s">
        <v>25</v>
      </c>
      <c r="I10" s="544" t="s">
        <v>51</v>
      </c>
      <c r="J10" s="312">
        <f>SUMIFS('Inhalation Exposure'!$I:$I,'Inhalation Exposure'!$C:$C,$J$4,'Inhalation Exposure'!$D:$D,$H10,'Inhalation Exposure'!$E:$E,$K$4)</f>
        <v>4.0825649946066765E-2</v>
      </c>
      <c r="K10" s="312">
        <f>SUMIFS('Inhalation Exposure'!$M:$M,'Inhalation Exposure'!$C:$C,$J$4,'Inhalation Exposure'!$D:$D,$H10,'Inhalation Exposure'!$E:$E,$K$4)</f>
        <v>2.7772550983718888E-2</v>
      </c>
      <c r="L10" s="292">
        <f>SUMIFS('Inhalation Exposure'!$AA:$AA,'Inhalation Exposure'!$C:$C,$J$4,'Inhalation Exposure'!$D:$D,$H10,'Inhalation Exposure'!$E:$E,$K$4)</f>
        <v>3.719204496308132E-3</v>
      </c>
      <c r="M10" s="292">
        <f>SUMIFS('Inhalation Exposure'!$Q:$Q,'Inhalation Exposure'!$C:$C,$J$4,'Inhalation Exposure'!$D:$D,$H10,'Inhalation Exposure'!$E:$E,$K$4)</f>
        <v>3.0568804079244915E-4</v>
      </c>
      <c r="N10" s="293">
        <f>SUMIFS('Inhalation Exposure'!$U:$U,'Inhalation Exposure'!$C:$C,$J$4,'Inhalation Exposure'!$D:$D,$H10,'Inhalation Exposure'!$E:$E,$K$4)</f>
        <v>1.2194802190213956E-4</v>
      </c>
      <c r="R10" s="526" t="s">
        <v>52</v>
      </c>
      <c r="S10" s="119" t="s">
        <v>51</v>
      </c>
      <c r="T10" s="298">
        <f>'Dermal Exposure'!M8</f>
        <v>523.55100000000004</v>
      </c>
      <c r="U10" s="298">
        <f>'Dermal Exposure'!N8</f>
        <v>6.5443875000000009</v>
      </c>
      <c r="V10" s="299">
        <f>'Dermal Exposure'!Q8</f>
        <v>1.5270237500000003</v>
      </c>
      <c r="W10" s="298">
        <f>'Dermal Exposure'!O8</f>
        <v>0.12550880136986303</v>
      </c>
      <c r="X10" s="299">
        <f>'Dermal Exposure'!P8</f>
        <v>6.4363487881981055E-2</v>
      </c>
    </row>
    <row r="11" spans="1:24" x14ac:dyDescent="0.3">
      <c r="H11" s="316" t="s">
        <v>53</v>
      </c>
      <c r="I11" s="545"/>
      <c r="J11" s="294">
        <f>SUMIFS('Inhalation Exposure'!$I:$I,'Inhalation Exposure'!$C:$C,$J$4,'Inhalation Exposure'!$D:$D,$H11,'Inhalation Exposure'!$E:$E,$K$4)</f>
        <v>0</v>
      </c>
      <c r="K11" s="294">
        <f>SUMIFS('Inhalation Exposure'!$M:$M,'Inhalation Exposure'!$C:$C,$J$4,'Inhalation Exposure'!$D:$D,$H11,'Inhalation Exposure'!$E:$E,$K$4)</f>
        <v>0</v>
      </c>
      <c r="L11" s="294">
        <f>SUMIFS('Inhalation Exposure'!$AA:$AA,'Inhalation Exposure'!$C:$C,$J$4,'Inhalation Exposure'!$D:$D,$H11,'Inhalation Exposure'!$E:$E,$K$4)</f>
        <v>0</v>
      </c>
      <c r="M11" s="294">
        <f>SUMIFS('Inhalation Exposure'!$Q:$Q,'Inhalation Exposure'!$C:$C,$J$4,'Inhalation Exposure'!$D:$D,$H11,'Inhalation Exposure'!$E:$E,$K$4)</f>
        <v>0</v>
      </c>
      <c r="N11" s="295">
        <f>SUMIFS('Inhalation Exposure'!$U:$U,'Inhalation Exposure'!$C:$C,$J$4,'Inhalation Exposure'!$D:$D,$H11,'Inhalation Exposure'!$E:$E,$K$4)</f>
        <v>0</v>
      </c>
      <c r="R11" s="527"/>
      <c r="S11" s="132" t="s">
        <v>54</v>
      </c>
      <c r="T11" s="287">
        <f>'Dermal Exposure'!M9</f>
        <v>174.517</v>
      </c>
      <c r="U11" s="287">
        <f>'Dermal Exposure'!N9</f>
        <v>2.1814624999999999</v>
      </c>
      <c r="V11" s="288">
        <f>'Dermal Exposure'!Q9</f>
        <v>0.29086166666666663</v>
      </c>
      <c r="W11" s="287">
        <f>'Dermal Exposure'!O9</f>
        <v>2.3906438356164385E-2</v>
      </c>
      <c r="X11" s="288">
        <f>'Dermal Exposure'!P9</f>
        <v>9.5012767825781528E-3</v>
      </c>
    </row>
    <row r="12" spans="1:24" x14ac:dyDescent="0.3">
      <c r="H12" s="316" t="s">
        <v>25</v>
      </c>
      <c r="I12" s="546" t="s">
        <v>54</v>
      </c>
      <c r="J12" s="294">
        <f>SUMIFS('Inhalation Exposure'!$J:$J,'Inhalation Exposure'!$C:$C,$J$4,'Inhalation Exposure'!$D:$D,$H12,'Inhalation Exposure'!$E:$E,$K$4)</f>
        <v>1.109496532300309E-2</v>
      </c>
      <c r="K12" s="294">
        <f>SUMIFS('Inhalation Exposure'!$N:$N,'Inhalation Exposure'!$C:$C,$J$4,'Inhalation Exposure'!$D:$D,$H12,'Inhalation Exposure'!$E:$E,$K$4)</f>
        <v>7.5475954578252315E-3</v>
      </c>
      <c r="L12" s="294">
        <f>SUMIFS('Inhalation Exposure'!$AB:$AB,'Inhalation Exposure'!$C:$C,$J$4,'Inhalation Exposure'!$D:$D,$H12,'Inhalation Exposure'!$E:$E,$K$4)</f>
        <v>1.0844309333968303E-3</v>
      </c>
      <c r="M12" s="294">
        <f>SUMIFS('Inhalation Exposure'!$R:$R,'Inhalation Exposure'!$C:$C,$J$4,'Inhalation Exposure'!$D:$D,$H12,'Inhalation Exposure'!$E:$E,$K$4)</f>
        <v>8.913130959426003E-5</v>
      </c>
      <c r="N12" s="295">
        <f>SUMIFS('Inhalation Exposure'!$V:$V,'Inhalation Exposure'!$C:$C,$J$4,'Inhalation Exposure'!$D:$D,$H12,'Inhalation Exposure'!$E:$E,$K$4)</f>
        <v>3.3686501719664894E-5</v>
      </c>
      <c r="R12" s="524" t="str">
        <f>_xlfn.CONCAT("Worker with Gloves; 
PF of ",'List Values'!H3)</f>
        <v>Worker with Gloves; 
PF of 5</v>
      </c>
      <c r="S12" s="132" t="s">
        <v>51</v>
      </c>
      <c r="T12" s="287">
        <f>T10/'List Values'!$H$3</f>
        <v>104.71020000000001</v>
      </c>
      <c r="U12" s="287">
        <f>U10/'List Values'!$H$3</f>
        <v>1.3088775000000001</v>
      </c>
      <c r="V12" s="288">
        <f>V10/'List Values'!$H$3</f>
        <v>0.30540475000000006</v>
      </c>
      <c r="W12" s="287">
        <f>W10/'List Values'!$H$3</f>
        <v>2.5101760273972606E-2</v>
      </c>
      <c r="X12" s="288">
        <f>X10/'List Values'!$H$3</f>
        <v>1.2872697576396211E-2</v>
      </c>
    </row>
    <row r="13" spans="1:24" ht="14.4" thickBot="1" x14ac:dyDescent="0.35">
      <c r="H13" s="23" t="s">
        <v>53</v>
      </c>
      <c r="I13" s="547"/>
      <c r="J13" s="296">
        <f>SUMIFS('Inhalation Exposure'!$J:$J,'Inhalation Exposure'!$C:$C,$J$4,'Inhalation Exposure'!$D:$D,$H13,'Inhalation Exposure'!$E:$E,$K$4)</f>
        <v>0</v>
      </c>
      <c r="K13" s="296">
        <f>SUMIFS('Inhalation Exposure'!$N:$N,'Inhalation Exposure'!$C:$C,$J$4,'Inhalation Exposure'!$D:$D,$H13,'Inhalation Exposure'!$E:$E,$K$4)</f>
        <v>0</v>
      </c>
      <c r="L13" s="296">
        <f>SUMIFS('Inhalation Exposure'!$Z:$Z,'Inhalation Exposure'!$C:$C,$J$4,'Inhalation Exposure'!$D:$D,$H13,'Inhalation Exposure'!$E:$E,$K$4)</f>
        <v>0</v>
      </c>
      <c r="M13" s="296">
        <f>SUMIFS('Inhalation Exposure'!$R:$R,'Inhalation Exposure'!$C:$C,$J$4,'Inhalation Exposure'!$D:$D,$H13,'Inhalation Exposure'!$E:$E,$K$4)</f>
        <v>0</v>
      </c>
      <c r="N13" s="297">
        <f>SUMIFS('Inhalation Exposure'!$V:$V,'Inhalation Exposure'!$C:$C,$J$4,'Inhalation Exposure'!$D:$D,$H13,'Inhalation Exposure'!$E:$E,$K$4)</f>
        <v>0</v>
      </c>
      <c r="R13" s="524"/>
      <c r="S13" s="132" t="s">
        <v>54</v>
      </c>
      <c r="T13" s="287">
        <f>T11/'List Values'!$H$3</f>
        <v>34.903399999999998</v>
      </c>
      <c r="U13" s="287">
        <f>U11/'List Values'!$H$3</f>
        <v>0.43629249999999997</v>
      </c>
      <c r="V13" s="288">
        <f>V11/'List Values'!$H$3</f>
        <v>5.8172333333333326E-2</v>
      </c>
      <c r="W13" s="287">
        <f>W11/'List Values'!$H$3</f>
        <v>4.781287671232877E-3</v>
      </c>
      <c r="X13" s="288">
        <f>X11/'List Values'!$H$3</f>
        <v>1.9002553565156306E-3</v>
      </c>
    </row>
    <row r="14" spans="1:24" x14ac:dyDescent="0.3">
      <c r="R14" s="524" t="str">
        <f>_xlfn.CONCAT("Worker with Gloves; 
PF of ",'List Values'!H4)</f>
        <v>Worker with Gloves; 
PF of 10</v>
      </c>
      <c r="S14" s="132" t="s">
        <v>51</v>
      </c>
      <c r="T14" s="287">
        <f>T10/'List Values'!$H$4</f>
        <v>52.355100000000007</v>
      </c>
      <c r="U14" s="287">
        <f>U10/'List Values'!$H$4</f>
        <v>0.65443875000000007</v>
      </c>
      <c r="V14" s="288">
        <f>V10/'List Values'!$H$4</f>
        <v>0.15270237500000003</v>
      </c>
      <c r="W14" s="287">
        <f>W10/'List Values'!$H$4</f>
        <v>1.2550880136986303E-2</v>
      </c>
      <c r="X14" s="288">
        <f>X10/'List Values'!$H$4</f>
        <v>6.4363487881981055E-3</v>
      </c>
    </row>
    <row r="15" spans="1:24" x14ac:dyDescent="0.3">
      <c r="D15" s="70"/>
      <c r="H15" s="107"/>
      <c r="R15" s="524"/>
      <c r="S15" s="132" t="s">
        <v>54</v>
      </c>
      <c r="T15" s="287">
        <f>T11/'List Values'!$H$4</f>
        <v>17.451699999999999</v>
      </c>
      <c r="U15" s="287">
        <f>U11/'List Values'!$H$4</f>
        <v>0.21814624999999999</v>
      </c>
      <c r="V15" s="288">
        <f>V11/'List Values'!$H$4</f>
        <v>2.9086166666666663E-2</v>
      </c>
      <c r="W15" s="287">
        <f>W11/'List Values'!$H$4</f>
        <v>2.3906438356164385E-3</v>
      </c>
      <c r="X15" s="288">
        <f>X11/'List Values'!$H$4</f>
        <v>9.501276782578153E-4</v>
      </c>
    </row>
    <row r="16" spans="1:24" ht="15" customHeight="1" x14ac:dyDescent="0.3">
      <c r="D16" s="70"/>
      <c r="H16" s="107"/>
      <c r="R16" s="524" t="str">
        <f>_xlfn.CONCAT("Worker with Gloves; 
PF of ",'List Values'!H5)</f>
        <v>Worker with Gloves; 
PF of 20</v>
      </c>
      <c r="S16" s="132" t="s">
        <v>51</v>
      </c>
      <c r="T16" s="287">
        <f>T10/'List Values'!$H$5</f>
        <v>26.177550000000004</v>
      </c>
      <c r="U16" s="287">
        <f>U10/'List Values'!$H$5</f>
        <v>0.32721937500000003</v>
      </c>
      <c r="V16" s="288">
        <f>V10/'List Values'!$H$5</f>
        <v>7.6351187500000015E-2</v>
      </c>
      <c r="W16" s="287">
        <f>W10/'List Values'!$H$5</f>
        <v>6.2754400684931514E-3</v>
      </c>
      <c r="X16" s="288">
        <f>X10/'List Values'!$H$5</f>
        <v>3.2181743940990527E-3</v>
      </c>
    </row>
    <row r="17" spans="1:27" ht="14.4" thickBot="1" x14ac:dyDescent="0.35">
      <c r="D17" s="70"/>
      <c r="H17" s="107"/>
      <c r="R17" s="525"/>
      <c r="S17" s="118" t="s">
        <v>54</v>
      </c>
      <c r="T17" s="290">
        <f>T11/'List Values'!$H$5</f>
        <v>8.7258499999999994</v>
      </c>
      <c r="U17" s="290">
        <f>U11/'List Values'!$H$5</f>
        <v>0.10907312499999999</v>
      </c>
      <c r="V17" s="291">
        <f>V11/'List Values'!$H$5</f>
        <v>1.4543083333333331E-2</v>
      </c>
      <c r="W17" s="290">
        <f>W11/'List Values'!$H$5</f>
        <v>1.1953219178082192E-3</v>
      </c>
      <c r="X17" s="291">
        <f>X11/'List Values'!$H$5</f>
        <v>4.7506383912890765E-4</v>
      </c>
    </row>
    <row r="18" spans="1:27" s="24" customFormat="1" x14ac:dyDescent="0.3">
      <c r="B18" s="26"/>
      <c r="C18" s="91"/>
      <c r="D18" s="91"/>
      <c r="E18" s="91"/>
      <c r="F18" s="91"/>
      <c r="G18" s="91"/>
      <c r="H18" s="25"/>
      <c r="I18" s="67"/>
      <c r="K18" s="25"/>
      <c r="L18" s="25"/>
      <c r="M18" s="25"/>
      <c r="N18" s="25"/>
      <c r="O18" s="25"/>
      <c r="P18" s="25"/>
      <c r="R18" s="91"/>
      <c r="S18" s="25"/>
      <c r="T18" s="67"/>
      <c r="V18" s="25"/>
    </row>
    <row r="19" spans="1:27" s="24" customFormat="1" ht="36" customHeight="1" thickBot="1" x14ac:dyDescent="0.35">
      <c r="B19" s="26"/>
      <c r="C19" s="67"/>
      <c r="D19" s="69"/>
      <c r="E19" s="69"/>
      <c r="F19" s="69"/>
      <c r="G19" s="113"/>
      <c r="H19" s="113" t="s">
        <v>165</v>
      </c>
      <c r="I19" s="67"/>
      <c r="K19" s="25"/>
      <c r="L19" s="560"/>
      <c r="M19" s="560"/>
      <c r="N19" s="327"/>
      <c r="O19" s="327"/>
      <c r="R19" s="114" t="s">
        <v>166</v>
      </c>
      <c r="S19" s="114"/>
      <c r="T19" s="114"/>
    </row>
    <row r="20" spans="1:27" s="24" customFormat="1" ht="14.4" thickBot="1" x14ac:dyDescent="0.35">
      <c r="C20" s="538" t="s">
        <v>167</v>
      </c>
      <c r="D20" s="538" t="s">
        <v>168</v>
      </c>
      <c r="E20" s="538"/>
      <c r="F20" s="538" t="s">
        <v>169</v>
      </c>
      <c r="G20" s="101"/>
      <c r="H20" s="492" t="s">
        <v>58</v>
      </c>
      <c r="I20" s="477" t="s">
        <v>29</v>
      </c>
      <c r="J20" s="479" t="s">
        <v>59</v>
      </c>
      <c r="K20" s="556" t="str">
        <f>_xlfn.CONCAT("Exposure Estimates: ",H4," MOE")</f>
        <v>Exposure Estimates: Worker MOE</v>
      </c>
      <c r="L20" s="557"/>
      <c r="M20" s="557"/>
      <c r="N20" s="557"/>
      <c r="O20" s="557"/>
      <c r="P20" s="558"/>
      <c r="Q20" s="115"/>
      <c r="R20" s="485" t="s">
        <v>61</v>
      </c>
      <c r="S20" s="477" t="s">
        <v>29</v>
      </c>
      <c r="T20" s="479" t="s">
        <v>59</v>
      </c>
      <c r="U20" s="501" t="str">
        <f>_xlfn.CONCAT("Exposure Estimates: ",H4," MOE")</f>
        <v>Exposure Estimates: Worker MOE</v>
      </c>
      <c r="V20" s="553"/>
      <c r="W20" s="553"/>
      <c r="X20" s="554"/>
    </row>
    <row r="21" spans="1:27" s="24" customFormat="1" ht="12.75" customHeight="1" thickBot="1" x14ac:dyDescent="0.35">
      <c r="C21" s="539"/>
      <c r="D21" s="539"/>
      <c r="E21" s="539"/>
      <c r="F21" s="539"/>
      <c r="G21" s="102"/>
      <c r="H21" s="555"/>
      <c r="I21" s="478"/>
      <c r="J21" s="480"/>
      <c r="K21" s="319" t="s">
        <v>170</v>
      </c>
      <c r="L21" s="322" t="s">
        <v>171</v>
      </c>
      <c r="M21" s="322" t="s">
        <v>172</v>
      </c>
      <c r="N21" s="322" t="s">
        <v>173</v>
      </c>
      <c r="O21" s="322" t="s">
        <v>174</v>
      </c>
      <c r="P21" s="326" t="s">
        <v>175</v>
      </c>
      <c r="Q21" s="103"/>
      <c r="R21" s="486"/>
      <c r="S21" s="478"/>
      <c r="T21" s="480"/>
      <c r="U21" s="167" t="s">
        <v>176</v>
      </c>
      <c r="V21" s="167" t="s">
        <v>177</v>
      </c>
      <c r="W21" s="167" t="s">
        <v>178</v>
      </c>
      <c r="X21" s="168" t="s">
        <v>179</v>
      </c>
    </row>
    <row r="22" spans="1:27" s="24" customFormat="1" ht="20.25" customHeight="1" x14ac:dyDescent="0.3">
      <c r="B22" s="564" t="s">
        <v>66</v>
      </c>
      <c r="C22" s="570" t="s">
        <v>180</v>
      </c>
      <c r="D22" s="574" t="str">
        <f>'Health Data'!D6</f>
        <v>Tremors (S)</v>
      </c>
      <c r="E22" s="575"/>
      <c r="F22" s="572" t="str">
        <f>'Health Data'!E6</f>
        <v>Moser et al. (2015)</v>
      </c>
      <c r="G22" s="116"/>
      <c r="H22" s="551">
        <f>VLOOKUP($B22,'Health Data'!$F$6:$K$8,2,FALSE)</f>
        <v>51.5</v>
      </c>
      <c r="I22" s="83" t="s">
        <v>51</v>
      </c>
      <c r="J22" s="530">
        <f>VLOOKUP($B22,'Health Data'!$F$6:$K$8,4,FALSE)</f>
        <v>30</v>
      </c>
      <c r="K22" s="99" cm="1">
        <f t="array" ref="K22">IFERROR($H22/_xlfn.IFS($H$4="Worker",$K$10,$H$4="ONU",$K$11), "")</f>
        <v>1854.3489227975804</v>
      </c>
      <c r="L22" s="74">
        <f>IFERROR($K22*'List Values'!$E$17, "")</f>
        <v>18543.489227975802</v>
      </c>
      <c r="M22" s="74">
        <f>IFERROR($K22*'List Values'!$E$18, "")</f>
        <v>46358.723069939508</v>
      </c>
      <c r="N22" s="74">
        <f>IFERROR($K22*'List Values'!$E$19, "")</f>
        <v>92717.446139879015</v>
      </c>
      <c r="O22" s="74">
        <f>IFERROR($K22*'List Values'!$E$20, "")</f>
        <v>1854348.9227975805</v>
      </c>
      <c r="P22" s="100">
        <f>IFERROR($K22*'List Values'!$E$21, "")</f>
        <v>18543489.227975804</v>
      </c>
      <c r="Q22" s="103"/>
      <c r="R22" s="567">
        <f>VLOOKUP($B22,'Health Data'!$F$6:$K$8,3,FALSE)</f>
        <v>9.4600000000000009</v>
      </c>
      <c r="S22" s="117" t="s">
        <v>51</v>
      </c>
      <c r="T22" s="530">
        <f>VLOOKUP($B22,'Health Data'!$F$6:$K$8,4,FALSE)</f>
        <v>30</v>
      </c>
      <c r="U22" s="62">
        <f>IFERROR($R22/U$10, "")</f>
        <v>1.4455134265811735</v>
      </c>
      <c r="V22" s="62">
        <f>IFERROR($R22/U$12, "")</f>
        <v>7.2275671329058673</v>
      </c>
      <c r="W22" s="62">
        <f>IFERROR($R22/U$14, "")</f>
        <v>14.455134265811735</v>
      </c>
      <c r="X22" s="86">
        <f>IFERROR($R22/U$16, "")</f>
        <v>28.910268531623469</v>
      </c>
    </row>
    <row r="23" spans="1:27" s="24" customFormat="1" ht="20.25" customHeight="1" thickBot="1" x14ac:dyDescent="0.35">
      <c r="B23" s="564"/>
      <c r="C23" s="571"/>
      <c r="D23" s="542"/>
      <c r="E23" s="543"/>
      <c r="F23" s="573"/>
      <c r="G23" s="116"/>
      <c r="H23" s="552"/>
      <c r="I23" s="64" t="s">
        <v>54</v>
      </c>
      <c r="J23" s="531"/>
      <c r="K23" s="99" cm="1">
        <f t="array" ref="K23">IFERROR($H22/_xlfn.IFS($H$4="Worker",$K$12,$H$4="ONU",$K$13),"")</f>
        <v>6823.3651747465592</v>
      </c>
      <c r="L23" s="74">
        <f>IFERROR($K23*'List Values'!$E$17, "")</f>
        <v>68233.651747465599</v>
      </c>
      <c r="M23" s="74">
        <f>IFERROR($K23*'List Values'!$E$18, "")</f>
        <v>170584.12936866397</v>
      </c>
      <c r="N23" s="74">
        <f>IFERROR($K23*'List Values'!$E$19, "")</f>
        <v>341168.25873732794</v>
      </c>
      <c r="O23" s="74">
        <f>IFERROR($K23*'List Values'!$E$20, "")</f>
        <v>6823365.174746559</v>
      </c>
      <c r="P23" s="100">
        <f>IFERROR($K23*'List Values'!$E$21, "")</f>
        <v>68233651.747465596</v>
      </c>
      <c r="Q23" s="103"/>
      <c r="R23" s="568"/>
      <c r="S23" s="118" t="s">
        <v>54</v>
      </c>
      <c r="T23" s="531"/>
      <c r="U23" s="63">
        <f>IFERROR($R22/U$11, "")</f>
        <v>4.3365402797435211</v>
      </c>
      <c r="V23" s="63">
        <f>IFERROR($R22/U$13, "")</f>
        <v>21.682701398717608</v>
      </c>
      <c r="W23" s="63">
        <f>IFERROR($R22/U$15, "")</f>
        <v>43.365402797435216</v>
      </c>
      <c r="X23" s="137">
        <f>IFERROR($R22/U$17, "")</f>
        <v>86.730805594870432</v>
      </c>
    </row>
    <row r="24" spans="1:27" s="24" customFormat="1" ht="20.25" customHeight="1" x14ac:dyDescent="0.3">
      <c r="B24" s="564" t="s">
        <v>71</v>
      </c>
      <c r="C24" s="550" t="s">
        <v>181</v>
      </c>
      <c r="D24" s="540" t="str">
        <f>'Health Data'!D7</f>
        <v>Reproductive toxicity</v>
      </c>
      <c r="E24" s="541"/>
      <c r="F24" s="536" t="str">
        <f>'Health Data'!E7</f>
        <v>{Chen, 2015, xxx@@author-year}</v>
      </c>
      <c r="G24" s="116"/>
      <c r="H24" s="551">
        <f>VLOOKUP($B24,'Health Data'!$F$6:$K$8,2,FALSE)</f>
        <v>14.9</v>
      </c>
      <c r="I24" s="83" t="s">
        <v>51</v>
      </c>
      <c r="J24" s="530">
        <f>VLOOKUP($B24,'Health Data'!$F$6:$K$8,4,FALSE)</f>
        <v>30</v>
      </c>
      <c r="K24" s="133" cm="1">
        <f t="array" ref="K24">IFERROR($H24/_xlfn.IFS($H$4="Worker",$L$10,$H$4="ONU",$L$11), "")</f>
        <v>4006.2330573084873</v>
      </c>
      <c r="L24" s="62">
        <f>IFERROR($K24*'List Values'!$E$17, "")</f>
        <v>40062.330573084873</v>
      </c>
      <c r="M24" s="62">
        <f>IFERROR($K24*'List Values'!$E$18, "")</f>
        <v>100155.82643271219</v>
      </c>
      <c r="N24" s="62">
        <f>IFERROR($K24*'List Values'!$E$19, "")</f>
        <v>200311.65286542437</v>
      </c>
      <c r="O24" s="62">
        <f>IFERROR($K24*'List Values'!$E$20, "")</f>
        <v>4006233.0573084871</v>
      </c>
      <c r="P24" s="86">
        <f>IFERROR($K24*'List Values'!$E$21, "")</f>
        <v>40062330.573084876</v>
      </c>
      <c r="Q24" s="121"/>
      <c r="R24" s="567">
        <f>VLOOKUP($B24,'Health Data'!$F$6:$K$8,3,FALSE)</f>
        <v>2.73</v>
      </c>
      <c r="S24" s="119" t="s">
        <v>51</v>
      </c>
      <c r="T24" s="530">
        <f>VLOOKUP($B24,'Health Data'!$F$6:$K$8,4,FALSE)</f>
        <v>30</v>
      </c>
      <c r="U24" s="62">
        <f>IFERROR($R24/V$10, "")</f>
        <v>1.7877914472515568</v>
      </c>
      <c r="V24" s="62">
        <f>IFERROR($R24/V$12, "")</f>
        <v>8.9389572362577834</v>
      </c>
      <c r="W24" s="62">
        <f>IFERROR($R24/V$14, "")</f>
        <v>17.877914472515567</v>
      </c>
      <c r="X24" s="86">
        <f>IFERROR($R24/V$16, "")</f>
        <v>35.755828945031134</v>
      </c>
    </row>
    <row r="25" spans="1:27" s="24" customFormat="1" ht="20.25" customHeight="1" thickBot="1" x14ac:dyDescent="0.35">
      <c r="B25" s="564"/>
      <c r="C25" s="549"/>
      <c r="D25" s="542"/>
      <c r="E25" s="543"/>
      <c r="F25" s="537"/>
      <c r="G25" s="116"/>
      <c r="H25" s="552"/>
      <c r="I25" s="64" t="s">
        <v>54</v>
      </c>
      <c r="J25" s="531"/>
      <c r="K25" s="148" cm="1">
        <f t="array" ref="K25">IFERROR($H24/_xlfn.IFS($H$4="Worker",$L$12,$H$4="ONU",$L$13), "")</f>
        <v>13739.925283510502</v>
      </c>
      <c r="L25" s="94">
        <f>IFERROR($K25*'List Values'!$E$17, "")</f>
        <v>137399.25283510503</v>
      </c>
      <c r="M25" s="94">
        <f>IFERROR($K25*'List Values'!$E$18, "")</f>
        <v>343498.13208776253</v>
      </c>
      <c r="N25" s="94">
        <f>IFERROR($K25*'List Values'!$E$19, "")</f>
        <v>686996.26417552505</v>
      </c>
      <c r="O25" s="94">
        <f>IFERROR($K25*'List Values'!$E$20, "")</f>
        <v>13739925.283510502</v>
      </c>
      <c r="P25" s="87">
        <f>IFERROR($K25*'List Values'!$E$21, "")</f>
        <v>137399252.83510503</v>
      </c>
      <c r="Q25" s="121"/>
      <c r="R25" s="568"/>
      <c r="S25" s="122" t="s">
        <v>54</v>
      </c>
      <c r="T25" s="531"/>
      <c r="U25" s="63">
        <f>IFERROR($R24/V$11, "")</f>
        <v>9.3859050980706762</v>
      </c>
      <c r="V25" s="63">
        <f>IFERROR($R24/V$13, "")</f>
        <v>46.929525490353384</v>
      </c>
      <c r="W25" s="63">
        <f>IFERROR($R24/V$15, "")</f>
        <v>93.859050980706769</v>
      </c>
      <c r="X25" s="137">
        <f>IFERROR($R24/V$17, "")</f>
        <v>187.71810196141354</v>
      </c>
    </row>
    <row r="26" spans="1:27" s="24" customFormat="1" ht="20.25" customHeight="1" x14ac:dyDescent="0.3">
      <c r="B26" s="564" t="s">
        <v>71</v>
      </c>
      <c r="C26" s="548" t="s">
        <v>183</v>
      </c>
      <c r="D26" s="540" t="str">
        <f>'Health Data'!D7</f>
        <v>Reproductive toxicity</v>
      </c>
      <c r="E26" s="541"/>
      <c r="F26" s="536" t="str">
        <f>'Health Data'!E7</f>
        <v>{Chen, 2015, xxx@@author-year}</v>
      </c>
      <c r="G26" s="116"/>
      <c r="H26" s="551">
        <f>VLOOKUP($B26,'Health Data'!$F$6:$K$8,2,FALSE)</f>
        <v>14.9</v>
      </c>
      <c r="I26" s="83" t="s">
        <v>51</v>
      </c>
      <c r="J26" s="530">
        <f>VLOOKUP($B26,'Health Data'!$F$6:$K$8,4,FALSE)</f>
        <v>30</v>
      </c>
      <c r="K26" s="133" cm="1">
        <f t="array" ref="K26">IFERROR($H26/_xlfn.IFS($H$4="Worker",$M$10,$H$4="ONU",$M$11), "")</f>
        <v>48742.50219725327</v>
      </c>
      <c r="L26" s="62">
        <f>IFERROR($K26*'List Values'!$E$17, "")</f>
        <v>487425.02197253273</v>
      </c>
      <c r="M26" s="62">
        <f>IFERROR($K26*'List Values'!$E$18, "")</f>
        <v>1218562.5549313317</v>
      </c>
      <c r="N26" s="62">
        <f>IFERROR($K26*'List Values'!$E$19, "")</f>
        <v>2437125.1098626633</v>
      </c>
      <c r="O26" s="62">
        <f>IFERROR($K26*'List Values'!$E$20, "")</f>
        <v>48742502.197253272</v>
      </c>
      <c r="P26" s="86">
        <f>IFERROR($K26*'List Values'!$E$21, "")</f>
        <v>487425021.97253269</v>
      </c>
      <c r="Q26" s="121"/>
      <c r="R26" s="567">
        <f>VLOOKUP($B26,'Health Data'!$F$6:$K$8,3,FALSE)</f>
        <v>2.73</v>
      </c>
      <c r="S26" s="119" t="s">
        <v>51</v>
      </c>
      <c r="T26" s="530">
        <f>VLOOKUP($B26,'Health Data'!$F$6:$K$8,4,FALSE)</f>
        <v>30</v>
      </c>
      <c r="U26" s="62">
        <f>IFERROR($R26/W$10, "")</f>
        <v>21.751462608227275</v>
      </c>
      <c r="V26" s="62">
        <f>IFERROR($R26/W$12, "")</f>
        <v>108.75731304113638</v>
      </c>
      <c r="W26" s="62">
        <f>IFERROR($R26/W$14, "")</f>
        <v>217.51462608227277</v>
      </c>
      <c r="X26" s="86">
        <f>IFERROR($R26/W$16, "")</f>
        <v>435.02925216454554</v>
      </c>
    </row>
    <row r="27" spans="1:27" s="24" customFormat="1" ht="20.25" customHeight="1" thickBot="1" x14ac:dyDescent="0.35">
      <c r="B27" s="564"/>
      <c r="C27" s="549"/>
      <c r="D27" s="542"/>
      <c r="E27" s="543"/>
      <c r="F27" s="537"/>
      <c r="G27" s="116"/>
      <c r="H27" s="552"/>
      <c r="I27" s="64" t="s">
        <v>54</v>
      </c>
      <c r="J27" s="531"/>
      <c r="K27" s="148" cm="1">
        <f t="array" ref="K27">IFERROR($H26/_xlfn.IFS($H$4="Worker",$M$12,$H$4="ONU",$M$13), "")</f>
        <v>167169.09094937774</v>
      </c>
      <c r="L27" s="94">
        <f>IFERROR($K27*'List Values'!$E$17, "")</f>
        <v>1671690.9094937774</v>
      </c>
      <c r="M27" s="94">
        <f>IFERROR($K27*'List Values'!$E$18, "")</f>
        <v>4179227.2737344438</v>
      </c>
      <c r="N27" s="94">
        <f>IFERROR($K27*'List Values'!$E$19, "")</f>
        <v>8358454.5474688876</v>
      </c>
      <c r="O27" s="94">
        <f>IFERROR($K27*'List Values'!$E$20, "")</f>
        <v>167169090.94937775</v>
      </c>
      <c r="P27" s="87">
        <f>IFERROR($K27*'List Values'!$E$21, "")</f>
        <v>1671690909.4937775</v>
      </c>
      <c r="Q27" s="121"/>
      <c r="R27" s="568"/>
      <c r="S27" s="122" t="s">
        <v>54</v>
      </c>
      <c r="T27" s="531"/>
      <c r="U27" s="63">
        <f>IFERROR($R26/W$11, "")</f>
        <v>114.19517869319321</v>
      </c>
      <c r="V27" s="63">
        <f>IFERROR($R26/W$13, "")</f>
        <v>570.97589346596601</v>
      </c>
      <c r="W27" s="63">
        <f>IFERROR($R26/W$15, "")</f>
        <v>1141.951786931932</v>
      </c>
      <c r="X27" s="137">
        <f>IFERROR($R26/W$17, "")</f>
        <v>2283.903573863864</v>
      </c>
    </row>
    <row r="28" spans="1:27" s="24" customFormat="1" ht="20.25" customHeight="1" thickBot="1" x14ac:dyDescent="0.35">
      <c r="B28" s="564" t="s">
        <v>84</v>
      </c>
      <c r="C28" s="231" t="s">
        <v>184</v>
      </c>
      <c r="D28" s="540" t="str">
        <f>'Health Data'!D8</f>
        <v>Renal tubule adenomas and    carcinomas in male Fischer 344 rats (S)</v>
      </c>
      <c r="E28" s="541"/>
      <c r="F28" s="536" t="str">
        <f>'Health Data'!E8</f>
        <v>NTP (1991)</v>
      </c>
      <c r="G28" s="120"/>
      <c r="H28" s="565">
        <f>VLOOKUP($B28,'Health Data'!$F$6:$K$8,5,FALSE)</f>
        <v>4.5100000000000001E-3</v>
      </c>
      <c r="I28" s="83" t="s">
        <v>51</v>
      </c>
      <c r="J28" s="532">
        <f>VLOOKUP($B28,'Health Data'!$F$6:$K$8,4,FALSE)</f>
        <v>1E-4</v>
      </c>
      <c r="K28" s="133" cm="1">
        <f t="array" ref="K28">IFERROR($H28*_xlfn.IFS($H$4="Worker",$N$10,$H$4="ONU",N11), "")</f>
        <v>5.4998557877864945E-7</v>
      </c>
      <c r="L28" s="62">
        <f>IFERROR($K28/'List Values'!$E$17, "")</f>
        <v>5.4998557877864943E-8</v>
      </c>
      <c r="M28" s="62">
        <f>IFERROR($K28/'List Values'!$E$18, "")</f>
        <v>2.1999423151145978E-8</v>
      </c>
      <c r="N28" s="62">
        <f>IFERROR($K28/'List Values'!$E$19, "")</f>
        <v>1.0999711575572989E-8</v>
      </c>
      <c r="O28" s="62">
        <f>IFERROR($K28/'List Values'!$E$20, "")</f>
        <v>5.4998557877864946E-10</v>
      </c>
      <c r="P28" s="86">
        <f>IFERROR($K28/'List Values'!$E$21, "")</f>
        <v>5.4998557877864946E-11</v>
      </c>
      <c r="Q28" s="121"/>
      <c r="R28" s="565">
        <f>VLOOKUP(B28,'Health Data'!$F$6:$K$8,6,FALSE)</f>
        <v>2.4500000000000001E-2</v>
      </c>
      <c r="S28" s="119" t="s">
        <v>51</v>
      </c>
      <c r="T28" s="532">
        <f>VLOOKUP($B28,'Health Data'!$F$6:$K$8,4,FALSE)</f>
        <v>1E-4</v>
      </c>
      <c r="U28" s="62">
        <f>IFERROR($R28*X$10, "")</f>
        <v>1.5769054531085359E-3</v>
      </c>
      <c r="V28" s="62">
        <f>IFERROR($R$28*X$12, "")</f>
        <v>3.1538109062170718E-4</v>
      </c>
      <c r="W28" s="62">
        <f>IFERROR($R$28*X$14, "")</f>
        <v>1.5769054531085359E-4</v>
      </c>
      <c r="X28" s="62">
        <f>IFERROR($R$28*X$16, "")</f>
        <v>7.8845272655426795E-5</v>
      </c>
      <c r="AA28" s="92"/>
    </row>
    <row r="29" spans="1:27" s="26" customFormat="1" ht="20.25" customHeight="1" thickBot="1" x14ac:dyDescent="0.35">
      <c r="A29" s="24"/>
      <c r="B29" s="564"/>
      <c r="C29" s="232"/>
      <c r="D29" s="562"/>
      <c r="E29" s="563"/>
      <c r="F29" s="569"/>
      <c r="G29" s="120"/>
      <c r="H29" s="566"/>
      <c r="I29" s="64" t="s">
        <v>54</v>
      </c>
      <c r="J29" s="533"/>
      <c r="K29" s="148" cm="1">
        <f t="array" ref="K29">IFERROR($H28*_xlfn.IFS($H$4="Worker",$N$12,$H$4="ONU",N13), "")</f>
        <v>1.5192612275568868E-7</v>
      </c>
      <c r="L29" s="94">
        <f>IFERROR($K29/'List Values'!$E$17, "")</f>
        <v>1.5192612275568866E-8</v>
      </c>
      <c r="M29" s="94">
        <f>IFERROR($K29/'List Values'!$E$18, "")</f>
        <v>6.0770449102275471E-9</v>
      </c>
      <c r="N29" s="94">
        <f>IFERROR($K29/'List Values'!$E$19, "")</f>
        <v>3.0385224551137736E-9</v>
      </c>
      <c r="O29" s="94">
        <f>IFERROR($K29/'List Values'!$E$20, "")</f>
        <v>1.5192612275568867E-10</v>
      </c>
      <c r="P29" s="87">
        <f>IFERROR($K29/'List Values'!$E$21, "")</f>
        <v>1.5192612275568869E-11</v>
      </c>
      <c r="Q29" s="121"/>
      <c r="R29" s="566"/>
      <c r="S29" s="118" t="s">
        <v>54</v>
      </c>
      <c r="T29" s="533"/>
      <c r="U29" s="62">
        <f>IFERROR($R28*X$11, "")</f>
        <v>2.3278128117316474E-4</v>
      </c>
      <c r="V29" s="62">
        <f>IFERROR($R28*X$13, "")</f>
        <v>4.6556256234632951E-5</v>
      </c>
      <c r="W29" s="62">
        <f>IFERROR($R$28*X$15, "")</f>
        <v>2.3278128117316475E-5</v>
      </c>
      <c r="X29" s="62">
        <f>IFERROR($R$28*X$17, "")</f>
        <v>1.1639064058658238E-5</v>
      </c>
    </row>
    <row r="30" spans="1:27" s="2" customFormat="1" ht="14.4" x14ac:dyDescent="0.3"/>
    <row r="31" spans="1:27" s="2" customFormat="1" ht="14.4" x14ac:dyDescent="0.3"/>
    <row r="32" spans="1:27" s="24" customFormat="1" x14ac:dyDescent="0.3">
      <c r="B32" s="107"/>
      <c r="C32" s="70"/>
      <c r="D32" s="108"/>
      <c r="E32" s="70"/>
      <c r="F32" s="70"/>
      <c r="G32" s="106"/>
      <c r="H32" s="106"/>
      <c r="I32" s="106"/>
      <c r="J32" s="106"/>
      <c r="K32" s="106"/>
      <c r="L32" s="106"/>
      <c r="M32" s="106"/>
      <c r="O32" s="106"/>
      <c r="P32" s="106"/>
      <c r="Q32" s="106"/>
      <c r="R32" s="106"/>
      <c r="S32" s="106"/>
    </row>
    <row r="33" spans="1:19" s="24" customFormat="1" x14ac:dyDescent="0.3">
      <c r="B33" s="107"/>
      <c r="C33" s="70"/>
      <c r="D33" s="108"/>
      <c r="E33" s="70"/>
      <c r="F33" s="70"/>
      <c r="G33" s="106"/>
      <c r="H33" s="106"/>
      <c r="I33" s="106"/>
      <c r="J33" s="106"/>
      <c r="K33" s="106"/>
      <c r="L33" s="106"/>
      <c r="M33" s="106"/>
      <c r="N33" s="106"/>
      <c r="O33" s="106"/>
      <c r="P33" s="106"/>
      <c r="Q33" s="106"/>
      <c r="R33" s="106"/>
      <c r="S33" s="106"/>
    </row>
    <row r="34" spans="1:19" x14ac:dyDescent="0.3">
      <c r="A34" s="24"/>
    </row>
    <row r="40" spans="1:19" x14ac:dyDescent="0.3">
      <c r="I40" s="24"/>
      <c r="J40" s="24"/>
      <c r="K40" s="24"/>
      <c r="L40" s="24"/>
      <c r="M40" s="24"/>
    </row>
    <row r="45" spans="1:19" x14ac:dyDescent="0.3">
      <c r="O45" s="24"/>
      <c r="P45" s="24"/>
      <c r="Q45" s="24"/>
      <c r="R45" s="24"/>
    </row>
    <row r="46" spans="1:19" x14ac:dyDescent="0.3">
      <c r="C46" s="67"/>
      <c r="D46" s="25"/>
      <c r="E46" s="67"/>
      <c r="F46" s="67"/>
      <c r="G46" s="24"/>
      <c r="H46" s="24"/>
    </row>
    <row r="48" spans="1:19" x14ac:dyDescent="0.3">
      <c r="B48" s="26"/>
    </row>
    <row r="49" spans="1:20" x14ac:dyDescent="0.3">
      <c r="B49" s="123"/>
      <c r="S49" s="24"/>
    </row>
    <row r="50" spans="1:20" x14ac:dyDescent="0.3">
      <c r="B50" s="123"/>
      <c r="I50" s="124"/>
      <c r="J50" s="124"/>
      <c r="K50" s="124"/>
      <c r="L50" s="124"/>
      <c r="M50" s="124"/>
      <c r="N50" s="24"/>
    </row>
    <row r="51" spans="1:20" s="24" customFormat="1" x14ac:dyDescent="0.3">
      <c r="A51" s="106"/>
      <c r="B51" s="123"/>
      <c r="C51" s="70"/>
      <c r="D51" s="108"/>
      <c r="E51" s="70"/>
      <c r="F51" s="70"/>
      <c r="G51" s="106"/>
      <c r="H51" s="106"/>
      <c r="I51" s="124"/>
      <c r="J51" s="124"/>
      <c r="K51" s="124"/>
      <c r="L51" s="124"/>
      <c r="M51" s="124"/>
      <c r="N51" s="106"/>
      <c r="O51" s="106"/>
      <c r="P51" s="106"/>
      <c r="Q51" s="106"/>
      <c r="R51" s="106"/>
      <c r="S51" s="106"/>
    </row>
    <row r="52" spans="1:20" x14ac:dyDescent="0.3">
      <c r="A52" s="24"/>
      <c r="B52" s="123"/>
      <c r="I52" s="125"/>
      <c r="J52" s="125"/>
      <c r="K52" s="125"/>
      <c r="L52" s="125"/>
      <c r="M52" s="125"/>
    </row>
    <row r="53" spans="1:20" x14ac:dyDescent="0.3">
      <c r="B53" s="123"/>
      <c r="I53" s="125"/>
      <c r="J53" s="125"/>
      <c r="K53" s="125"/>
      <c r="L53" s="125"/>
      <c r="M53" s="125"/>
    </row>
    <row r="54" spans="1:20" x14ac:dyDescent="0.3">
      <c r="B54" s="123"/>
    </row>
    <row r="55" spans="1:20" x14ac:dyDescent="0.3">
      <c r="B55" s="123"/>
      <c r="C55" s="126"/>
      <c r="D55" s="127"/>
      <c r="E55" s="126"/>
      <c r="R55" s="125"/>
      <c r="S55" s="125"/>
      <c r="T55" s="125"/>
    </row>
    <row r="56" spans="1:20" ht="27.6" x14ac:dyDescent="0.3">
      <c r="B56" s="123"/>
      <c r="E56" s="126"/>
      <c r="F56" s="124"/>
      <c r="G56" s="125"/>
      <c r="H56" s="140" t="s">
        <v>85</v>
      </c>
      <c r="I56" s="129" t="str">
        <f>I28</f>
        <v>High End</v>
      </c>
      <c r="J56" s="128" t="str">
        <f>I29</f>
        <v>Central Tendency</v>
      </c>
      <c r="R56" s="141" t="s">
        <v>87</v>
      </c>
      <c r="S56" s="129" t="str">
        <f>S28</f>
        <v>High End</v>
      </c>
      <c r="T56" s="128" t="str">
        <f>S29</f>
        <v>Central Tendency</v>
      </c>
    </row>
    <row r="57" spans="1:20" ht="27.6" x14ac:dyDescent="0.3">
      <c r="H57" s="96" t="s">
        <v>170</v>
      </c>
      <c r="I57" s="130">
        <f>K28</f>
        <v>5.4998557877864945E-7</v>
      </c>
      <c r="J57" s="130">
        <f>K29</f>
        <v>1.5192612275568868E-7</v>
      </c>
      <c r="R57" s="89" t="s">
        <v>185</v>
      </c>
      <c r="S57" s="130">
        <f>U28</f>
        <v>1.5769054531085359E-3</v>
      </c>
      <c r="T57" s="130">
        <f>U29</f>
        <v>2.3278128117316474E-4</v>
      </c>
    </row>
    <row r="58" spans="1:20" ht="27.6" x14ac:dyDescent="0.3">
      <c r="H58" s="96" t="s">
        <v>171</v>
      </c>
      <c r="I58" s="130">
        <f>L28</f>
        <v>5.4998557877864943E-8</v>
      </c>
      <c r="J58" s="130">
        <f>L29</f>
        <v>1.5192612275568866E-8</v>
      </c>
      <c r="R58" s="89" t="s">
        <v>186</v>
      </c>
      <c r="S58" s="130">
        <f>V28</f>
        <v>3.1538109062170718E-4</v>
      </c>
      <c r="T58" s="130">
        <f>V29</f>
        <v>4.6556256234632951E-5</v>
      </c>
    </row>
    <row r="59" spans="1:20" ht="27.6" x14ac:dyDescent="0.3">
      <c r="H59" s="96" t="s">
        <v>172</v>
      </c>
      <c r="I59" s="130">
        <f>M28</f>
        <v>2.1999423151145978E-8</v>
      </c>
      <c r="J59" s="130">
        <f>M29</f>
        <v>6.0770449102275471E-9</v>
      </c>
      <c r="R59" s="89" t="s">
        <v>187</v>
      </c>
      <c r="S59" s="130">
        <f>W28</f>
        <v>1.5769054531085359E-4</v>
      </c>
      <c r="T59" s="130">
        <f>W29</f>
        <v>2.3278128117316475E-5</v>
      </c>
    </row>
    <row r="60" spans="1:20" ht="27.6" x14ac:dyDescent="0.3">
      <c r="A60" s="106" t="s">
        <v>188</v>
      </c>
      <c r="H60" s="96" t="s">
        <v>173</v>
      </c>
      <c r="I60" s="130">
        <f>N28</f>
        <v>1.0999711575572989E-8</v>
      </c>
      <c r="J60" s="130">
        <f>N29</f>
        <v>3.0385224551137736E-9</v>
      </c>
      <c r="R60" s="89" t="s">
        <v>189</v>
      </c>
      <c r="S60" s="130">
        <f>X28</f>
        <v>7.8845272655426795E-5</v>
      </c>
      <c r="T60" s="130">
        <f>X29</f>
        <v>1.1639064058658238E-5</v>
      </c>
    </row>
    <row r="61" spans="1:20" x14ac:dyDescent="0.3">
      <c r="H61" s="96" t="s">
        <v>174</v>
      </c>
      <c r="I61" s="130">
        <f>O28</f>
        <v>5.4998557877864946E-10</v>
      </c>
      <c r="J61" s="130">
        <f>O29</f>
        <v>1.5192612275568867E-10</v>
      </c>
      <c r="T61" s="131"/>
    </row>
    <row r="62" spans="1:20" x14ac:dyDescent="0.3">
      <c r="H62" s="96" t="s">
        <v>175</v>
      </c>
      <c r="I62" s="130">
        <f>P28</f>
        <v>5.4998557877864946E-11</v>
      </c>
      <c r="J62" s="130">
        <f>P29</f>
        <v>1.5192612275568869E-11</v>
      </c>
    </row>
  </sheetData>
  <sheetProtection algorithmName="SHA-512" hashValue="odCKvEOzRYkvRGvQYKDdpxTSHI+FHP5SZnPe/xeYKCSPOxrIm40zKQ1XCy+RX4Q5ONceUgwW+jHEr3uAx4B5PQ==" saltValue="uQuCxxkfAAZt/Dpxp9eQFA==" spinCount="100000" sheet="1" objects="1" scenarios="1" autoFilter="0"/>
  <dataConsolidate link="1"/>
  <mergeCells count="53">
    <mergeCell ref="D28:E29"/>
    <mergeCell ref="B28:B29"/>
    <mergeCell ref="H28:H29"/>
    <mergeCell ref="R28:R29"/>
    <mergeCell ref="R22:R23"/>
    <mergeCell ref="H26:H27"/>
    <mergeCell ref="R26:R27"/>
    <mergeCell ref="H24:H25"/>
    <mergeCell ref="R24:R25"/>
    <mergeCell ref="B24:B25"/>
    <mergeCell ref="F28:F29"/>
    <mergeCell ref="C22:C23"/>
    <mergeCell ref="F22:F23"/>
    <mergeCell ref="B22:B23"/>
    <mergeCell ref="B26:B27"/>
    <mergeCell ref="D22:E23"/>
    <mergeCell ref="R8:R9"/>
    <mergeCell ref="L19:M19"/>
    <mergeCell ref="S20:S21"/>
    <mergeCell ref="S8:S9"/>
    <mergeCell ref="R10:R11"/>
    <mergeCell ref="R12:R13"/>
    <mergeCell ref="R16:R17"/>
    <mergeCell ref="R14:R15"/>
    <mergeCell ref="U20:X20"/>
    <mergeCell ref="H20:H21"/>
    <mergeCell ref="I20:I21"/>
    <mergeCell ref="J20:J21"/>
    <mergeCell ref="R20:R21"/>
    <mergeCell ref="K20:P20"/>
    <mergeCell ref="T20:T21"/>
    <mergeCell ref="C20:C21"/>
    <mergeCell ref="I10:I11"/>
    <mergeCell ref="I12:I13"/>
    <mergeCell ref="C26:C27"/>
    <mergeCell ref="C24:C25"/>
    <mergeCell ref="F24:F25"/>
    <mergeCell ref="H22:H23"/>
    <mergeCell ref="H8:H9"/>
    <mergeCell ref="I8:I9"/>
    <mergeCell ref="F26:F27"/>
    <mergeCell ref="F20:F21"/>
    <mergeCell ref="D20:E21"/>
    <mergeCell ref="D24:E25"/>
    <mergeCell ref="D26:E27"/>
    <mergeCell ref="J22:J23"/>
    <mergeCell ref="J24:J25"/>
    <mergeCell ref="J26:J27"/>
    <mergeCell ref="J28:J29"/>
    <mergeCell ref="T22:T23"/>
    <mergeCell ref="T24:T25"/>
    <mergeCell ref="T26:T27"/>
    <mergeCell ref="T28:T29"/>
  </mergeCells>
  <conditionalFormatting sqref="J10:N13">
    <cfRule type="cellIs" dxfId="71" priority="7" operator="greaterThanOrEqual">
      <formula>10000</formula>
    </cfRule>
    <cfRule type="cellIs" dxfId="70" priority="8" operator="between">
      <formula>10</formula>
      <formula>9999.999</formula>
    </cfRule>
    <cfRule type="cellIs" dxfId="69" priority="9" operator="between">
      <formula>1</formula>
      <formula>9.999</formula>
    </cfRule>
    <cfRule type="cellIs" dxfId="68" priority="10" operator="between">
      <formula>0.1</formula>
      <formula>0.999</formula>
    </cfRule>
    <cfRule type="cellIs" dxfId="67" priority="11" operator="lessThan">
      <formula>0.1</formula>
    </cfRule>
    <cfRule type="cellIs" dxfId="66" priority="12" operator="equal">
      <formula>0</formula>
    </cfRule>
  </conditionalFormatting>
  <conditionalFormatting sqref="K22:P23">
    <cfRule type="cellIs" dxfId="65" priority="25" operator="greaterThanOrEqual">
      <formula>$J22</formula>
    </cfRule>
    <cfRule type="cellIs" dxfId="64" priority="26" operator="lessThan">
      <formula>$J22</formula>
    </cfRule>
  </conditionalFormatting>
  <conditionalFormatting sqref="K22:P29 U22:X29">
    <cfRule type="containsBlanks" dxfId="63" priority="65" stopIfTrue="1">
      <formula>LEN(TRIM(K22))=0</formula>
    </cfRule>
  </conditionalFormatting>
  <conditionalFormatting sqref="K24:P25">
    <cfRule type="cellIs" dxfId="62" priority="27" operator="greaterThanOrEqual">
      <formula>$J$24</formula>
    </cfRule>
    <cfRule type="cellIs" dxfId="61" priority="28" operator="lessThan">
      <formula>$J$24</formula>
    </cfRule>
  </conditionalFormatting>
  <conditionalFormatting sqref="K26:P27">
    <cfRule type="cellIs" dxfId="60" priority="29" operator="greaterThanOrEqual">
      <formula>$J$26</formula>
    </cfRule>
    <cfRule type="cellIs" dxfId="59" priority="30" operator="lessThan">
      <formula>$J$26</formula>
    </cfRule>
  </conditionalFormatting>
  <conditionalFormatting sqref="K28:P29">
    <cfRule type="cellIs" dxfId="58" priority="31" operator="lessThanOrEqual">
      <formula>$J$28</formula>
    </cfRule>
    <cfRule type="cellIs" dxfId="57" priority="32" operator="greaterThan">
      <formula>$J$28</formula>
    </cfRule>
  </conditionalFormatting>
  <conditionalFormatting sqref="T10:X17 K22:P29 U22:X29">
    <cfRule type="cellIs" dxfId="56" priority="41" operator="greaterThanOrEqual">
      <formula>10000</formula>
    </cfRule>
    <cfRule type="cellIs" dxfId="55" priority="42" operator="between">
      <formula>10</formula>
      <formula>9999.999</formula>
    </cfRule>
    <cfRule type="cellIs" dxfId="54" priority="47" operator="between">
      <formula>1</formula>
      <formula>9.999</formula>
    </cfRule>
    <cfRule type="cellIs" dxfId="53" priority="48" operator="between">
      <formula>0.1</formula>
      <formula>0.999</formula>
    </cfRule>
    <cfRule type="cellIs" dxfId="52" priority="63" operator="lessThan">
      <formula>0.1</formula>
    </cfRule>
  </conditionalFormatting>
  <conditionalFormatting sqref="U22:X23">
    <cfRule type="cellIs" dxfId="51" priority="33" operator="greaterThanOrEqual">
      <formula>$T$22</formula>
    </cfRule>
    <cfRule type="cellIs" dxfId="50" priority="34" operator="lessThan">
      <formula>$T$22</formula>
    </cfRule>
  </conditionalFormatting>
  <conditionalFormatting sqref="U24:X25">
    <cfRule type="cellIs" dxfId="49" priority="35" operator="greaterThanOrEqual">
      <formula>$T$24</formula>
    </cfRule>
    <cfRule type="cellIs" dxfId="48" priority="36" operator="lessThan">
      <formula>$T$24</formula>
    </cfRule>
  </conditionalFormatting>
  <conditionalFormatting sqref="U26:X27">
    <cfRule type="cellIs" dxfId="47" priority="37" operator="greaterThanOrEqual">
      <formula>$T$26</formula>
    </cfRule>
    <cfRule type="cellIs" dxfId="46" priority="38" operator="lessThan">
      <formula>$T$26</formula>
    </cfRule>
  </conditionalFormatting>
  <conditionalFormatting sqref="U28:X29">
    <cfRule type="cellIs" dxfId="45" priority="39" operator="lessThanOrEqual">
      <formula>$T$28</formula>
    </cfRule>
    <cfRule type="cellIs" dxfId="44" priority="40" operator="greaterThan">
      <formula>$T$28</formula>
    </cfRule>
  </conditionalFormatting>
  <dataValidations count="1">
    <dataValidation allowBlank="1" showErrorMessage="1" sqref="R8 H8 H12:H13 T8:T9 K8:K9" xr:uid="{B6FDB558-C6DA-450F-B0A7-6A9F371395FE}"/>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74547069-74A8-4F75-AC20-CEBEEFF5EC83}">
          <x14:formula1>
            <xm:f>'List Values'!$E$7:$E$8</xm:f>
          </x14:formula1>
          <xm:sqref>H4</xm:sqref>
        </x14:dataValidation>
        <x14:dataValidation type="list" allowBlank="1" showInputMessage="1" showErrorMessage="1" xr:uid="{4B54C11B-DEA7-49D0-AA19-68202475DFF7}">
          <x14:formula1>
            <xm:f>'List Values'!$B$19:$B$20</xm:f>
          </x14:formula1>
          <xm:sqref>K4</xm:sqref>
        </x14:dataValidation>
        <x14:dataValidation type="list" allowBlank="1" showInputMessage="1" showErrorMessage="1" xr:uid="{8602CD88-D0BD-48D5-BEAB-0380F5FB4B62}">
          <x14:formula1>
            <xm:f>'List Values'!$H$10:$H$11</xm:f>
          </x14:formula1>
          <xm:sqref>R4</xm:sqref>
        </x14:dataValidation>
        <x14:dataValidation type="list" allowBlank="1" showInputMessage="1" showErrorMessage="1" xr:uid="{EEB43209-65D0-4ECD-98C8-2D730F6098A1}">
          <x14:formula1>
            <xm:f>'List Values'!$B$2:$B$15</xm:f>
          </x14:formula1>
          <xm:sqref>J4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9850F-DA4A-4D3D-97A6-3832AB231949}">
  <sheetPr>
    <tabColor theme="0" tint="-0.499984740745262"/>
  </sheetPr>
  <dimension ref="B2:P14"/>
  <sheetViews>
    <sheetView workbookViewId="0">
      <selection activeCell="E7" sqref="E7"/>
    </sheetView>
  </sheetViews>
  <sheetFormatPr defaultColWidth="8.6640625" defaultRowHeight="14.4" x14ac:dyDescent="0.3"/>
  <cols>
    <col min="1" max="1" width="3.5546875" style="2" customWidth="1"/>
    <col min="2" max="2" width="22.21875" style="2" customWidth="1"/>
    <col min="3" max="3" width="20.44140625" style="2" bestFit="1" customWidth="1"/>
    <col min="4" max="4" width="33.5546875" style="2" customWidth="1"/>
    <col min="5" max="5" width="26.33203125" style="2" customWidth="1"/>
    <col min="6" max="6" width="8.6640625" style="2"/>
    <col min="7" max="7" width="13.44140625" style="2" customWidth="1"/>
    <col min="8" max="8" width="14.5546875" style="2" customWidth="1"/>
    <col min="9" max="9" width="20.6640625" style="2" customWidth="1"/>
    <col min="10" max="10" width="16.6640625" style="2" customWidth="1"/>
    <col min="11" max="11" width="20.5546875" style="2" customWidth="1"/>
    <col min="12" max="12" width="14.33203125" style="2" customWidth="1"/>
    <col min="13" max="13" width="6.44140625" style="2" customWidth="1"/>
    <col min="14" max="14" width="18.5546875" style="2" customWidth="1"/>
    <col min="15" max="15" width="18" style="2" customWidth="1"/>
    <col min="16" max="16" width="20.6640625" style="2" bestFit="1" customWidth="1"/>
    <col min="17" max="17" width="14.5546875" style="2" customWidth="1"/>
    <col min="18" max="18" width="6.5546875" style="2" customWidth="1"/>
    <col min="19" max="16384" width="8.6640625" style="2"/>
  </cols>
  <sheetData>
    <row r="2" spans="2:16" ht="18" x14ac:dyDescent="0.35">
      <c r="B2" s="1" t="s">
        <v>190</v>
      </c>
    </row>
    <row r="3" spans="2:16" ht="18" x14ac:dyDescent="0.35">
      <c r="B3" s="54"/>
      <c r="G3" s="150" t="s">
        <v>111</v>
      </c>
      <c r="H3" s="150" t="s">
        <v>16</v>
      </c>
      <c r="J3" s="43" t="s">
        <v>111</v>
      </c>
      <c r="K3" s="43" t="s">
        <v>16</v>
      </c>
    </row>
    <row r="4" spans="2:16" x14ac:dyDescent="0.3">
      <c r="B4" s="3"/>
      <c r="C4" s="4"/>
      <c r="D4" s="5"/>
      <c r="E4" s="5"/>
      <c r="F4" s="577" t="s">
        <v>191</v>
      </c>
      <c r="G4" s="577"/>
      <c r="H4" s="577"/>
      <c r="I4" s="577"/>
      <c r="J4" s="580" t="s">
        <v>192</v>
      </c>
      <c r="K4" s="581"/>
      <c r="N4" s="576" t="s">
        <v>193</v>
      </c>
      <c r="O4" s="577"/>
      <c r="P4" s="578"/>
    </row>
    <row r="5" spans="2:16" s="12" customFormat="1" ht="28.8" x14ac:dyDescent="0.3">
      <c r="B5" s="398"/>
      <c r="C5" s="579" t="s">
        <v>168</v>
      </c>
      <c r="D5" s="579"/>
      <c r="E5" s="394" t="s">
        <v>169</v>
      </c>
      <c r="F5" s="394" t="s">
        <v>194</v>
      </c>
      <c r="G5" s="395" t="s">
        <v>195</v>
      </c>
      <c r="H5" s="395" t="s">
        <v>196</v>
      </c>
      <c r="I5" s="395" t="s">
        <v>197</v>
      </c>
      <c r="J5" s="396" t="s">
        <v>198</v>
      </c>
      <c r="K5" s="397" t="s">
        <v>199</v>
      </c>
      <c r="N5" s="399"/>
      <c r="O5" s="395" t="s">
        <v>200</v>
      </c>
      <c r="P5" s="400" t="s">
        <v>201</v>
      </c>
    </row>
    <row r="6" spans="2:16" x14ac:dyDescent="0.3">
      <c r="B6" s="184" t="s">
        <v>180</v>
      </c>
      <c r="C6" s="342"/>
      <c r="D6" s="144" t="s">
        <v>319</v>
      </c>
      <c r="E6" s="338" t="s">
        <v>326</v>
      </c>
      <c r="F6" s="414" t="s">
        <v>66</v>
      </c>
      <c r="G6" s="401">
        <v>51.5</v>
      </c>
      <c r="H6" s="402">
        <v>9.4600000000000009</v>
      </c>
      <c r="I6" s="403">
        <v>30</v>
      </c>
      <c r="J6" s="404" t="s">
        <v>151</v>
      </c>
      <c r="K6" s="405" t="s">
        <v>151</v>
      </c>
      <c r="N6" s="6"/>
      <c r="O6" s="2" t="s">
        <v>51</v>
      </c>
      <c r="P6" s="7">
        <f>0.000001</f>
        <v>9.9999999999999995E-7</v>
      </c>
    </row>
    <row r="7" spans="2:16" ht="49.5" customHeight="1" x14ac:dyDescent="0.3">
      <c r="B7" s="184" t="s">
        <v>202</v>
      </c>
      <c r="C7" s="343"/>
      <c r="D7" s="341" t="s">
        <v>72</v>
      </c>
      <c r="E7" s="416" t="s">
        <v>182</v>
      </c>
      <c r="F7" s="415" t="s">
        <v>71</v>
      </c>
      <c r="G7" s="406">
        <v>14.9</v>
      </c>
      <c r="H7" s="407">
        <v>2.73</v>
      </c>
      <c r="I7" s="408">
        <v>30</v>
      </c>
      <c r="J7" s="404" t="s">
        <v>151</v>
      </c>
      <c r="K7" s="405" t="s">
        <v>151</v>
      </c>
      <c r="N7" s="6"/>
      <c r="O7" s="2" t="s">
        <v>54</v>
      </c>
      <c r="P7" s="7">
        <f>0.00001</f>
        <v>1.0000000000000001E-5</v>
      </c>
    </row>
    <row r="8" spans="2:16" ht="50.25" customHeight="1" x14ac:dyDescent="0.3">
      <c r="B8" s="185" t="s">
        <v>184</v>
      </c>
      <c r="C8" s="344" t="s">
        <v>110</v>
      </c>
      <c r="D8" s="340" t="s">
        <v>327</v>
      </c>
      <c r="E8" s="339" t="s">
        <v>328</v>
      </c>
      <c r="F8" s="344" t="s">
        <v>84</v>
      </c>
      <c r="G8" s="409" t="s">
        <v>151</v>
      </c>
      <c r="H8" s="410" t="s">
        <v>151</v>
      </c>
      <c r="I8" s="411">
        <v>1E-4</v>
      </c>
      <c r="J8" s="412">
        <v>4.5100000000000001E-3</v>
      </c>
      <c r="K8" s="413">
        <v>2.4500000000000001E-2</v>
      </c>
      <c r="N8" s="6"/>
      <c r="P8" s="7"/>
    </row>
    <row r="9" spans="2:16" x14ac:dyDescent="0.3">
      <c r="L9" s="333"/>
      <c r="M9" s="139"/>
      <c r="N9" s="8"/>
      <c r="O9" s="9"/>
      <c r="P9" s="149">
        <f>0.0001</f>
        <v>1E-4</v>
      </c>
    </row>
    <row r="10" spans="2:16" x14ac:dyDescent="0.3">
      <c r="L10" s="333"/>
    </row>
    <row r="11" spans="2:16" ht="48" customHeight="1" x14ac:dyDescent="0.3">
      <c r="N11" s="55" t="s">
        <v>203</v>
      </c>
      <c r="O11" s="55"/>
      <c r="P11" s="55"/>
    </row>
    <row r="12" spans="2:16" x14ac:dyDescent="0.3">
      <c r="N12" s="582">
        <f>O14/O13</f>
        <v>8.5642229149882648E-2</v>
      </c>
      <c r="O12" s="582"/>
      <c r="P12" s="57" t="s">
        <v>204</v>
      </c>
    </row>
    <row r="13" spans="2:16" x14ac:dyDescent="0.3">
      <c r="N13" s="56" t="s">
        <v>205</v>
      </c>
      <c r="O13" s="57">
        <v>285.49</v>
      </c>
      <c r="P13" s="57" t="s">
        <v>206</v>
      </c>
    </row>
    <row r="14" spans="2:16" x14ac:dyDescent="0.3">
      <c r="N14" s="56" t="s">
        <v>207</v>
      </c>
      <c r="O14" s="57">
        <v>24.45</v>
      </c>
      <c r="P14" s="57" t="s">
        <v>208</v>
      </c>
    </row>
  </sheetData>
  <sheetProtection algorithmName="SHA-512" hashValue="resgEk2pcct7UxOUC4w+kC2Xq6dBJ+Brec355vGsZNzrp5f5HiPmY65z0NrEyqDrifwBaLNPr+eTj2r/a2hOSw==" saltValue="kk8b5DaMPGC7rP9FWgB00w==" spinCount="100000" sheet="1" objects="1" scenarios="1" autoFilter="0"/>
  <mergeCells count="5">
    <mergeCell ref="N4:P4"/>
    <mergeCell ref="C5:D5"/>
    <mergeCell ref="J4:K4"/>
    <mergeCell ref="N12:O12"/>
    <mergeCell ref="F4:I4"/>
  </mergeCells>
  <hyperlinks>
    <hyperlink ref="E6" r:id="rId1" xr:uid="{B4F78A07-A076-48B3-9694-E9F0FD6CAA5D}"/>
    <hyperlink ref="E8" r:id="rId2" display="https://hero.epa.gov/hero/index.cfm/reference/details/reference_id/5469669" xr:uid="{792A62AD-0AFB-414C-A2D5-D255197EDACC}"/>
  </hyperlinks>
  <pageMargins left="0.7" right="0.7" top="0.75" bottom="0.75" header="0.3" footer="0.3"/>
  <pageSetup orientation="portrait" horizontalDpi="1200" verticalDpi="1200"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1D436-F3AB-430A-87F8-E5E9A0284860}">
  <sheetPr>
    <tabColor rgb="FF92D050"/>
  </sheetPr>
  <dimension ref="A1:AD363"/>
  <sheetViews>
    <sheetView zoomScale="80" zoomScaleNormal="80" workbookViewId="0">
      <pane xSplit="1" ySplit="7" topLeftCell="B8" activePane="bottomRight" state="frozen"/>
      <selection pane="topRight" activeCell="B1" sqref="B1"/>
      <selection pane="bottomLeft" activeCell="A8" sqref="A8"/>
      <selection pane="bottomRight" activeCell="H2" sqref="H2"/>
    </sheetView>
  </sheetViews>
  <sheetFormatPr defaultColWidth="9.33203125" defaultRowHeight="14.4" x14ac:dyDescent="0.3"/>
  <cols>
    <col min="1" max="1" width="2.6640625" style="345" customWidth="1"/>
    <col min="2" max="2" width="7.44140625" style="345" customWidth="1"/>
    <col min="3" max="3" width="21" style="345" customWidth="1"/>
    <col min="4" max="4" width="11.44140625" style="345" customWidth="1"/>
    <col min="5" max="5" width="19.77734375" style="345" customWidth="1"/>
    <col min="6" max="6" width="15.33203125" style="345" customWidth="1"/>
    <col min="7" max="7" width="19.33203125" style="345" customWidth="1"/>
    <col min="8" max="8" width="17.33203125" style="345" customWidth="1"/>
    <col min="9" max="9" width="10.6640625" style="345" customWidth="1"/>
    <col min="10" max="11" width="11.33203125" style="345" customWidth="1"/>
    <col min="12" max="13" width="12.44140625" style="345" customWidth="1"/>
    <col min="14" max="14" width="12.5546875" style="345" customWidth="1"/>
    <col min="15" max="15" width="11.33203125" style="345" customWidth="1"/>
    <col min="16" max="17" width="12.5546875" style="345" customWidth="1"/>
    <col min="18" max="18" width="11.33203125" style="345" customWidth="1"/>
    <col min="19" max="19" width="12.6640625" style="345" bestFit="1" customWidth="1"/>
    <col min="20" max="20" width="9.33203125" style="345"/>
    <col min="21" max="22" width="16.5546875" style="345" customWidth="1"/>
    <col min="23" max="23" width="19.44140625" style="345" customWidth="1"/>
    <col min="24" max="24" width="21" style="345" customWidth="1"/>
    <col min="25" max="25" width="9.33203125" style="345"/>
    <col min="26" max="26" width="9.5546875" style="345" customWidth="1"/>
    <col min="27" max="28" width="14.33203125" style="345" customWidth="1"/>
    <col min="29" max="29" width="12.6640625" style="345" customWidth="1"/>
    <col min="30" max="16384" width="9.33203125" style="345"/>
  </cols>
  <sheetData>
    <row r="1" spans="1:30" x14ac:dyDescent="0.3">
      <c r="A1" s="594"/>
      <c r="B1" s="594"/>
      <c r="C1" s="594"/>
      <c r="D1" s="594"/>
      <c r="E1" s="594"/>
      <c r="F1" s="594"/>
      <c r="G1" s="594"/>
      <c r="H1" s="594"/>
      <c r="I1" s="594"/>
      <c r="J1" s="594"/>
      <c r="K1" s="594"/>
      <c r="L1" s="594"/>
      <c r="M1" s="594"/>
      <c r="N1" s="594"/>
      <c r="O1" s="594"/>
      <c r="P1" s="594"/>
      <c r="Q1" s="594"/>
      <c r="R1" s="594"/>
      <c r="S1" s="594"/>
    </row>
    <row r="2" spans="1:30" ht="15" thickBot="1" x14ac:dyDescent="0.35">
      <c r="B2" s="583" t="s">
        <v>93</v>
      </c>
      <c r="C2" s="583"/>
      <c r="D2" s="583"/>
      <c r="E2" s="583"/>
      <c r="F2" s="583"/>
      <c r="G2" s="583"/>
    </row>
    <row r="3" spans="1:30" ht="15" thickBot="1" x14ac:dyDescent="0.35">
      <c r="L3" s="595" t="s">
        <v>94</v>
      </c>
      <c r="M3" s="596"/>
      <c r="N3" s="596"/>
      <c r="O3" s="596"/>
      <c r="P3" s="596"/>
      <c r="Q3" s="596"/>
      <c r="R3" s="596"/>
      <c r="S3" s="597"/>
    </row>
    <row r="4" spans="1:30" ht="15" thickBot="1" x14ac:dyDescent="0.35">
      <c r="L4" s="346">
        <f>'Health Data'!I6</f>
        <v>30</v>
      </c>
      <c r="M4" s="346">
        <f>'Health Data'!I7</f>
        <v>30</v>
      </c>
      <c r="N4" s="346">
        <f>'Health Data'!I7</f>
        <v>30</v>
      </c>
      <c r="O4" s="347">
        <f>'Health Data'!I8</f>
        <v>1E-4</v>
      </c>
      <c r="P4" s="346">
        <f>L4</f>
        <v>30</v>
      </c>
      <c r="Q4" s="346">
        <f>M4</f>
        <v>30</v>
      </c>
      <c r="R4" s="346">
        <f>N4</f>
        <v>30</v>
      </c>
      <c r="S4" s="347">
        <f>O4</f>
        <v>1E-4</v>
      </c>
      <c r="X4" s="311"/>
      <c r="Y4" s="348"/>
    </row>
    <row r="5" spans="1:30" ht="16.2" thickBot="1" x14ac:dyDescent="0.35">
      <c r="F5" s="349"/>
      <c r="X5" s="311"/>
      <c r="Y5" s="348"/>
    </row>
    <row r="6" spans="1:30" ht="15" thickBot="1" x14ac:dyDescent="0.35">
      <c r="B6" s="598" t="s">
        <v>95</v>
      </c>
      <c r="C6" s="598" t="s">
        <v>96</v>
      </c>
      <c r="D6" s="598" t="s">
        <v>97</v>
      </c>
      <c r="E6" s="598" t="s">
        <v>13</v>
      </c>
      <c r="F6" s="600" t="s">
        <v>98</v>
      </c>
      <c r="G6" s="602" t="s">
        <v>99</v>
      </c>
      <c r="H6" s="602" t="s">
        <v>100</v>
      </c>
      <c r="I6" s="602" t="s">
        <v>96</v>
      </c>
      <c r="J6" s="602" t="s">
        <v>101</v>
      </c>
      <c r="K6" s="602" t="s">
        <v>29</v>
      </c>
      <c r="L6" s="604" t="s">
        <v>102</v>
      </c>
      <c r="M6" s="605"/>
      <c r="N6" s="605"/>
      <c r="O6" s="606"/>
      <c r="P6" s="604" t="s">
        <v>103</v>
      </c>
      <c r="Q6" s="605"/>
      <c r="R6" s="605"/>
      <c r="S6" s="606"/>
      <c r="U6" s="591" t="s">
        <v>104</v>
      </c>
      <c r="V6" s="592"/>
      <c r="W6" s="592"/>
      <c r="X6" s="593"/>
    </row>
    <row r="7" spans="1:30" ht="54.6" thickBot="1" x14ac:dyDescent="0.35">
      <c r="A7" s="300"/>
      <c r="B7" s="599"/>
      <c r="C7" s="599"/>
      <c r="D7" s="599"/>
      <c r="E7" s="599"/>
      <c r="F7" s="601"/>
      <c r="G7" s="603"/>
      <c r="H7" s="603"/>
      <c r="I7" s="603"/>
      <c r="J7" s="603"/>
      <c r="K7" s="603"/>
      <c r="L7" s="350" t="s">
        <v>321</v>
      </c>
      <c r="M7" s="350" t="s">
        <v>105</v>
      </c>
      <c r="N7" s="350" t="s">
        <v>106</v>
      </c>
      <c r="O7" s="350" t="s">
        <v>329</v>
      </c>
      <c r="P7" s="351" t="s">
        <v>321</v>
      </c>
      <c r="Q7" s="352" t="s">
        <v>105</v>
      </c>
      <c r="R7" s="352" t="s">
        <v>106</v>
      </c>
      <c r="S7" s="352" t="s">
        <v>330</v>
      </c>
      <c r="U7" s="353" t="s">
        <v>107</v>
      </c>
      <c r="V7" s="354" t="s">
        <v>108</v>
      </c>
      <c r="W7" s="354" t="s">
        <v>109</v>
      </c>
      <c r="X7" s="354" t="s">
        <v>110</v>
      </c>
      <c r="AA7" s="355" t="s">
        <v>331</v>
      </c>
      <c r="AB7" s="356" t="s">
        <v>332</v>
      </c>
      <c r="AC7" s="357" t="s">
        <v>333</v>
      </c>
      <c r="AD7" s="358" t="s">
        <v>334</v>
      </c>
    </row>
    <row r="8" spans="1:30" ht="15" thickBot="1" x14ac:dyDescent="0.35">
      <c r="A8" s="359"/>
      <c r="B8" s="360">
        <v>1</v>
      </c>
      <c r="C8" s="361" t="s">
        <v>25</v>
      </c>
      <c r="D8" s="361" t="s">
        <v>111</v>
      </c>
      <c r="E8" s="362" t="s">
        <v>24</v>
      </c>
      <c r="F8" s="586" t="s">
        <v>112</v>
      </c>
      <c r="G8" s="586" t="s">
        <v>113</v>
      </c>
      <c r="H8" s="586" t="s">
        <v>114</v>
      </c>
      <c r="I8" s="586" t="s">
        <v>25</v>
      </c>
      <c r="J8" s="586" t="s">
        <v>115</v>
      </c>
      <c r="K8" s="584" t="s">
        <v>54</v>
      </c>
      <c r="L8" s="586">
        <f>IFERROR(IFERROR(VLOOKUP($D8,$Z$8:$AD$9,2,FALSE),0)/IF($D8="Inhalation",IF($K8="Central Tendency",SUMIFS('Inhalation Exposure'!$N$4:$N$61,'Inhalation Exposure'!$B$4:$B$61,$B8,'Inhalation Exposure'!$D$4:$D$61,$C8,'Inhalation Exposure'!$E$4:$E$61,$E8),SUMIFS('Inhalation Exposure'!$M$4:$M$61,'Inhalation Exposure'!$B$4:$B$61,$B8,'Inhalation Exposure'!$D$4:$D$61,$C8,'Inhalation Exposure'!$E$4:$E$61,$E8)),IF($K8="Central Tendency",SUMIFS('Dermal Crosswalk'!$P$5:$P$32,'Dermal Crosswalk'!$A$5:$A$32,'Bridge Table'!$B8,'Dermal Crosswalk'!$C$5:$C$32,'Bridge Table'!$E8),SUMIFS('Dermal Crosswalk'!$K$5:$K$32,'Dermal Crosswalk'!$A$5:$A$32,'Bridge Table'!$B8,'Dermal Crosswalk'!$C$5:$C$32,'Bridge Table'!$E8))),"--")</f>
        <v>6823.3651747465592</v>
      </c>
      <c r="M8" s="586">
        <f>IFERROR(IFERROR(VLOOKUP($D8,$Z$8:$AD$9,3,FALSE),0)/IF($D8="Inhalation",IF($K8="Central Tendency",SUMIFS('Inhalation Exposure'!$AB$4:$AB$61,'Inhalation Exposure'!$B$4:$B$61,$B8,'Inhalation Exposure'!$D$4:$D$61,$C8,'Inhalation Exposure'!$E$4:$E$61,$E8),SUMIFS('Inhalation Exposure'!$AA$4:$AA$61,'Inhalation Exposure'!$B$4:$B$61,$B8,'Inhalation Exposure'!$D$4:$D$61,$C8,'Inhalation Exposure'!$E$4:$E$61,$E8)),IF($K8="Central Tendency",SUMIFS('Dermal Crosswalk'!$S$5:$S$32,'Dermal Crosswalk'!$A$5:$A$32,'Bridge Table'!$B8,'Dermal Crosswalk'!$C$5:$C$32,'Bridge Table'!$E8),SUMIFS('Dermal Crosswalk'!$N$5:$N$32,'Dermal Crosswalk'!$A$5:$A$32,'Bridge Table'!$B8,'Dermal Crosswalk'!$C$5:$C$32,'Bridge Table'!$E8))),"--")</f>
        <v>13739.925283510502</v>
      </c>
      <c r="N8" s="586">
        <f>IFERROR(IFERROR(VLOOKUP($D8,$Z$8:$AD$9,4,FALSE),0)/IF($D8="Inhalation",IF($K8="Central Tendency",SUMIFS('Inhalation Exposure'!$R$4:$R$61,'Inhalation Exposure'!$B$4:$B$61,$B8,'Inhalation Exposure'!$D$4:$D$61,$C8,'Inhalation Exposure'!$E$4:$E$61,$E8),SUMIFS('Inhalation Exposure'!$Q$4:$Q$61,'Inhalation Exposure'!$B$4:$B$61,$B8,'Inhalation Exposure'!$D$4:$D$61,$C8,'Inhalation Exposure'!$E$4:$E$61,$E8)),IF($K8="Central Tendency",SUMIFS('Dermal Crosswalk'!$Q$5:$Q$32,'Dermal Crosswalk'!$A$5:$A$32,'Bridge Table'!$B8,'Dermal Crosswalk'!$C$5:$C$32,'Bridge Table'!$E8),SUMIFS('Dermal Crosswalk'!$L$5:$L$32,'Dermal Crosswalk'!$A$5:$A$32,'Bridge Table'!$B8,'Dermal Crosswalk'!$C$5:$C$32,'Bridge Table'!$E8))),"--")</f>
        <v>167169.09094937774</v>
      </c>
      <c r="O8" s="586">
        <f>IFERROR(IFERROR(VLOOKUP($D8,$Z$8:$AD$9,5,FALSE),0)*IF($D8="Inhalation",IF($K8="Central Tendency",SUMIFS('Inhalation Exposure'!$V$4:$V$61,'Inhalation Exposure'!$B$4:$B$61,$B8,'Inhalation Exposure'!$D$4:$D$61,$C8,'Inhalation Exposure'!$E$4:$E$61,$E8),SUMIFS('Inhalation Exposure'!$U$4:$U$61,'Inhalation Exposure'!$B$4:$B$61,$B8,'Inhalation Exposure'!$D$4:$D$61,$C8,'Inhalation Exposure'!$E$4:$E$61,$E8)),IF($K8="Central Tendency",SUMIFS('Dermal Crosswalk'!$R$5:$R$32,'Dermal Crosswalk'!$A$5:$A$32,'Bridge Table'!$B8,'Dermal Crosswalk'!$C$5:$C$32,'Bridge Table'!$E8),SUMIFS('Dermal Crosswalk'!$M$5:$M$32,'Dermal Crosswalk'!$A$5:$A$32,'Bridge Table'!$B8,'Dermal Crosswalk'!$C$5:$C$32,'Bridge Table'!$E8))),"--")</f>
        <v>1.5192612275568868E-7</v>
      </c>
      <c r="P8" s="363">
        <f>IFERROR(L8*U8,"Not Assessed")</f>
        <v>68233.651747465599</v>
      </c>
      <c r="Q8" s="363">
        <f>IFERROR(M8*V8,"Not Assessed")</f>
        <v>137399.25283510503</v>
      </c>
      <c r="R8" s="363">
        <f>IFERROR(N8*W8,"Not Assessed")</f>
        <v>1671690.9094937774</v>
      </c>
      <c r="S8" s="364">
        <f>IFERROR(O8/X8, "Not Assessed")</f>
        <v>1.5192612275568866E-8</v>
      </c>
      <c r="U8" s="365">
        <v>10</v>
      </c>
      <c r="V8" s="366">
        <v>10</v>
      </c>
      <c r="W8" s="366">
        <v>10</v>
      </c>
      <c r="X8" s="367">
        <v>10</v>
      </c>
      <c r="Z8" s="368" t="s">
        <v>111</v>
      </c>
      <c r="AA8" s="369">
        <f>'Health Data'!G6</f>
        <v>51.5</v>
      </c>
      <c r="AB8" s="370">
        <f>'Health Data'!G7</f>
        <v>14.9</v>
      </c>
      <c r="AC8" s="370">
        <f>'Health Data'!G7</f>
        <v>14.9</v>
      </c>
      <c r="AD8" s="371">
        <f>'Health Data'!J8</f>
        <v>4.5100000000000001E-3</v>
      </c>
    </row>
    <row r="9" spans="1:30" ht="15" thickBot="1" x14ac:dyDescent="0.35">
      <c r="A9" s="372"/>
      <c r="B9" s="360">
        <v>1</v>
      </c>
      <c r="C9" s="361" t="s">
        <v>25</v>
      </c>
      <c r="D9" s="361" t="s">
        <v>111</v>
      </c>
      <c r="E9" s="362" t="s">
        <v>24</v>
      </c>
      <c r="F9" s="589"/>
      <c r="G9" s="589"/>
      <c r="H9" s="589"/>
      <c r="I9" s="589"/>
      <c r="J9" s="589"/>
      <c r="K9" s="585"/>
      <c r="L9" s="587"/>
      <c r="M9" s="587"/>
      <c r="N9" s="587"/>
      <c r="O9" s="587"/>
      <c r="P9" s="373" t="str">
        <f>CONCATENATE("(APF ",U8,")")</f>
        <v>(APF 10)</v>
      </c>
      <c r="Q9" s="373" t="str">
        <f>CONCATENATE("(APF ",V8,")")</f>
        <v>(APF 10)</v>
      </c>
      <c r="R9" s="373" t="str">
        <f>CONCATENATE("(APF ",W8,")")</f>
        <v>(APF 10)</v>
      </c>
      <c r="S9" s="373" t="str">
        <f>CONCATENATE("(APF ",X8,")")</f>
        <v>(APF 10)</v>
      </c>
      <c r="U9" s="374" t="s">
        <v>116</v>
      </c>
      <c r="V9" s="375" t="s">
        <v>116</v>
      </c>
      <c r="W9" s="375" t="s">
        <v>116</v>
      </c>
      <c r="X9" s="376" t="s">
        <v>116</v>
      </c>
      <c r="Z9" s="368" t="s">
        <v>16</v>
      </c>
      <c r="AA9" s="369">
        <f>'Health Data'!H6</f>
        <v>9.4600000000000009</v>
      </c>
      <c r="AB9" s="377">
        <f>'Health Data'!H7</f>
        <v>2.73</v>
      </c>
      <c r="AC9" s="377">
        <f>'Health Data'!H7</f>
        <v>2.73</v>
      </c>
      <c r="AD9" s="371">
        <f>'Health Data'!K8</f>
        <v>2.4500000000000001E-2</v>
      </c>
    </row>
    <row r="10" spans="1:30" ht="15" thickBot="1" x14ac:dyDescent="0.35">
      <c r="A10" s="372"/>
      <c r="B10" s="360">
        <v>1</v>
      </c>
      <c r="C10" s="361" t="s">
        <v>25</v>
      </c>
      <c r="D10" s="361" t="s">
        <v>111</v>
      </c>
      <c r="E10" s="362" t="s">
        <v>24</v>
      </c>
      <c r="F10" s="589"/>
      <c r="G10" s="589"/>
      <c r="H10" s="589"/>
      <c r="I10" s="589"/>
      <c r="J10" s="589"/>
      <c r="K10" s="584" t="s">
        <v>88</v>
      </c>
      <c r="L10" s="586">
        <f>IFERROR(IFERROR(VLOOKUP($D10,$Z$8:$AD$9,2,FALSE),0)/IF($D10="Inhalation",IF($K10="Central Tendency",SUMIFS('Inhalation Exposure'!$N$4:$N$61,'Inhalation Exposure'!$B$4:$B$61,$B10,'Inhalation Exposure'!$D$4:$D$61,$C10,'Inhalation Exposure'!$E$4:$E$61,$E10),SUMIFS('Inhalation Exposure'!$M$4:$M$61,'Inhalation Exposure'!$B$4:$B$61,$B10,'Inhalation Exposure'!$D$4:$D$61,$C10,'Inhalation Exposure'!$E$4:$E$61,$E10)),IF($K10="Central Tendency",SUMIFS('Dermal Crosswalk'!$P$5:$P$32,'Dermal Crosswalk'!$A$5:$A$32,'Bridge Table'!$B10,'Dermal Crosswalk'!$C$5:$C$32,'Bridge Table'!$E10),SUMIFS('Dermal Crosswalk'!$K$5:$K$32,'Dermal Crosswalk'!$A$5:$A$32,'Bridge Table'!$B10,'Dermal Crosswalk'!$C$5:$C$32,'Bridge Table'!$E10))),"--")</f>
        <v>1854.3489227975804</v>
      </c>
      <c r="M10" s="586">
        <f>IFERROR(IFERROR(VLOOKUP($D10,$Z$8:$AD$9,3,FALSE),0)/IF($D10="Inhalation",IF($K10="Central Tendency",SUMIFS('Inhalation Exposure'!$AB$4:$AB$61,'Inhalation Exposure'!$B$4:$B$61,$B10,'Inhalation Exposure'!$D$4:$D$61,$C10,'Inhalation Exposure'!$E$4:$E$61,$E10),SUMIFS('Inhalation Exposure'!$AA$4:$AA$61,'Inhalation Exposure'!$B$4:$B$61,$B10,'Inhalation Exposure'!$D$4:$D$61,$C10,'Inhalation Exposure'!$E$4:$E$61,$E10)),IF($K10="Central Tendency",SUMIFS('Dermal Crosswalk'!$S$5:$S$32,'Dermal Crosswalk'!$A$5:$A$32,'Bridge Table'!$B10,'Dermal Crosswalk'!$C$5:$C$32,'Bridge Table'!$E10),SUMIFS('Dermal Crosswalk'!$N$5:$N$32,'Dermal Crosswalk'!$A$5:$A$32,'Bridge Table'!$B10,'Dermal Crosswalk'!$C$5:$C$32,'Bridge Table'!$E10))),"--")</f>
        <v>4006.2330573084873</v>
      </c>
      <c r="N10" s="586">
        <f>IFERROR(IFERROR(VLOOKUP($D10,$Z$8:$AD$9,4,FALSE),0)/IF($D10="Inhalation",IF($K10="Central Tendency",SUMIFS('Inhalation Exposure'!$R$4:$R$61,'Inhalation Exposure'!$B$4:$B$61,$B10,'Inhalation Exposure'!$D$4:$D$61,$C10,'Inhalation Exposure'!$E$4:$E$61,$E10),SUMIFS('Inhalation Exposure'!$Q$4:$Q$61,'Inhalation Exposure'!$B$4:$B$61,$B10,'Inhalation Exposure'!$D$4:$D$61,$C10,'Inhalation Exposure'!$E$4:$E$61,$E10)),IF($K10="Central Tendency",SUMIFS('Dermal Crosswalk'!$Q$5:$Q$32,'Dermal Crosswalk'!$A$5:$A$32,'Bridge Table'!$B10,'Dermal Crosswalk'!$C$5:$C$32,'Bridge Table'!$E10),SUMIFS('Dermal Crosswalk'!$L$5:$L$32,'Dermal Crosswalk'!$A$5:$A$32,'Bridge Table'!$B10,'Dermal Crosswalk'!$C$5:$C$32,'Bridge Table'!$E10))),"--")</f>
        <v>48742.50219725327</v>
      </c>
      <c r="O10" s="586">
        <f>IFERROR(IFERROR(VLOOKUP($D10,$Z$8:$AD$9,5,FALSE),0)*IF($D10="Inhalation",IF($K10="Central Tendency",SUMIFS('Inhalation Exposure'!$V$4:$V$61,'Inhalation Exposure'!$B$4:$B$61,$B10,'Inhalation Exposure'!$D$4:$D$61,$C10,'Inhalation Exposure'!$E$4:$E$61,$E10),SUMIFS('Inhalation Exposure'!$U$4:$U$61,'Inhalation Exposure'!$B$4:$B$61,$B10,'Inhalation Exposure'!$D$4:$D$61,$C10,'Inhalation Exposure'!$E$4:$E$61,$E10)),IF($K10="Central Tendency",SUMIFS('Dermal Crosswalk'!$R$5:$R$32,'Dermal Crosswalk'!$A$5:$A$32,'Bridge Table'!$B10,'Dermal Crosswalk'!$C$5:$C$32,'Bridge Table'!$E10),SUMIFS('Dermal Crosswalk'!$M$5:$M$32,'Dermal Crosswalk'!$A$5:$A$32,'Bridge Table'!$B10,'Dermal Crosswalk'!$C$5:$C$32,'Bridge Table'!$E10))),"--")</f>
        <v>5.4998557877864945E-7</v>
      </c>
      <c r="P10" s="363">
        <f>IFERROR(L10*U10,"Not Assessed")</f>
        <v>18543.489227975802</v>
      </c>
      <c r="Q10" s="363">
        <f>IFERROR(M10*V10,"Not Assessed")</f>
        <v>40062.330573084873</v>
      </c>
      <c r="R10" s="363">
        <f>IFERROR(N10*W10,"Not Assessed")</f>
        <v>487425.02197253273</v>
      </c>
      <c r="S10" s="364">
        <f>IFERROR(O10/X10, "Not Assessed")</f>
        <v>5.4998557877864943E-8</v>
      </c>
      <c r="U10" s="378">
        <v>10</v>
      </c>
      <c r="V10" s="379">
        <v>10</v>
      </c>
      <c r="W10" s="379">
        <v>10</v>
      </c>
      <c r="X10" s="380">
        <v>10</v>
      </c>
      <c r="AC10" s="381"/>
    </row>
    <row r="11" spans="1:30" ht="15" thickBot="1" x14ac:dyDescent="0.35">
      <c r="A11" s="372"/>
      <c r="B11" s="360">
        <v>1</v>
      </c>
      <c r="C11" s="361" t="s">
        <v>25</v>
      </c>
      <c r="D11" s="361" t="s">
        <v>111</v>
      </c>
      <c r="E11" s="362" t="s">
        <v>24</v>
      </c>
      <c r="F11" s="589"/>
      <c r="G11" s="589"/>
      <c r="H11" s="589"/>
      <c r="I11" s="590"/>
      <c r="J11" s="590"/>
      <c r="K11" s="588"/>
      <c r="L11" s="587"/>
      <c r="M11" s="587"/>
      <c r="N11" s="587"/>
      <c r="O11" s="587"/>
      <c r="P11" s="373" t="str">
        <f>CONCATENATE("(APF ",U10,")")</f>
        <v>(APF 10)</v>
      </c>
      <c r="Q11" s="373" t="str">
        <f>CONCATENATE("(APF ",V10,")")</f>
        <v>(APF 10)</v>
      </c>
      <c r="R11" s="373" t="str">
        <f>CONCATENATE("(APF ",W10,")")</f>
        <v>(APF 10)</v>
      </c>
      <c r="S11" s="373" t="str">
        <f>CONCATENATE("(APF ",X10,")")</f>
        <v>(APF 10)</v>
      </c>
      <c r="U11" s="374" t="s">
        <v>116</v>
      </c>
      <c r="V11" s="375" t="s">
        <v>116</v>
      </c>
      <c r="W11" s="375" t="s">
        <v>116</v>
      </c>
      <c r="X11" s="376" t="s">
        <v>116</v>
      </c>
    </row>
    <row r="12" spans="1:30" ht="15" thickBot="1" x14ac:dyDescent="0.35">
      <c r="A12" s="372"/>
      <c r="B12" s="360">
        <v>1</v>
      </c>
      <c r="C12" s="361" t="s">
        <v>25</v>
      </c>
      <c r="D12" s="361" t="s">
        <v>111</v>
      </c>
      <c r="E12" s="362" t="s">
        <v>117</v>
      </c>
      <c r="F12" s="589"/>
      <c r="G12" s="589"/>
      <c r="H12" s="589"/>
      <c r="I12" s="586" t="s">
        <v>25</v>
      </c>
      <c r="J12" s="586" t="s">
        <v>115</v>
      </c>
      <c r="K12" s="584" t="s">
        <v>54</v>
      </c>
      <c r="L12" s="586">
        <f>IFERROR(IFERROR(VLOOKUP($D12,$Z$8:$AD$9,2,FALSE),0)/IF($D12="Inhalation",IF($K12="Central Tendency",SUMIFS('Inhalation Exposure'!$N$4:$N$61,'Inhalation Exposure'!$B$4:$B$61,$B12,'Inhalation Exposure'!$D$4:$D$61,$C12,'Inhalation Exposure'!$E$4:$E$61,$E12),SUMIFS('Inhalation Exposure'!$M$4:$M$61,'Inhalation Exposure'!$B$4:$B$61,$B12,'Inhalation Exposure'!$D$4:$D$61,$C12,'Inhalation Exposure'!$E$4:$E$61,$E12)),IF($K12="Central Tendency",SUMIFS('Dermal Crosswalk'!$P$5:$P$32,'Dermal Crosswalk'!$A$5:$A$32,'Bridge Table'!$B12,'Dermal Crosswalk'!$C$5:$C$32,'Bridge Table'!$E12),SUMIFS('Dermal Crosswalk'!$K$5:$K$32,'Dermal Crosswalk'!$A$5:$A$32,'Bridge Table'!$B12,'Dermal Crosswalk'!$C$5:$C$32,'Bridge Table'!$E12))),"--")</f>
        <v>6798.7621725127019</v>
      </c>
      <c r="M12" s="586">
        <f>IFERROR(IFERROR(VLOOKUP($D12,$Z$8:$AD$9,3,FALSE),0)/IF($D12="Inhalation",IF($K12="Central Tendency",SUMIFS('Inhalation Exposure'!$AB$4:$AB$61,'Inhalation Exposure'!$B$4:$B$61,$B12,'Inhalation Exposure'!$D$4:$D$61,$C12,'Inhalation Exposure'!$E$4:$E$61,$E12),SUMIFS('Inhalation Exposure'!$AA$4:$AA$61,'Inhalation Exposure'!$B$4:$B$61,$B12,'Inhalation Exposure'!$D$4:$D$61,$C12,'Inhalation Exposure'!$E$4:$E$61,$E12)),IF($K12="Central Tendency",SUMIFS('Dermal Crosswalk'!$S$5:$S$32,'Dermal Crosswalk'!$A$5:$A$32,'Bridge Table'!$B12,'Dermal Crosswalk'!$C$5:$C$32,'Bridge Table'!$E12),SUMIFS('Dermal Crosswalk'!$N$5:$N$32,'Dermal Crosswalk'!$A$5:$A$32,'Bridge Table'!$B12,'Dermal Crosswalk'!$C$5:$C$32,'Bridge Table'!$E12))),"--")</f>
        <v>2682.3006982464053</v>
      </c>
      <c r="N12" s="586">
        <f>IFERROR(IFERROR(VLOOKUP($D12,$Z$8:$AD$9,4,FALSE),0)/IF($D12="Inhalation",IF($K12="Central Tendency",SUMIFS('Inhalation Exposure'!$R$4:$R$61,'Inhalation Exposure'!$B$4:$B$61,$B12,'Inhalation Exposure'!$D$4:$D$61,$C12,'Inhalation Exposure'!$E$4:$E$61,$E12),SUMIFS('Inhalation Exposure'!$Q$4:$Q$61,'Inhalation Exposure'!$B$4:$B$61,$B12,'Inhalation Exposure'!$D$4:$D$61,$C12,'Inhalation Exposure'!$E$4:$E$61,$E12)),IF($K12="Central Tendency",SUMIFS('Dermal Crosswalk'!$Q$5:$Q$32,'Dermal Crosswalk'!$A$5:$A$32,'Bridge Table'!$B12,'Dermal Crosswalk'!$C$5:$C$32,'Bridge Table'!$E12),SUMIFS('Dermal Crosswalk'!$L$5:$L$32,'Dermal Crosswalk'!$A$5:$A$32,'Bridge Table'!$B12,'Dermal Crosswalk'!$C$5:$C$32,'Bridge Table'!$E12))),"--")</f>
        <v>18636.104286398229</v>
      </c>
      <c r="O12" s="586">
        <f>IFERROR(IFERROR(VLOOKUP($D12,$Z$8:$AD$9,5,FALSE),0)*IF($D12="Inhalation",IF($K12="Central Tendency",SUMIFS('Inhalation Exposure'!$V$4:$V$61,'Inhalation Exposure'!$B$4:$B$61,$B12,'Inhalation Exposure'!$D$4:$D$61,$C12,'Inhalation Exposure'!$E$4:$E$61,$E12),SUMIFS('Inhalation Exposure'!$U$4:$U$61,'Inhalation Exposure'!$B$4:$B$61,$B12,'Inhalation Exposure'!$D$4:$D$61,$C12,'Inhalation Exposure'!$E$4:$E$61,$E12)),IF($K12="Central Tendency",SUMIFS('Dermal Crosswalk'!$R$5:$R$32,'Dermal Crosswalk'!$A$5:$A$32,'Bridge Table'!$B12,'Dermal Crosswalk'!$C$5:$C$32,'Bridge Table'!$E12),SUMIFS('Dermal Crosswalk'!$M$5:$M$32,'Dermal Crosswalk'!$A$5:$A$32,'Bridge Table'!$B12,'Dermal Crosswalk'!$C$5:$C$32,'Bridge Table'!$E12))),"--")</f>
        <v>1.3660251726324949E-6</v>
      </c>
      <c r="P12" s="363">
        <f>IFERROR(L12*U12,"Not Assessed")</f>
        <v>67987.621725127014</v>
      </c>
      <c r="Q12" s="363">
        <f>IFERROR(M12*V12,"Not Assessed")</f>
        <v>26823.006982464052</v>
      </c>
      <c r="R12" s="363">
        <f>IFERROR(N12*W12,"Not Assessed")</f>
        <v>186361.04286398229</v>
      </c>
      <c r="S12" s="364">
        <f>IFERROR(O12/X12, "Not Assessed")</f>
        <v>1.3660251726324949E-7</v>
      </c>
      <c r="U12" s="378">
        <v>10</v>
      </c>
      <c r="V12" s="379">
        <v>10</v>
      </c>
      <c r="W12" s="379">
        <v>10</v>
      </c>
      <c r="X12" s="380">
        <v>10</v>
      </c>
    </row>
    <row r="13" spans="1:30" ht="15" thickBot="1" x14ac:dyDescent="0.35">
      <c r="A13" s="372"/>
      <c r="B13" s="360">
        <v>1</v>
      </c>
      <c r="C13" s="361" t="s">
        <v>25</v>
      </c>
      <c r="D13" s="361" t="s">
        <v>111</v>
      </c>
      <c r="E13" s="362" t="s">
        <v>117</v>
      </c>
      <c r="F13" s="589"/>
      <c r="G13" s="589"/>
      <c r="H13" s="589"/>
      <c r="I13" s="589"/>
      <c r="J13" s="589"/>
      <c r="K13" s="585"/>
      <c r="L13" s="587"/>
      <c r="M13" s="587"/>
      <c r="N13" s="587"/>
      <c r="O13" s="587"/>
      <c r="P13" s="373" t="str">
        <f>CONCATENATE("(APF ",U12,")")</f>
        <v>(APF 10)</v>
      </c>
      <c r="Q13" s="373" t="str">
        <f>CONCATENATE("(APF ",V12,")")</f>
        <v>(APF 10)</v>
      </c>
      <c r="R13" s="373" t="str">
        <f>CONCATENATE("(APF ",W12,")")</f>
        <v>(APF 10)</v>
      </c>
      <c r="S13" s="373" t="str">
        <f>CONCATENATE("(APF ",X12,")")</f>
        <v>(APF 10)</v>
      </c>
      <c r="U13" s="374" t="s">
        <v>116</v>
      </c>
      <c r="V13" s="375" t="s">
        <v>116</v>
      </c>
      <c r="W13" s="375" t="s">
        <v>116</v>
      </c>
      <c r="X13" s="376" t="s">
        <v>116</v>
      </c>
    </row>
    <row r="14" spans="1:30" ht="15" thickBot="1" x14ac:dyDescent="0.35">
      <c r="A14" s="372"/>
      <c r="B14" s="360">
        <v>1</v>
      </c>
      <c r="C14" s="361" t="s">
        <v>25</v>
      </c>
      <c r="D14" s="361" t="s">
        <v>111</v>
      </c>
      <c r="E14" s="362" t="s">
        <v>117</v>
      </c>
      <c r="F14" s="589"/>
      <c r="G14" s="589"/>
      <c r="H14" s="589"/>
      <c r="I14" s="589"/>
      <c r="J14" s="589"/>
      <c r="K14" s="584" t="s">
        <v>88</v>
      </c>
      <c r="L14" s="586">
        <f>IFERROR(IFERROR(VLOOKUP($D14,$Z$8:$AD$9,2,FALSE),0)/IF($D14="Inhalation",IF($K14="Central Tendency",SUMIFS('Inhalation Exposure'!$N$4:$N$61,'Inhalation Exposure'!$B$4:$B$61,$B14,'Inhalation Exposure'!$D$4:$D$61,$C14,'Inhalation Exposure'!$E$4:$E$61,$E14),SUMIFS('Inhalation Exposure'!$M$4:$M$61,'Inhalation Exposure'!$B$4:$B$61,$B14,'Inhalation Exposure'!$D$4:$D$61,$C14,'Inhalation Exposure'!$E$4:$E$61,$E14)),IF($K14="Central Tendency",SUMIFS('Dermal Crosswalk'!$P$5:$P$32,'Dermal Crosswalk'!$A$5:$A$32,'Bridge Table'!$B14,'Dermal Crosswalk'!$C$5:$C$32,'Bridge Table'!$E14),SUMIFS('Dermal Crosswalk'!$K$5:$K$32,'Dermal Crosswalk'!$A$5:$A$32,'Bridge Table'!$B14,'Dermal Crosswalk'!$C$5:$C$32,'Bridge Table'!$E14))),"--")</f>
        <v>1847.2574152381869</v>
      </c>
      <c r="M14" s="586">
        <f>IFERROR(IFERROR(VLOOKUP($D14,$Z$8:$AD$9,3,FALSE),0)/IF($D14="Inhalation",IF($K14="Central Tendency",SUMIFS('Inhalation Exposure'!$AB$4:$AB$61,'Inhalation Exposure'!$B$4:$B$61,$B14,'Inhalation Exposure'!$D$4:$D$61,$C14,'Inhalation Exposure'!$E$4:$E$61,$E14),SUMIFS('Inhalation Exposure'!$AA$4:$AA$61,'Inhalation Exposure'!$B$4:$B$61,$B14,'Inhalation Exposure'!$D$4:$D$61,$C14,'Inhalation Exposure'!$E$4:$E$61,$E14)),IF($K14="Central Tendency",SUMIFS('Dermal Crosswalk'!$S$5:$S$32,'Dermal Crosswalk'!$A$5:$A$32,'Bridge Table'!$B14,'Dermal Crosswalk'!$C$5:$C$32,'Bridge Table'!$E14),SUMIFS('Dermal Crosswalk'!$N$5:$N$32,'Dermal Crosswalk'!$A$5:$A$32,'Bridge Table'!$B14,'Dermal Crosswalk'!$C$5:$C$32,'Bridge Table'!$E14))),"--")</f>
        <v>728.79440830668091</v>
      </c>
      <c r="N14" s="586">
        <f>IFERROR(IFERROR(VLOOKUP($D14,$Z$8:$AD$9,4,FALSE),0)/IF($D14="Inhalation",IF($K14="Central Tendency",SUMIFS('Inhalation Exposure'!$R$4:$R$61,'Inhalation Exposure'!$B$4:$B$61,$B14,'Inhalation Exposure'!$D$4:$D$61,$C14,'Inhalation Exposure'!$E$4:$E$61,$E14),SUMIFS('Inhalation Exposure'!$Q$4:$Q$61,'Inhalation Exposure'!$B$4:$B$61,$B14,'Inhalation Exposure'!$D$4:$D$61,$C14,'Inhalation Exposure'!$E$4:$E$61,$E14)),IF($K14="Central Tendency",SUMIFS('Dermal Crosswalk'!$Q$5:$Q$32,'Dermal Crosswalk'!$A$5:$A$32,'Bridge Table'!$B14,'Dermal Crosswalk'!$C$5:$C$32,'Bridge Table'!$E14),SUMIFS('Dermal Crosswalk'!$L$5:$L$32,'Dermal Crosswalk'!$A$5:$A$32,'Bridge Table'!$B14,'Dermal Crosswalk'!$C$5:$C$32,'Bridge Table'!$E14))),"--")</f>
        <v>5440.4103967819392</v>
      </c>
      <c r="O14" s="586">
        <f>IFERROR(IFERROR(VLOOKUP($D14,$Z$8:$AD$9,5,FALSE),0)*IF($D14="Inhalation",IF($K14="Central Tendency",SUMIFS('Inhalation Exposure'!$V$4:$V$61,'Inhalation Exposure'!$B$4:$B$61,$B14,'Inhalation Exposure'!$D$4:$D$61,$C14,'Inhalation Exposure'!$E$4:$E$61,$E14),SUMIFS('Inhalation Exposure'!$U$4:$U$61,'Inhalation Exposure'!$B$4:$B$61,$B14,'Inhalation Exposure'!$D$4:$D$61,$C14,'Inhalation Exposure'!$E$4:$E$61,$E14)),IF($K14="Central Tendency",SUMIFS('Dermal Crosswalk'!$R$5:$R$32,'Dermal Crosswalk'!$A$5:$A$32,'Bridge Table'!$B14,'Dermal Crosswalk'!$C$5:$C$32,'Bridge Table'!$E14),SUMIFS('Dermal Crosswalk'!$M$5:$M$32,'Dermal Crosswalk'!$A$5:$A$32,'Bridge Table'!$B14,'Dermal Crosswalk'!$C$5:$C$32,'Bridge Table'!$E14))),"--")</f>
        <v>4.9144526754933167E-6</v>
      </c>
      <c r="P14" s="363">
        <f>IFERROR(L14*U14,"Not Assessed")</f>
        <v>18472.574152381869</v>
      </c>
      <c r="Q14" s="363">
        <f>IFERROR(M14*V14,"Not Assessed")</f>
        <v>7287.9440830668091</v>
      </c>
      <c r="R14" s="363">
        <f>IFERROR(N14*W14,"Not Assessed")</f>
        <v>54404.103967819392</v>
      </c>
      <c r="S14" s="364">
        <f>IFERROR(O14/X14, "Not Assessed")</f>
        <v>4.9144526754933163E-7</v>
      </c>
      <c r="U14" s="378">
        <v>10</v>
      </c>
      <c r="V14" s="379">
        <v>10</v>
      </c>
      <c r="W14" s="379">
        <v>10</v>
      </c>
      <c r="X14" s="380">
        <v>10</v>
      </c>
    </row>
    <row r="15" spans="1:30" ht="15" thickBot="1" x14ac:dyDescent="0.35">
      <c r="A15" s="372"/>
      <c r="B15" s="360">
        <v>1</v>
      </c>
      <c r="C15" s="361" t="s">
        <v>25</v>
      </c>
      <c r="D15" s="361" t="s">
        <v>111</v>
      </c>
      <c r="E15" s="362" t="s">
        <v>117</v>
      </c>
      <c r="F15" s="589"/>
      <c r="G15" s="589"/>
      <c r="H15" s="589"/>
      <c r="I15" s="590"/>
      <c r="J15" s="590"/>
      <c r="K15" s="588"/>
      <c r="L15" s="587"/>
      <c r="M15" s="587"/>
      <c r="N15" s="587"/>
      <c r="O15" s="587"/>
      <c r="P15" s="373" t="str">
        <f>CONCATENATE("(APF ",U14,")")</f>
        <v>(APF 10)</v>
      </c>
      <c r="Q15" s="373" t="str">
        <f>CONCATENATE("(APF ",V14,")")</f>
        <v>(APF 10)</v>
      </c>
      <c r="R15" s="373" t="str">
        <f>CONCATENATE("(APF ",W14,")")</f>
        <v>(APF 10)</v>
      </c>
      <c r="S15" s="373" t="str">
        <f>CONCATENATE("(APF ",X14,")")</f>
        <v>(APF 10)</v>
      </c>
      <c r="U15" s="374" t="s">
        <v>116</v>
      </c>
      <c r="V15" s="375" t="s">
        <v>116</v>
      </c>
      <c r="W15" s="375" t="s">
        <v>116</v>
      </c>
      <c r="X15" s="376" t="s">
        <v>116</v>
      </c>
    </row>
    <row r="16" spans="1:30" ht="15" thickBot="1" x14ac:dyDescent="0.35">
      <c r="A16" s="372"/>
      <c r="B16" s="360">
        <v>1</v>
      </c>
      <c r="C16" s="361" t="s">
        <v>53</v>
      </c>
      <c r="D16" s="361" t="s">
        <v>111</v>
      </c>
      <c r="E16" s="362" t="s">
        <v>24</v>
      </c>
      <c r="F16" s="589"/>
      <c r="G16" s="589"/>
      <c r="H16" s="589"/>
      <c r="I16" s="589" t="s">
        <v>53</v>
      </c>
      <c r="J16" s="586" t="s">
        <v>115</v>
      </c>
      <c r="K16" s="584" t="s">
        <v>54</v>
      </c>
      <c r="L16" s="586" t="str">
        <f>IFERROR(IFERROR(VLOOKUP($D16,$Z$8:$AD$9,2,FALSE),0)/IF($D16="Inhalation",IF($K16="Central Tendency",SUMIFS('Inhalation Exposure'!$L$4:$L$60,'Inhalation Exposure'!$B$4:$B$60,$B16,'Inhalation Exposure'!$D$4:$D$60,$C16,'Inhalation Exposure'!$E$4:$E$60,$E16),SUMIFS('Inhalation Exposure'!$K$4:$K$60,'Inhalation Exposure'!$B$4:$B$60,$B16,'Inhalation Exposure'!$D$4:$D$60,$C16,'Inhalation Exposure'!$E$4:$E$60,$E16)),IF($K16="Central Tendency",SUMIFS('Dermal Crosswalk'!$P$5:$P$32,'Dermal Crosswalk'!$A$5:$A$32,'Bridge Table'!$B16,'Dermal Crosswalk'!$C$5:$C$32,'Bridge Table'!$E16),SUMIFS('Dermal Crosswalk'!$K$5:$K$32,'Dermal Crosswalk'!$A$5:$A$32,'Bridge Table'!$B16,'Dermal Crosswalk'!$C$5:$C$32,'Bridge Table'!$E16))),"--")</f>
        <v>--</v>
      </c>
      <c r="M16" s="586" t="str">
        <f>IFERROR(IFERROR(VLOOKUP($D16,$Z$8:$AD$9,3,FALSE),0)/IF($D16="Inhalation",IF($K16="Central Tendency",SUMIFS('Inhalation Exposure'!$AB$4:$AB$60,'Inhalation Exposure'!$B$4:$B$60,$B16,'Inhalation Exposure'!$D$4:$D$60,$C16,'Inhalation Exposure'!$E$4:$E$60,$E16),SUMIFS('Inhalation Exposure'!$AA$4:$AA$60,'Inhalation Exposure'!$B$4:$B$60,$B16,'Inhalation Exposure'!$D$4:$D$60,$C16,'Inhalation Exposure'!$E$4:$E$60,$E16)),IF($K16="Central Tendency",SUMIFS('Dermal Crosswalk'!$S$5:$S$32,'Dermal Crosswalk'!$A$5:$A$32,'Bridge Table'!$B16,'Dermal Crosswalk'!$C$5:$C$32,'Bridge Table'!$E16),SUMIFS('Dermal Crosswalk'!$N$5:$N$32,'Dermal Crosswalk'!$A$5:$A$32,'Bridge Table'!$B16,'Dermal Crosswalk'!$C$5:$C$32,'Bridge Table'!$E16))),"--")</f>
        <v>--</v>
      </c>
      <c r="N16" s="586" t="str">
        <f>IFERROR(IFERROR(VLOOKUP($D16,$Z$8:$AD$9,4,FALSE),0)/IF($D16="Inhalation",IF($K16="Central Tendency",SUMIFS('Inhalation Exposure'!$R$4:$R$60,'Inhalation Exposure'!$B$4:$B$60,$B16,'Inhalation Exposure'!$D$4:$D$60,$C16,'Inhalation Exposure'!$E$4:$E$60,$E16),SUMIFS('Inhalation Exposure'!$Q$4:$Q$60,'Inhalation Exposure'!$B$4:$B$60,$B16,'Inhalation Exposure'!$D$4:$D$60,$C16,'Inhalation Exposure'!$E$4:$E$60,$E16)),IF($K16="Central Tendency",SUMIFS('Dermal Crosswalk'!$Q$5:$Q$32,'Dermal Crosswalk'!$A$5:$A$32,'Bridge Table'!$B16,'Dermal Crosswalk'!$C$5:$C$32,'Bridge Table'!$E16),SUMIFS('Dermal Crosswalk'!$L$5:$L$32,'Dermal Crosswalk'!$A$5:$A$32,'Bridge Table'!$B16,'Dermal Crosswalk'!$C$5:$C$32,'Bridge Table'!$E16))),"--")</f>
        <v>--</v>
      </c>
      <c r="O16" s="586" t="str">
        <f>IF(IFERROR(VLOOKUP($D16,$Z$8:$AD$9,5,FALSE),0)*IF($D16="Inhalation",IF($K16="Central Tendency",SUMIFS('Inhalation Exposure'!$V$4:$V$60,'Inhalation Exposure'!$B$4:$B$60,$B16,'Inhalation Exposure'!$D$4:$D$60,$C16,'Inhalation Exposure'!$E$4:$E$60,$E16),SUMIFS('Inhalation Exposure'!$U$4:$U$60,'Inhalation Exposure'!$B$4:$B$60,$B16,'Inhalation Exposure'!$D$4:$D$60,$C16,'Inhalation Exposure'!$E$4:$E$60,$E16)),IF($K16="Central Tendency",SUMIFS('Dermal Crosswalk'!$R$5:$R$32,'Dermal Crosswalk'!$A$5:$A$32,'Bridge Table'!$B16,'Dermal Crosswalk'!$C$5:$C$32,'Bridge Table'!$E16),SUMIFS('Dermal Crosswalk'!$M$5:$M$32,'Dermal Crosswalk'!$A$5:$A$32,'Bridge Table'!$B16,'Dermal Crosswalk'!$C$5:$C$32,'Bridge Table'!$E16)))=0,"--",IFERROR(VLOOKUP($D16,$Z$8:$AD$9,5,FALSE),0)*IF($D16="Inhalation",IF($K16="Central Tendency",SUMIFS('Inhalation Exposure'!$V$4:$V$60,'Inhalation Exposure'!$B$4:$B$60,$B16,'Inhalation Exposure'!$D$4:$D$60,$C16,'Inhalation Exposure'!$E$4:$E$60,$E16),SUMIFS('Inhalation Exposure'!$U$4:$U$60,'Inhalation Exposure'!$B$4:$B$60,$B16,'Inhalation Exposure'!$D$4:$D$60,$C16,'Inhalation Exposure'!$E$4:$E$60,$E16)),IF($K16="Central Tendency",SUMIFS('Dermal Crosswalk'!$R$5:$R$32,'Dermal Crosswalk'!$A$5:$A$32,'Bridge Table'!$B16,'Dermal Crosswalk'!$C$5:$C$32,'Bridge Table'!$E16),SUMIFS('Dermal Crosswalk'!$M$5:$M$32,'Dermal Crosswalk'!$A$5:$A$32,'Bridge Table'!$B16,'Dermal Crosswalk'!$C$5:$C$32,'Bridge Table'!$E16))))</f>
        <v>--</v>
      </c>
      <c r="P16" s="610" t="s">
        <v>118</v>
      </c>
      <c r="Q16" s="610" t="s">
        <v>118</v>
      </c>
      <c r="R16" s="610" t="s">
        <v>118</v>
      </c>
      <c r="S16" s="610" t="s">
        <v>118</v>
      </c>
      <c r="U16" s="612" t="s">
        <v>118</v>
      </c>
      <c r="V16" s="614" t="s">
        <v>118</v>
      </c>
      <c r="W16" s="614" t="s">
        <v>118</v>
      </c>
      <c r="X16" s="616" t="s">
        <v>118</v>
      </c>
    </row>
    <row r="17" spans="1:29" ht="15" thickBot="1" x14ac:dyDescent="0.35">
      <c r="A17" s="372"/>
      <c r="B17" s="360">
        <v>1</v>
      </c>
      <c r="C17" s="361" t="s">
        <v>53</v>
      </c>
      <c r="D17" s="361" t="s">
        <v>111</v>
      </c>
      <c r="E17" s="362" t="s">
        <v>24</v>
      </c>
      <c r="F17" s="589"/>
      <c r="G17" s="589"/>
      <c r="H17" s="589"/>
      <c r="I17" s="589"/>
      <c r="J17" s="589"/>
      <c r="K17" s="585"/>
      <c r="L17" s="587"/>
      <c r="M17" s="587"/>
      <c r="N17" s="587"/>
      <c r="O17" s="587"/>
      <c r="P17" s="611"/>
      <c r="Q17" s="611"/>
      <c r="R17" s="611"/>
      <c r="S17" s="611"/>
      <c r="U17" s="613"/>
      <c r="V17" s="615"/>
      <c r="W17" s="615"/>
      <c r="X17" s="617"/>
    </row>
    <row r="18" spans="1:29" ht="15" thickBot="1" x14ac:dyDescent="0.35">
      <c r="A18" s="372"/>
      <c r="B18" s="360">
        <v>1</v>
      </c>
      <c r="C18" s="361" t="s">
        <v>53</v>
      </c>
      <c r="D18" s="361" t="s">
        <v>111</v>
      </c>
      <c r="E18" s="362" t="s">
        <v>24</v>
      </c>
      <c r="F18" s="589"/>
      <c r="G18" s="589"/>
      <c r="H18" s="589"/>
      <c r="I18" s="589"/>
      <c r="J18" s="589"/>
      <c r="K18" s="584" t="s">
        <v>88</v>
      </c>
      <c r="L18" s="586" t="str">
        <f>IFERROR(IFERROR(VLOOKUP($D18,$Z$8:$AD$9,2,FALSE),0)/IF($D18="Inhalation",IF($K18="Central Tendency",SUMIFS('Inhalation Exposure'!$L$4:$L$60,'Inhalation Exposure'!$B$4:$B$60,$B18,'Inhalation Exposure'!$D$4:$D$60,$C18,'Inhalation Exposure'!$E$4:$E$60,$E18),SUMIFS('Inhalation Exposure'!$K$4:$K$60,'Inhalation Exposure'!$B$4:$B$60,$B18,'Inhalation Exposure'!$D$4:$D$60,$C18,'Inhalation Exposure'!$E$4:$E$60,$E18)),IF($K18="Central Tendency",SUMIFS('Dermal Crosswalk'!$P$5:$P$32,'Dermal Crosswalk'!$A$5:$A$32,'Bridge Table'!$B18,'Dermal Crosswalk'!$C$5:$C$32,'Bridge Table'!$E18),SUMIFS('Dermal Crosswalk'!$K$5:$K$32,'Dermal Crosswalk'!$A$5:$A$32,'Bridge Table'!$B18,'Dermal Crosswalk'!$C$5:$C$32,'Bridge Table'!$E18))),"--")</f>
        <v>--</v>
      </c>
      <c r="M18" s="586" t="str">
        <f>IFERROR(IFERROR(VLOOKUP($D18,$Z$8:$AD$9,3,FALSE),0)/IF($D18="Inhalation",IF($K18="Central Tendency",SUMIFS('Inhalation Exposure'!$AB$4:$AB$60,'Inhalation Exposure'!$B$4:$B$60,$B18,'Inhalation Exposure'!$D$4:$D$60,$C18,'Inhalation Exposure'!$E$4:$E$60,$E18),SUMIFS('Inhalation Exposure'!$AA$4:$AA$60,'Inhalation Exposure'!$B$4:$B$60,$B18,'Inhalation Exposure'!$D$4:$D$60,$C18,'Inhalation Exposure'!$E$4:$E$60,$E18)),IF($K18="Central Tendency",SUMIFS('Dermal Crosswalk'!$S$5:$S$32,'Dermal Crosswalk'!$A$5:$A$32,'Bridge Table'!$B18,'Dermal Crosswalk'!$C$5:$C$32,'Bridge Table'!$E18),SUMIFS('Dermal Crosswalk'!$N$5:$N$32,'Dermal Crosswalk'!$A$5:$A$32,'Bridge Table'!$B18,'Dermal Crosswalk'!$C$5:$C$32,'Bridge Table'!$E18))),"--")</f>
        <v>--</v>
      </c>
      <c r="N18" s="586" t="str">
        <f>IFERROR(IFERROR(VLOOKUP($D18,$Z$8:$AD$9,4,FALSE),0)/IF($D18="Inhalation",IF($K18="Central Tendency",SUMIFS('Inhalation Exposure'!$R$4:$R$60,'Inhalation Exposure'!$B$4:$B$60,$B18,'Inhalation Exposure'!$D$4:$D$60,$C18,'Inhalation Exposure'!$E$4:$E$60,$E18),SUMIFS('Inhalation Exposure'!$Q$4:$Q$60,'Inhalation Exposure'!$B$4:$B$60,$B18,'Inhalation Exposure'!$D$4:$D$60,$C18,'Inhalation Exposure'!$E$4:$E$60,$E18)),IF($K18="Central Tendency",SUMIFS('Dermal Crosswalk'!$Q$5:$Q$32,'Dermal Crosswalk'!$A$5:$A$32,'Bridge Table'!$B18,'Dermal Crosswalk'!$C$5:$C$32,'Bridge Table'!$E18),SUMIFS('Dermal Crosswalk'!$L$5:$L$32,'Dermal Crosswalk'!$A$5:$A$32,'Bridge Table'!$B18,'Dermal Crosswalk'!$C$5:$C$32,'Bridge Table'!$E18))),"--")</f>
        <v>--</v>
      </c>
      <c r="O18" s="586" t="str">
        <f>IF(IFERROR(VLOOKUP($D18,$Z$8:$AD$9,5,FALSE),0)*IF($D18="Inhalation",IF($K18="Central Tendency",SUMIFS('Inhalation Exposure'!$V$4:$V$60,'Inhalation Exposure'!$B$4:$B$60,$B18,'Inhalation Exposure'!$D$4:$D$60,$C18,'Inhalation Exposure'!$E$4:$E$60,$E18),SUMIFS('Inhalation Exposure'!$U$4:$U$60,'Inhalation Exposure'!$B$4:$B$60,$B18,'Inhalation Exposure'!$D$4:$D$60,$C18,'Inhalation Exposure'!$E$4:$E$60,$E18)),IF($K18="Central Tendency",SUMIFS('Dermal Crosswalk'!$R$5:$R$32,'Dermal Crosswalk'!$A$5:$A$32,'Bridge Table'!$B18,'Dermal Crosswalk'!$C$5:$C$32,'Bridge Table'!$E18),SUMIFS('Dermal Crosswalk'!$M$5:$M$32,'Dermal Crosswalk'!$A$5:$A$32,'Bridge Table'!$B18,'Dermal Crosswalk'!$C$5:$C$32,'Bridge Table'!$E18)))=0,"--",IFERROR(VLOOKUP($D18,$Z$8:$AD$9,5,FALSE),0)*IF($D18="Inhalation",IF($K18="Central Tendency",SUMIFS('Inhalation Exposure'!$V$4:$V$60,'Inhalation Exposure'!$B$4:$B$60,$B18,'Inhalation Exposure'!$D$4:$D$60,$C18,'Inhalation Exposure'!$E$4:$E$60,$E18),SUMIFS('Inhalation Exposure'!$U$4:$U$60,'Inhalation Exposure'!$B$4:$B$60,$B18,'Inhalation Exposure'!$D$4:$D$60,$C18,'Inhalation Exposure'!$E$4:$E$60,$E18)),IF($K18="Central Tendency",SUMIFS('Dermal Crosswalk'!$R$5:$R$32,'Dermal Crosswalk'!$A$5:$A$32,'Bridge Table'!$B18,'Dermal Crosswalk'!$C$5:$C$32,'Bridge Table'!$E18),SUMIFS('Dermal Crosswalk'!$M$5:$M$32,'Dermal Crosswalk'!$A$5:$A$32,'Bridge Table'!$B18,'Dermal Crosswalk'!$C$5:$C$32,'Bridge Table'!$E18))))</f>
        <v>--</v>
      </c>
      <c r="P18" s="610" t="s">
        <v>118</v>
      </c>
      <c r="Q18" s="610" t="s">
        <v>118</v>
      </c>
      <c r="R18" s="610" t="s">
        <v>118</v>
      </c>
      <c r="S18" s="610" t="s">
        <v>118</v>
      </c>
      <c r="U18" s="612" t="s">
        <v>118</v>
      </c>
      <c r="V18" s="614" t="s">
        <v>118</v>
      </c>
      <c r="W18" s="614" t="s">
        <v>118</v>
      </c>
      <c r="X18" s="616" t="s">
        <v>118</v>
      </c>
    </row>
    <row r="19" spans="1:29" ht="15" thickBot="1" x14ac:dyDescent="0.35">
      <c r="A19" s="372"/>
      <c r="B19" s="360">
        <v>1</v>
      </c>
      <c r="C19" s="361" t="s">
        <v>53</v>
      </c>
      <c r="D19" s="361" t="s">
        <v>111</v>
      </c>
      <c r="E19" s="362" t="s">
        <v>24</v>
      </c>
      <c r="F19" s="589"/>
      <c r="G19" s="589"/>
      <c r="H19" s="589"/>
      <c r="I19" s="590"/>
      <c r="J19" s="590"/>
      <c r="K19" s="588"/>
      <c r="L19" s="587"/>
      <c r="M19" s="587"/>
      <c r="N19" s="587"/>
      <c r="O19" s="587"/>
      <c r="P19" s="611"/>
      <c r="Q19" s="611"/>
      <c r="R19" s="611"/>
      <c r="S19" s="611"/>
      <c r="U19" s="613"/>
      <c r="V19" s="615"/>
      <c r="W19" s="615"/>
      <c r="X19" s="617"/>
    </row>
    <row r="20" spans="1:29" ht="15" thickBot="1" x14ac:dyDescent="0.35">
      <c r="A20" s="372"/>
      <c r="B20" s="360">
        <v>1</v>
      </c>
      <c r="C20" s="361" t="s">
        <v>53</v>
      </c>
      <c r="D20" s="361" t="s">
        <v>111</v>
      </c>
      <c r="E20" s="362" t="s">
        <v>117</v>
      </c>
      <c r="F20" s="589"/>
      <c r="G20" s="589"/>
      <c r="H20" s="589"/>
      <c r="I20" s="589" t="s">
        <v>53</v>
      </c>
      <c r="J20" s="586" t="s">
        <v>115</v>
      </c>
      <c r="K20" s="584" t="s">
        <v>54</v>
      </c>
      <c r="L20" s="586" t="str">
        <f>IFERROR(IFERROR(VLOOKUP($D20,$Z$8:$AD$9,2,FALSE),0)/IF($D20="Inhalation",IF($K20="Central Tendency",SUMIFS('Inhalation Exposure'!$L$4:$L$60,'Inhalation Exposure'!$B$4:$B$60,$B20,'Inhalation Exposure'!$D$4:$D$60,$C20,'Inhalation Exposure'!$E$4:$E$60,$E20),SUMIFS('Inhalation Exposure'!$K$4:$K$60,'Inhalation Exposure'!$B$4:$B$60,$B20,'Inhalation Exposure'!$D$4:$D$60,$C20,'Inhalation Exposure'!$E$4:$E$60,$E20)),IF($K20="Central Tendency",SUMIFS('Dermal Crosswalk'!$P$5:$P$32,'Dermal Crosswalk'!$A$5:$A$32,'Bridge Table'!$B20,'Dermal Crosswalk'!$C$5:$C$32,'Bridge Table'!$E20),SUMIFS('Dermal Crosswalk'!$K$5:$K$32,'Dermal Crosswalk'!$A$5:$A$32,'Bridge Table'!$B20,'Dermal Crosswalk'!$C$5:$C$32,'Bridge Table'!$E20))),"--")</f>
        <v>--</v>
      </c>
      <c r="M20" s="586" t="str">
        <f>IFERROR(IFERROR(VLOOKUP($D20,$Z$8:$AD$9,3,FALSE),0)/IF($D20="Inhalation",IF($K20="Central Tendency",SUMIFS('Inhalation Exposure'!$AB$4:$AB$60,'Inhalation Exposure'!$B$4:$B$60,$B20,'Inhalation Exposure'!$D$4:$D$60,$C20,'Inhalation Exposure'!$E$4:$E$60,$E20),SUMIFS('Inhalation Exposure'!$AA$4:$AA$60,'Inhalation Exposure'!$B$4:$B$60,$B20,'Inhalation Exposure'!$D$4:$D$60,$C20,'Inhalation Exposure'!$E$4:$E$60,$E20)),IF($K20="Central Tendency",SUMIFS('Dermal Crosswalk'!$S$5:$S$32,'Dermal Crosswalk'!$A$5:$A$32,'Bridge Table'!$B20,'Dermal Crosswalk'!$C$5:$C$32,'Bridge Table'!$E20),SUMIFS('Dermal Crosswalk'!$N$5:$N$32,'Dermal Crosswalk'!$A$5:$A$32,'Bridge Table'!$B20,'Dermal Crosswalk'!$C$5:$C$32,'Bridge Table'!$E20))),"--")</f>
        <v>--</v>
      </c>
      <c r="N20" s="586" t="str">
        <f>IFERROR(IFERROR(VLOOKUP($D20,$Z$8:$AD$9,4,FALSE),0)/IF($D20="Inhalation",IF($K20="Central Tendency",SUMIFS('Inhalation Exposure'!$R$4:$R$60,'Inhalation Exposure'!$B$4:$B$60,$B20,'Inhalation Exposure'!$D$4:$D$60,$C20,'Inhalation Exposure'!$E$4:$E$60,$E20),SUMIFS('Inhalation Exposure'!$Q$4:$Q$60,'Inhalation Exposure'!$B$4:$B$60,$B20,'Inhalation Exposure'!$D$4:$D$60,$C20,'Inhalation Exposure'!$E$4:$E$60,$E20)),IF($K20="Central Tendency",SUMIFS('Dermal Crosswalk'!$Q$5:$Q$32,'Dermal Crosswalk'!$A$5:$A$32,'Bridge Table'!$B20,'Dermal Crosswalk'!$C$5:$C$32,'Bridge Table'!$E20),SUMIFS('Dermal Crosswalk'!$L$5:$L$32,'Dermal Crosswalk'!$A$5:$A$32,'Bridge Table'!$B20,'Dermal Crosswalk'!$C$5:$C$32,'Bridge Table'!$E20))),"--")</f>
        <v>--</v>
      </c>
      <c r="O20" s="586" t="str">
        <f>IF(IFERROR(VLOOKUP($D20,$Z$8:$AD$9,5,FALSE),0)*IF($D20="Inhalation",IF($K20="Central Tendency",SUMIFS('Inhalation Exposure'!$V$4:$V$60,'Inhalation Exposure'!$B$4:$B$60,$B20,'Inhalation Exposure'!$D$4:$D$60,$C20,'Inhalation Exposure'!$E$4:$E$60,$E20),SUMIFS('Inhalation Exposure'!$U$4:$U$60,'Inhalation Exposure'!$B$4:$B$60,$B20,'Inhalation Exposure'!$D$4:$D$60,$C20,'Inhalation Exposure'!$E$4:$E$60,$E20)),IF($K20="Central Tendency",SUMIFS('Dermal Crosswalk'!$R$5:$R$32,'Dermal Crosswalk'!$A$5:$A$32,'Bridge Table'!$B20,'Dermal Crosswalk'!$C$5:$C$32,'Bridge Table'!$E20),SUMIFS('Dermal Crosswalk'!$M$5:$M$32,'Dermal Crosswalk'!$A$5:$A$32,'Bridge Table'!$B20,'Dermal Crosswalk'!$C$5:$C$32,'Bridge Table'!$E20)))=0,"--",IFERROR(VLOOKUP($D20,$Z$8:$AD$9,5,FALSE),0)*IF($D20="Inhalation",IF($K20="Central Tendency",SUMIFS('Inhalation Exposure'!$V$4:$V$60,'Inhalation Exposure'!$B$4:$B$60,$B20,'Inhalation Exposure'!$D$4:$D$60,$C20,'Inhalation Exposure'!$E$4:$E$60,$E20),SUMIFS('Inhalation Exposure'!$U$4:$U$60,'Inhalation Exposure'!$B$4:$B$60,$B20,'Inhalation Exposure'!$D$4:$D$60,$C20,'Inhalation Exposure'!$E$4:$E$60,$E20)),IF($K20="Central Tendency",SUMIFS('Dermal Crosswalk'!$R$5:$R$32,'Dermal Crosswalk'!$A$5:$A$32,'Bridge Table'!$B20,'Dermal Crosswalk'!$C$5:$C$32,'Bridge Table'!$E20),SUMIFS('Dermal Crosswalk'!$M$5:$M$32,'Dermal Crosswalk'!$A$5:$A$32,'Bridge Table'!$B20,'Dermal Crosswalk'!$C$5:$C$32,'Bridge Table'!$E20))))</f>
        <v>--</v>
      </c>
      <c r="P20" s="610" t="s">
        <v>118</v>
      </c>
      <c r="Q20" s="610" t="s">
        <v>118</v>
      </c>
      <c r="R20" s="610" t="s">
        <v>118</v>
      </c>
      <c r="S20" s="610" t="s">
        <v>118</v>
      </c>
      <c r="U20" s="612" t="s">
        <v>118</v>
      </c>
      <c r="V20" s="614" t="s">
        <v>118</v>
      </c>
      <c r="W20" s="614" t="s">
        <v>118</v>
      </c>
      <c r="X20" s="616" t="s">
        <v>118</v>
      </c>
    </row>
    <row r="21" spans="1:29" ht="15" thickBot="1" x14ac:dyDescent="0.35">
      <c r="A21" s="372"/>
      <c r="B21" s="360">
        <v>1</v>
      </c>
      <c r="C21" s="361" t="s">
        <v>53</v>
      </c>
      <c r="D21" s="361" t="s">
        <v>111</v>
      </c>
      <c r="E21" s="362" t="s">
        <v>117</v>
      </c>
      <c r="F21" s="589"/>
      <c r="G21" s="589"/>
      <c r="H21" s="589"/>
      <c r="I21" s="589"/>
      <c r="J21" s="589"/>
      <c r="K21" s="585"/>
      <c r="L21" s="587"/>
      <c r="M21" s="587"/>
      <c r="N21" s="587"/>
      <c r="O21" s="587"/>
      <c r="P21" s="611"/>
      <c r="Q21" s="611"/>
      <c r="R21" s="611"/>
      <c r="S21" s="611"/>
      <c r="U21" s="613"/>
      <c r="V21" s="615"/>
      <c r="W21" s="615"/>
      <c r="X21" s="617"/>
    </row>
    <row r="22" spans="1:29" ht="15" thickBot="1" x14ac:dyDescent="0.35">
      <c r="A22" s="372"/>
      <c r="B22" s="360">
        <v>1</v>
      </c>
      <c r="C22" s="361" t="s">
        <v>53</v>
      </c>
      <c r="D22" s="361" t="s">
        <v>111</v>
      </c>
      <c r="E22" s="362" t="s">
        <v>117</v>
      </c>
      <c r="F22" s="589"/>
      <c r="G22" s="589"/>
      <c r="H22" s="589"/>
      <c r="I22" s="589"/>
      <c r="J22" s="589"/>
      <c r="K22" s="584" t="s">
        <v>88</v>
      </c>
      <c r="L22" s="586" t="str">
        <f>IFERROR(IFERROR(VLOOKUP($D22,$Z$8:$AD$9,2,FALSE),0)/IF($D22="Inhalation",IF($K22="Central Tendency",SUMIFS('Inhalation Exposure'!$L$4:$L$60,'Inhalation Exposure'!$B$4:$B$60,$B22,'Inhalation Exposure'!$D$4:$D$60,$C22,'Inhalation Exposure'!$E$4:$E$60,$E22),SUMIFS('Inhalation Exposure'!$K$4:$K$60,'Inhalation Exposure'!$B$4:$B$60,$B22,'Inhalation Exposure'!$D$4:$D$60,$C22,'Inhalation Exposure'!$E$4:$E$60,$E22)),IF($K22="Central Tendency",SUMIFS('Dermal Crosswalk'!$P$5:$P$32,'Dermal Crosswalk'!$A$5:$A$32,'Bridge Table'!$B22,'Dermal Crosswalk'!$C$5:$C$32,'Bridge Table'!$E22),SUMIFS('Dermal Crosswalk'!$K$5:$K$32,'Dermal Crosswalk'!$A$5:$A$32,'Bridge Table'!$B22,'Dermal Crosswalk'!$C$5:$C$32,'Bridge Table'!$E22))),"--")</f>
        <v>--</v>
      </c>
      <c r="M22" s="586" t="str">
        <f>IFERROR(IFERROR(VLOOKUP($D22,$Z$8:$AD$9,3,FALSE),0)/IF($D22="Inhalation",IF($K22="Central Tendency",SUMIFS('Inhalation Exposure'!$AB$4:$AB$60,'Inhalation Exposure'!$B$4:$B$60,$B22,'Inhalation Exposure'!$D$4:$D$60,$C22,'Inhalation Exposure'!$E$4:$E$60,$E22),SUMIFS('Inhalation Exposure'!$AA$4:$AA$60,'Inhalation Exposure'!$B$4:$B$60,$B22,'Inhalation Exposure'!$D$4:$D$60,$C22,'Inhalation Exposure'!$E$4:$E$60,$E22)),IF($K22="Central Tendency",SUMIFS('Dermal Crosswalk'!$S$5:$S$32,'Dermal Crosswalk'!$A$5:$A$32,'Bridge Table'!$B22,'Dermal Crosswalk'!$C$5:$C$32,'Bridge Table'!$E22),SUMIFS('Dermal Crosswalk'!$N$5:$N$32,'Dermal Crosswalk'!$A$5:$A$32,'Bridge Table'!$B22,'Dermal Crosswalk'!$C$5:$C$32,'Bridge Table'!$E22))),"--")</f>
        <v>--</v>
      </c>
      <c r="N22" s="586" t="str">
        <f>IFERROR(IFERROR(VLOOKUP($D22,$Z$8:$AD$9,4,FALSE),0)/IF($D22="Inhalation",IF($K22="Central Tendency",SUMIFS('Inhalation Exposure'!$R$4:$R$60,'Inhalation Exposure'!$B$4:$B$60,$B22,'Inhalation Exposure'!$D$4:$D$60,$C22,'Inhalation Exposure'!$E$4:$E$60,$E22),SUMIFS('Inhalation Exposure'!$Q$4:$Q$60,'Inhalation Exposure'!$B$4:$B$60,$B22,'Inhalation Exposure'!$D$4:$D$60,$C22,'Inhalation Exposure'!$E$4:$E$60,$E22)),IF($K22="Central Tendency",SUMIFS('Dermal Crosswalk'!$Q$5:$Q$32,'Dermal Crosswalk'!$A$5:$A$32,'Bridge Table'!$B22,'Dermal Crosswalk'!$C$5:$C$32,'Bridge Table'!$E22),SUMIFS('Dermal Crosswalk'!$L$5:$L$32,'Dermal Crosswalk'!$A$5:$A$32,'Bridge Table'!$B22,'Dermal Crosswalk'!$C$5:$C$32,'Bridge Table'!$E22))),"--")</f>
        <v>--</v>
      </c>
      <c r="O22" s="586" t="str">
        <f>IF(IFERROR(VLOOKUP($D22,$Z$8:$AD$9,5,FALSE),0)*IF($D22="Inhalation",IF($K22="Central Tendency",SUMIFS('Inhalation Exposure'!$V$4:$V$60,'Inhalation Exposure'!$B$4:$B$60,$B22,'Inhalation Exposure'!$D$4:$D$60,$C22,'Inhalation Exposure'!$E$4:$E$60,$E22),SUMIFS('Inhalation Exposure'!$U$4:$U$60,'Inhalation Exposure'!$B$4:$B$60,$B22,'Inhalation Exposure'!$D$4:$D$60,$C22,'Inhalation Exposure'!$E$4:$E$60,$E22)),IF($K22="Central Tendency",SUMIFS('Dermal Crosswalk'!$R$5:$R$32,'Dermal Crosswalk'!$A$5:$A$32,'Bridge Table'!$B22,'Dermal Crosswalk'!$C$5:$C$32,'Bridge Table'!$E22),SUMIFS('Dermal Crosswalk'!$M$5:$M$32,'Dermal Crosswalk'!$A$5:$A$32,'Bridge Table'!$B22,'Dermal Crosswalk'!$C$5:$C$32,'Bridge Table'!$E22)))=0,"--",IFERROR(VLOOKUP($D22,$Z$8:$AD$9,5,FALSE),0)*IF($D22="Inhalation",IF($K22="Central Tendency",SUMIFS('Inhalation Exposure'!$V$4:$V$60,'Inhalation Exposure'!$B$4:$B$60,$B22,'Inhalation Exposure'!$D$4:$D$60,$C22,'Inhalation Exposure'!$E$4:$E$60,$E22),SUMIFS('Inhalation Exposure'!$U$4:$U$60,'Inhalation Exposure'!$B$4:$B$60,$B22,'Inhalation Exposure'!$D$4:$D$60,$C22,'Inhalation Exposure'!$E$4:$E$60,$E22)),IF($K22="Central Tendency",SUMIFS('Dermal Crosswalk'!$R$5:$R$32,'Dermal Crosswalk'!$A$5:$A$32,'Bridge Table'!$B22,'Dermal Crosswalk'!$C$5:$C$32,'Bridge Table'!$E22),SUMIFS('Dermal Crosswalk'!$M$5:$M$32,'Dermal Crosswalk'!$A$5:$A$32,'Bridge Table'!$B22,'Dermal Crosswalk'!$C$5:$C$32,'Bridge Table'!$E22))))</f>
        <v>--</v>
      </c>
      <c r="P22" s="610" t="s">
        <v>118</v>
      </c>
      <c r="Q22" s="610" t="s">
        <v>118</v>
      </c>
      <c r="R22" s="610" t="s">
        <v>118</v>
      </c>
      <c r="S22" s="610" t="s">
        <v>118</v>
      </c>
      <c r="U22" s="612" t="s">
        <v>118</v>
      </c>
      <c r="V22" s="614" t="s">
        <v>118</v>
      </c>
      <c r="W22" s="614" t="s">
        <v>118</v>
      </c>
      <c r="X22" s="616" t="s">
        <v>118</v>
      </c>
    </row>
    <row r="23" spans="1:29" ht="15" thickBot="1" x14ac:dyDescent="0.35">
      <c r="A23" s="372"/>
      <c r="B23" s="360">
        <v>1</v>
      </c>
      <c r="C23" s="361" t="s">
        <v>53</v>
      </c>
      <c r="D23" s="361" t="s">
        <v>111</v>
      </c>
      <c r="E23" s="362" t="s">
        <v>117</v>
      </c>
      <c r="F23" s="589"/>
      <c r="G23" s="589"/>
      <c r="H23" s="589"/>
      <c r="I23" s="590"/>
      <c r="J23" s="590"/>
      <c r="K23" s="588"/>
      <c r="L23" s="587"/>
      <c r="M23" s="587"/>
      <c r="N23" s="587"/>
      <c r="O23" s="587"/>
      <c r="P23" s="611"/>
      <c r="Q23" s="611"/>
      <c r="R23" s="611"/>
      <c r="S23" s="611"/>
      <c r="U23" s="613"/>
      <c r="V23" s="615"/>
      <c r="W23" s="615"/>
      <c r="X23" s="617"/>
    </row>
    <row r="24" spans="1:29" ht="15.6" thickTop="1" thickBot="1" x14ac:dyDescent="0.35">
      <c r="A24" s="372"/>
      <c r="B24" s="360">
        <v>1</v>
      </c>
      <c r="C24" s="361" t="s">
        <v>25</v>
      </c>
      <c r="D24" s="361" t="s">
        <v>16</v>
      </c>
      <c r="E24" s="362" t="s">
        <v>24</v>
      </c>
      <c r="F24" s="589"/>
      <c r="G24" s="589"/>
      <c r="H24" s="589"/>
      <c r="I24" s="589" t="s">
        <v>25</v>
      </c>
      <c r="J24" s="609" t="s">
        <v>16</v>
      </c>
      <c r="K24" s="607" t="s">
        <v>54</v>
      </c>
      <c r="L24" s="586">
        <f>IFERROR(IFERROR(VLOOKUP($D24,$Z$8:$AD$9,2,FALSE),0)/IF($D24="Inhalation",IF($K24="Central Tendency",SUMIFS('Inhalation Exposure'!$N$4:$N$61,'Inhalation Exposure'!$B$4:$B$61,$B24,'Inhalation Exposure'!$D$4:$D$61,$C24,'Inhalation Exposure'!$E$4:$E$61,$E24),SUMIFS('Inhalation Exposure'!$M$4:$M$61,'Inhalation Exposure'!$B$4:$B$61,$B24,'Inhalation Exposure'!$D$4:$D$61,$C24,'Inhalation Exposure'!$E$4:$E$61,$E24)),IF($K24="Central Tendency",SUMIFS('Dermal Crosswalk'!$P$5:$P$32,'Dermal Crosswalk'!$A$5:$A$32,'Bridge Table'!$B24,'Dermal Crosswalk'!$C$5:$C$32,'Bridge Table'!$E24),SUMIFS('Dermal Crosswalk'!$K$5:$K$32,'Dermal Crosswalk'!$A$5:$A$32,'Bridge Table'!$B24,'Dermal Crosswalk'!$C$5:$C$32,'Bridge Table'!$E24))),"--")</f>
        <v>4.3365402797435211</v>
      </c>
      <c r="M24" s="586">
        <f>IFERROR(IFERROR(VLOOKUP($D24,$Z$8:$AD$9,3,FALSE),0)/IF($D24="Inhalation",IF($K24="Central Tendency",SUMIFS('Inhalation Exposure'!$AB$4:$AB$61,'Inhalation Exposure'!$B$4:$B$61,$B24,'Inhalation Exposure'!$D$4:$D$61,$C24,'Inhalation Exposure'!$E$4:$E$61,$E24),SUMIFS('Inhalation Exposure'!$AA$4:$AA$61,'Inhalation Exposure'!$B$4:$B$61,$B24,'Inhalation Exposure'!$D$4:$D$61,$C24,'Inhalation Exposure'!$E$4:$E$61,$E24)),IF($K24="Central Tendency",SUMIFS('Dermal Crosswalk'!$S$5:$S$32,'Dermal Crosswalk'!$A$5:$A$32,'Bridge Table'!$B24,'Dermal Crosswalk'!$C$5:$C$32,'Bridge Table'!$E24),SUMIFS('Dermal Crosswalk'!$N$5:$N$32,'Dermal Crosswalk'!$A$5:$A$32,'Bridge Table'!$B24,'Dermal Crosswalk'!$C$5:$C$32,'Bridge Table'!$E24))),"--")</f>
        <v>9.3859050980706762</v>
      </c>
      <c r="N24" s="586">
        <f>IFERROR(IFERROR(VLOOKUP($D24,$Z$8:$AD$9,4,FALSE),0)/IF($D24="Inhalation",IF($K24="Central Tendency",SUMIFS('Inhalation Exposure'!$R$4:$R$61,'Inhalation Exposure'!$B$4:$B$61,$B24,'Inhalation Exposure'!$D$4:$D$61,$C24,'Inhalation Exposure'!$E$4:$E$61,$E24),SUMIFS('Inhalation Exposure'!$Q$4:$Q$61,'Inhalation Exposure'!$B$4:$B$61,$B24,'Inhalation Exposure'!$D$4:$D$61,$C24,'Inhalation Exposure'!$E$4:$E$61,$E24)),IF($K24="Central Tendency",SUMIFS('Dermal Crosswalk'!$Q$5:$Q$32,'Dermal Crosswalk'!$A$5:$A$32,'Bridge Table'!$B24,'Dermal Crosswalk'!$C$5:$C$32,'Bridge Table'!$E24),SUMIFS('Dermal Crosswalk'!$L$5:$L$32,'Dermal Crosswalk'!$A$5:$A$32,'Bridge Table'!$B24,'Dermal Crosswalk'!$C$5:$C$32,'Bridge Table'!$E24))),"--")</f>
        <v>114.19517869319321</v>
      </c>
      <c r="O24" s="586">
        <f>IFERROR(IFERROR(VLOOKUP($D24,$Z$8:$AD$9,5,FALSE),0)*IF($D24="Inhalation",IF($K24="Central Tendency",SUMIFS('Inhalation Exposure'!$V$4:$V$61,'Inhalation Exposure'!$B$4:$B$61,$B24,'Inhalation Exposure'!$D$4:$D$61,$C24,'Inhalation Exposure'!$E$4:$E$61,$E24),SUMIFS('Inhalation Exposure'!$U$4:$U$61,'Inhalation Exposure'!$B$4:$B$61,$B24,'Inhalation Exposure'!$D$4:$D$61,$C24,'Inhalation Exposure'!$E$4:$E$61,$E24)),IF($K24="Central Tendency",SUMIFS('Dermal Crosswalk'!$R$5:$R$32,'Dermal Crosswalk'!$A$5:$A$32,'Bridge Table'!$B24,'Dermal Crosswalk'!$C$5:$C$32,'Bridge Table'!$E24),SUMIFS('Dermal Crosswalk'!$M$5:$M$32,'Dermal Crosswalk'!$A$5:$A$32,'Bridge Table'!$B24,'Dermal Crosswalk'!$C$5:$C$32,'Bridge Table'!$E24))),"--")</f>
        <v>2.3278128117316474E-4</v>
      </c>
      <c r="P24" s="382">
        <f>L24*U24</f>
        <v>21.682701398717604</v>
      </c>
      <c r="Q24" s="382">
        <f t="shared" ref="Q24:R24" si="0">M24*V24</f>
        <v>46.929525490353384</v>
      </c>
      <c r="R24" s="382">
        <f t="shared" si="0"/>
        <v>570.97589346596601</v>
      </c>
      <c r="S24" s="383">
        <f>O24/X24</f>
        <v>4.6556256234632951E-5</v>
      </c>
      <c r="U24" s="378">
        <v>5</v>
      </c>
      <c r="V24" s="379">
        <v>5</v>
      </c>
      <c r="W24" s="379">
        <v>5</v>
      </c>
      <c r="X24" s="380">
        <v>5</v>
      </c>
      <c r="AC24" s="381"/>
    </row>
    <row r="25" spans="1:29" ht="15" thickBot="1" x14ac:dyDescent="0.35">
      <c r="A25" s="372"/>
      <c r="B25" s="360">
        <v>1</v>
      </c>
      <c r="C25" s="361" t="s">
        <v>25</v>
      </c>
      <c r="D25" s="361" t="s">
        <v>16</v>
      </c>
      <c r="E25" s="362" t="s">
        <v>24</v>
      </c>
      <c r="F25" s="589"/>
      <c r="G25" s="589"/>
      <c r="H25" s="589"/>
      <c r="I25" s="589"/>
      <c r="J25" s="589"/>
      <c r="K25" s="608"/>
      <c r="L25" s="587"/>
      <c r="M25" s="587"/>
      <c r="N25" s="587"/>
      <c r="O25" s="587"/>
      <c r="P25" s="373" t="str">
        <f>CONCATENATE("(PF ",U24,")")</f>
        <v>(PF 5)</v>
      </c>
      <c r="Q25" s="373" t="str">
        <f>CONCATENATE("(PF ",V24,")")</f>
        <v>(PF 5)</v>
      </c>
      <c r="R25" s="373" t="str">
        <f>CONCATENATE("(PF ",W24,")")</f>
        <v>(PF 5)</v>
      </c>
      <c r="S25" s="373" t="str">
        <f>CONCATENATE("(PF ",X24,")")</f>
        <v>(PF 5)</v>
      </c>
      <c r="U25" s="374" t="s">
        <v>119</v>
      </c>
      <c r="V25" s="375" t="s">
        <v>119</v>
      </c>
      <c r="W25" s="375" t="s">
        <v>119</v>
      </c>
      <c r="X25" s="376" t="s">
        <v>119</v>
      </c>
      <c r="AC25" s="381"/>
    </row>
    <row r="26" spans="1:29" ht="15" thickBot="1" x14ac:dyDescent="0.35">
      <c r="A26" s="372"/>
      <c r="B26" s="360">
        <v>1</v>
      </c>
      <c r="C26" s="361" t="s">
        <v>25</v>
      </c>
      <c r="D26" s="361" t="s">
        <v>16</v>
      </c>
      <c r="E26" s="362" t="s">
        <v>24</v>
      </c>
      <c r="F26" s="589"/>
      <c r="G26" s="589"/>
      <c r="H26" s="589"/>
      <c r="I26" s="589"/>
      <c r="J26" s="589"/>
      <c r="K26" s="584" t="s">
        <v>88</v>
      </c>
      <c r="L26" s="586">
        <f>IFERROR(IFERROR(VLOOKUP($D26,$Z$8:$AD$9,2,FALSE),0)/IF($D26="Inhalation",IF($K26="Central Tendency",SUMIFS('Inhalation Exposure'!$N$4:$N$61,'Inhalation Exposure'!$B$4:$B$61,$B26,'Inhalation Exposure'!$D$4:$D$61,$C26,'Inhalation Exposure'!$E$4:$E$61,$E26),SUMIFS('Inhalation Exposure'!$M$4:$M$61,'Inhalation Exposure'!$B$4:$B$61,$B26,'Inhalation Exposure'!$D$4:$D$61,$C26,'Inhalation Exposure'!$E$4:$E$61,$E26)),IF($K26="Central Tendency",SUMIFS('Dermal Crosswalk'!$P$5:$P$32,'Dermal Crosswalk'!$A$5:$A$32,'Bridge Table'!$B26,'Dermal Crosswalk'!$C$5:$C$32,'Bridge Table'!$E26),SUMIFS('Dermal Crosswalk'!$K$5:$K$32,'Dermal Crosswalk'!$A$5:$A$32,'Bridge Table'!$B26,'Dermal Crosswalk'!$C$5:$C$32,'Bridge Table'!$E26))),"--")</f>
        <v>1.4455134265811735</v>
      </c>
      <c r="M26" s="586">
        <f>IFERROR(IFERROR(VLOOKUP($D26,$Z$8:$AD$9,3,FALSE),0)/IF($D26="Inhalation",IF($K26="Central Tendency",SUMIFS('Inhalation Exposure'!$AB$4:$AB$61,'Inhalation Exposure'!$B$4:$B$61,$B26,'Inhalation Exposure'!$D$4:$D$61,$C26,'Inhalation Exposure'!$E$4:$E$61,$E26),SUMIFS('Inhalation Exposure'!$AA$4:$AA$61,'Inhalation Exposure'!$B$4:$B$61,$B26,'Inhalation Exposure'!$D$4:$D$61,$C26,'Inhalation Exposure'!$E$4:$E$61,$E26)),IF($K26="Central Tendency",SUMIFS('Dermal Crosswalk'!$S$5:$S$32,'Dermal Crosswalk'!$A$5:$A$32,'Bridge Table'!$B26,'Dermal Crosswalk'!$C$5:$C$32,'Bridge Table'!$E26),SUMIFS('Dermal Crosswalk'!$N$5:$N$32,'Dermal Crosswalk'!$A$5:$A$32,'Bridge Table'!$B26,'Dermal Crosswalk'!$C$5:$C$32,'Bridge Table'!$E26))),"--")</f>
        <v>1.7877914472515568</v>
      </c>
      <c r="N26" s="586">
        <f>IFERROR(IFERROR(VLOOKUP($D26,$Z$8:$AD$9,4,FALSE),0)/IF($D26="Inhalation",IF($K26="Central Tendency",SUMIFS('Inhalation Exposure'!$R$4:$R$61,'Inhalation Exposure'!$B$4:$B$61,$B26,'Inhalation Exposure'!$D$4:$D$61,$C26,'Inhalation Exposure'!$E$4:$E$61,$E26),SUMIFS('Inhalation Exposure'!$Q$4:$Q$61,'Inhalation Exposure'!$B$4:$B$61,$B26,'Inhalation Exposure'!$D$4:$D$61,$C26,'Inhalation Exposure'!$E$4:$E$61,$E26)),IF($K26="Central Tendency",SUMIFS('Dermal Crosswalk'!$Q$5:$Q$32,'Dermal Crosswalk'!$A$5:$A$32,'Bridge Table'!$B26,'Dermal Crosswalk'!$C$5:$C$32,'Bridge Table'!$E26),SUMIFS('Dermal Crosswalk'!$L$5:$L$32,'Dermal Crosswalk'!$A$5:$A$32,'Bridge Table'!$B26,'Dermal Crosswalk'!$C$5:$C$32,'Bridge Table'!$E26))),"--")</f>
        <v>21.751462608227275</v>
      </c>
      <c r="O26" s="586">
        <f>IFERROR(IFERROR(VLOOKUP($D26,$Z$8:$AD$9,5,FALSE),0)*IF($D26="Inhalation",IF($K26="Central Tendency",SUMIFS('Inhalation Exposure'!$V$4:$V$61,'Inhalation Exposure'!$B$4:$B$61,$B26,'Inhalation Exposure'!$D$4:$D$61,$C26,'Inhalation Exposure'!$E$4:$E$61,$E26),SUMIFS('Inhalation Exposure'!$U$4:$U$61,'Inhalation Exposure'!$B$4:$B$61,$B26,'Inhalation Exposure'!$D$4:$D$61,$C26,'Inhalation Exposure'!$E$4:$E$61,$E26)),IF($K26="Central Tendency",SUMIFS('Dermal Crosswalk'!$R$5:$R$32,'Dermal Crosswalk'!$A$5:$A$32,'Bridge Table'!$B26,'Dermal Crosswalk'!$C$5:$C$32,'Bridge Table'!$E26),SUMIFS('Dermal Crosswalk'!$M$5:$M$32,'Dermal Crosswalk'!$A$5:$A$32,'Bridge Table'!$B26,'Dermal Crosswalk'!$C$5:$C$32,'Bridge Table'!$E26))),"--")</f>
        <v>1.5769054531085359E-3</v>
      </c>
      <c r="P26" s="382">
        <f>L26*U26</f>
        <v>7.2275671329058682</v>
      </c>
      <c r="Q26" s="382">
        <f t="shared" ref="Q26" si="1">M26*V26</f>
        <v>8.9389572362577834</v>
      </c>
      <c r="R26" s="382">
        <f t="shared" ref="R26" si="2">N26*W26</f>
        <v>108.75731304113637</v>
      </c>
      <c r="S26" s="383">
        <f>O26/X26</f>
        <v>3.1538109062170718E-4</v>
      </c>
      <c r="U26" s="378">
        <v>5</v>
      </c>
      <c r="V26" s="379">
        <v>5</v>
      </c>
      <c r="W26" s="379">
        <v>5</v>
      </c>
      <c r="X26" s="380">
        <v>5</v>
      </c>
      <c r="AC26" s="381"/>
    </row>
    <row r="27" spans="1:29" ht="15" thickBot="1" x14ac:dyDescent="0.35">
      <c r="A27" s="372"/>
      <c r="B27" s="360">
        <v>1</v>
      </c>
      <c r="C27" s="361" t="s">
        <v>25</v>
      </c>
      <c r="D27" s="361" t="s">
        <v>16</v>
      </c>
      <c r="E27" s="362" t="s">
        <v>24</v>
      </c>
      <c r="F27" s="589"/>
      <c r="G27" s="589"/>
      <c r="H27" s="589"/>
      <c r="I27" s="590"/>
      <c r="J27" s="590"/>
      <c r="K27" s="588"/>
      <c r="L27" s="587"/>
      <c r="M27" s="587"/>
      <c r="N27" s="587"/>
      <c r="O27" s="587"/>
      <c r="P27" s="373" t="str">
        <f>CONCATENATE("(PF ",U26,")")</f>
        <v>(PF 5)</v>
      </c>
      <c r="Q27" s="373" t="str">
        <f>CONCATENATE("(PF ",V26,")")</f>
        <v>(PF 5)</v>
      </c>
      <c r="R27" s="373" t="str">
        <f>CONCATENATE("(PF ",W26,")")</f>
        <v>(PF 5)</v>
      </c>
      <c r="S27" s="373" t="str">
        <f>CONCATENATE("(PF ",X26,")")</f>
        <v>(PF 5)</v>
      </c>
      <c r="U27" s="374" t="s">
        <v>119</v>
      </c>
      <c r="V27" s="375" t="s">
        <v>119</v>
      </c>
      <c r="W27" s="375" t="s">
        <v>119</v>
      </c>
      <c r="X27" s="376" t="s">
        <v>119</v>
      </c>
    </row>
    <row r="28" spans="1:29" ht="15.6" thickTop="1" thickBot="1" x14ac:dyDescent="0.35">
      <c r="A28" s="372"/>
      <c r="B28" s="360">
        <v>1</v>
      </c>
      <c r="C28" s="361" t="s">
        <v>25</v>
      </c>
      <c r="D28" s="361" t="s">
        <v>16</v>
      </c>
      <c r="E28" s="362" t="s">
        <v>117</v>
      </c>
      <c r="F28" s="589"/>
      <c r="G28" s="589"/>
      <c r="H28" s="589"/>
      <c r="I28" s="609" t="s">
        <v>25</v>
      </c>
      <c r="J28" s="609" t="s">
        <v>16</v>
      </c>
      <c r="K28" s="607" t="s">
        <v>54</v>
      </c>
      <c r="L28" s="586">
        <f>IFERROR(IFERROR(VLOOKUP($D28,$Z$8:$AD$9,2,FALSE),0)/IF($D28="Inhalation",IF($K28="Central Tendency",SUMIFS('Inhalation Exposure'!$N$4:$N$61,'Inhalation Exposure'!$B$4:$B$61,$B28,'Inhalation Exposure'!$D$4:$D$61,$C28,'Inhalation Exposure'!$E$4:$E$61,$E28),SUMIFS('Inhalation Exposure'!$M$4:$M$61,'Inhalation Exposure'!$B$4:$B$61,$B28,'Inhalation Exposure'!$D$4:$D$61,$C28,'Inhalation Exposure'!$E$4:$E$61,$E28)),IF($K28="Central Tendency",SUMIFS('Dermal Crosswalk'!$P$5:$P$32,'Dermal Crosswalk'!$A$5:$A$32,'Bridge Table'!$B28,'Dermal Crosswalk'!$C$5:$C$32,'Bridge Table'!$E28),SUMIFS('Dermal Crosswalk'!$K$5:$K$32,'Dermal Crosswalk'!$A$5:$A$32,'Bridge Table'!$B28,'Dermal Crosswalk'!$C$5:$C$32,'Bridge Table'!$E28))),"--")</f>
        <v>4.3365402797435211</v>
      </c>
      <c r="M28" s="586">
        <f>IFERROR(IFERROR(VLOOKUP($D28,$Z$8:$AD$9,3,FALSE),0)/IF($D28="Inhalation",IF($K28="Central Tendency",SUMIFS('Inhalation Exposure'!$AB$4:$AB$61,'Inhalation Exposure'!$B$4:$B$61,$B28,'Inhalation Exposure'!$D$4:$D$61,$C28,'Inhalation Exposure'!$E$4:$E$61,$E28),SUMIFS('Inhalation Exposure'!$AA$4:$AA$61,'Inhalation Exposure'!$B$4:$B$61,$B28,'Inhalation Exposure'!$D$4:$D$61,$C28,'Inhalation Exposure'!$E$4:$E$61,$E28)),IF($K28="Central Tendency",SUMIFS('Dermal Crosswalk'!$S$5:$S$32,'Dermal Crosswalk'!$A$5:$A$32,'Bridge Table'!$B28,'Dermal Crosswalk'!$C$5:$C$32,'Bridge Table'!$E28),SUMIFS('Dermal Crosswalk'!$N$5:$N$32,'Dermal Crosswalk'!$A$5:$A$32,'Bridge Table'!$B28,'Dermal Crosswalk'!$C$5:$C$32,'Bridge Table'!$E28))),"--")</f>
        <v>1.7065281996492139</v>
      </c>
      <c r="N28" s="586">
        <f>IFERROR(IFERROR(VLOOKUP($D28,$Z$8:$AD$9,4,FALSE),0)/IF($D28="Inhalation",IF($K28="Central Tendency",SUMIFS('Inhalation Exposure'!$R$4:$R$61,'Inhalation Exposure'!$B$4:$B$61,$B28,'Inhalation Exposure'!$D$4:$D$61,$C28,'Inhalation Exposure'!$E$4:$E$61,$E28),SUMIFS('Inhalation Exposure'!$Q$4:$Q$61,'Inhalation Exposure'!$B$4:$B$61,$B28,'Inhalation Exposure'!$D$4:$D$61,$C28,'Inhalation Exposure'!$E$4:$E$61,$E28)),IF($K28="Central Tendency",SUMIFS('Dermal Crosswalk'!$Q$5:$Q$32,'Dermal Crosswalk'!$A$5:$A$32,'Bridge Table'!$B28,'Dermal Crosswalk'!$C$5:$C$32,'Bridge Table'!$E28),SUMIFS('Dermal Crosswalk'!$L$5:$L$32,'Dermal Crosswalk'!$A$5:$A$32,'Bridge Table'!$B28,'Dermal Crosswalk'!$C$5:$C$32,'Bridge Table'!$E28))),"--")</f>
        <v>12.020545125599286</v>
      </c>
      <c r="O28" s="586">
        <f>IFERROR(IFERROR(VLOOKUP($D28,$Z$8:$AD$9,5,FALSE),0)*IF($D28="Inhalation",IF($K28="Central Tendency",SUMIFS('Inhalation Exposure'!$V$4:$V$61,'Inhalation Exposure'!$B$4:$B$61,$B28,'Inhalation Exposure'!$D$4:$D$61,$C28,'Inhalation Exposure'!$E$4:$E$61,$E28),SUMIFS('Inhalation Exposure'!$U$4:$U$61,'Inhalation Exposure'!$B$4:$B$61,$B28,'Inhalation Exposure'!$D$4:$D$61,$C28,'Inhalation Exposure'!$E$4:$E$61,$E28)),IF($K28="Central Tendency",SUMIFS('Dermal Crosswalk'!$R$5:$R$32,'Dermal Crosswalk'!$A$5:$A$32,'Bridge Table'!$B28,'Dermal Crosswalk'!$C$5:$C$32,'Bridge Table'!$E28),SUMIFS('Dermal Crosswalk'!$M$5:$M$32,'Dermal Crosswalk'!$A$5:$A$32,'Bridge Table'!$B28,'Dermal Crosswalk'!$C$5:$C$32,'Bridge Table'!$E28))),"--")</f>
        <v>2.2114221711450649E-3</v>
      </c>
      <c r="P28" s="382">
        <f>L28*U28</f>
        <v>21.682701398717604</v>
      </c>
      <c r="Q28" s="382">
        <f t="shared" ref="Q28" si="3">M28*V28</f>
        <v>8.5326409982460696</v>
      </c>
      <c r="R28" s="382">
        <f t="shared" ref="R28" si="4">N28*W28</f>
        <v>60.102725627996428</v>
      </c>
      <c r="S28" s="383">
        <f>O28/X28</f>
        <v>4.4228443422901297E-4</v>
      </c>
      <c r="U28" s="378">
        <v>5</v>
      </c>
      <c r="V28" s="379">
        <v>5</v>
      </c>
      <c r="W28" s="379">
        <v>5</v>
      </c>
      <c r="X28" s="380">
        <v>5</v>
      </c>
    </row>
    <row r="29" spans="1:29" ht="15" thickBot="1" x14ac:dyDescent="0.35">
      <c r="A29" s="372"/>
      <c r="B29" s="360">
        <v>1</v>
      </c>
      <c r="C29" s="361" t="s">
        <v>25</v>
      </c>
      <c r="D29" s="361" t="s">
        <v>16</v>
      </c>
      <c r="E29" s="362" t="s">
        <v>117</v>
      </c>
      <c r="F29" s="589"/>
      <c r="G29" s="589"/>
      <c r="H29" s="589"/>
      <c r="I29" s="589"/>
      <c r="J29" s="589"/>
      <c r="K29" s="608"/>
      <c r="L29" s="587"/>
      <c r="M29" s="587"/>
      <c r="N29" s="587"/>
      <c r="O29" s="587"/>
      <c r="P29" s="373" t="str">
        <f>CONCATENATE("(PF ",U28,")")</f>
        <v>(PF 5)</v>
      </c>
      <c r="Q29" s="373" t="str">
        <f>CONCATENATE("(PF ",V28,")")</f>
        <v>(PF 5)</v>
      </c>
      <c r="R29" s="373" t="str">
        <f>CONCATENATE("(PF ",W28,")")</f>
        <v>(PF 5)</v>
      </c>
      <c r="S29" s="373" t="str">
        <f>CONCATENATE("(PF ",X28,")")</f>
        <v>(PF 5)</v>
      </c>
      <c r="U29" s="374" t="s">
        <v>119</v>
      </c>
      <c r="V29" s="375" t="s">
        <v>119</v>
      </c>
      <c r="W29" s="375" t="s">
        <v>119</v>
      </c>
      <c r="X29" s="376" t="s">
        <v>119</v>
      </c>
    </row>
    <row r="30" spans="1:29" ht="15" thickBot="1" x14ac:dyDescent="0.35">
      <c r="A30" s="372"/>
      <c r="B30" s="360">
        <v>1</v>
      </c>
      <c r="C30" s="361" t="s">
        <v>25</v>
      </c>
      <c r="D30" s="361" t="s">
        <v>16</v>
      </c>
      <c r="E30" s="362" t="s">
        <v>117</v>
      </c>
      <c r="F30" s="589"/>
      <c r="G30" s="589"/>
      <c r="H30" s="589"/>
      <c r="I30" s="589"/>
      <c r="J30" s="589"/>
      <c r="K30" s="584" t="s">
        <v>88</v>
      </c>
      <c r="L30" s="586">
        <f>IFERROR(IFERROR(VLOOKUP($D30,$Z$8:$AD$9,2,FALSE),0)/IF($D30="Inhalation",IF($K30="Central Tendency",SUMIFS('Inhalation Exposure'!$N$4:$N$61,'Inhalation Exposure'!$B$4:$B$61,$B30,'Inhalation Exposure'!$D$4:$D$61,$C30,'Inhalation Exposure'!$E$4:$E$61,$E30),SUMIFS('Inhalation Exposure'!$M$4:$M$61,'Inhalation Exposure'!$B$4:$B$61,$B30,'Inhalation Exposure'!$D$4:$D$61,$C30,'Inhalation Exposure'!$E$4:$E$61,$E30)),IF($K30="Central Tendency",SUMIFS('Dermal Crosswalk'!$P$5:$P$32,'Dermal Crosswalk'!$A$5:$A$32,'Bridge Table'!$B30,'Dermal Crosswalk'!$C$5:$C$32,'Bridge Table'!$E30),SUMIFS('Dermal Crosswalk'!$K$5:$K$32,'Dermal Crosswalk'!$A$5:$A$32,'Bridge Table'!$B30,'Dermal Crosswalk'!$C$5:$C$32,'Bridge Table'!$E30))),"--")</f>
        <v>1.4455134265811735</v>
      </c>
      <c r="M30" s="586">
        <f>IFERROR(IFERROR(VLOOKUP($D30,$Z$8:$AD$9,3,FALSE),0)/IF($D30="Inhalation",IF($K30="Central Tendency",SUMIFS('Inhalation Exposure'!$AB$4:$AB$61,'Inhalation Exposure'!$B$4:$B$61,$B30,'Inhalation Exposure'!$D$4:$D$61,$C30,'Inhalation Exposure'!$E$4:$E$61,$E30),SUMIFS('Inhalation Exposure'!$AA$4:$AA$61,'Inhalation Exposure'!$B$4:$B$61,$B30,'Inhalation Exposure'!$D$4:$D$61,$C30,'Inhalation Exposure'!$E$4:$E$61,$E30)),IF($K30="Central Tendency",SUMIFS('Dermal Crosswalk'!$S$5:$S$32,'Dermal Crosswalk'!$A$5:$A$32,'Bridge Table'!$B30,'Dermal Crosswalk'!$C$5:$C$32,'Bridge Table'!$E30),SUMIFS('Dermal Crosswalk'!$N$5:$N$32,'Dermal Crosswalk'!$A$5:$A$32,'Bridge Table'!$B30,'Dermal Crosswalk'!$C$5:$C$32,'Bridge Table'!$E30))),"--")</f>
        <v>0.56884273321640455</v>
      </c>
      <c r="N30" s="586">
        <f>IFERROR(IFERROR(VLOOKUP($D30,$Z$8:$AD$9,4,FALSE),0)/IF($D30="Inhalation",IF($K30="Central Tendency",SUMIFS('Inhalation Exposure'!$R$4:$R$61,'Inhalation Exposure'!$B$4:$B$61,$B30,'Inhalation Exposure'!$D$4:$D$61,$C30,'Inhalation Exposure'!$E$4:$E$61,$E30),SUMIFS('Inhalation Exposure'!$Q$4:$Q$61,'Inhalation Exposure'!$B$4:$B$61,$B30,'Inhalation Exposure'!$D$4:$D$61,$C30,'Inhalation Exposure'!$E$4:$E$61,$E30)),IF($K30="Central Tendency",SUMIFS('Dermal Crosswalk'!$Q$5:$Q$32,'Dermal Crosswalk'!$A$5:$A$32,'Bridge Table'!$B30,'Dermal Crosswalk'!$C$5:$C$32,'Bridge Table'!$E30),SUMIFS('Dermal Crosswalk'!$L$5:$L$32,'Dermal Crosswalk'!$A$5:$A$32,'Bridge Table'!$B30,'Dermal Crosswalk'!$C$5:$C$32,'Bridge Table'!$E30))),"--")</f>
        <v>2.2391211508469255</v>
      </c>
      <c r="O30" s="586">
        <f>IFERROR(IFERROR(VLOOKUP($D30,$Z$8:$AD$9,5,FALSE),0)*IF($D30="Inhalation",IF($K30="Central Tendency",SUMIFS('Inhalation Exposure'!$V$4:$V$61,'Inhalation Exposure'!$B$4:$B$61,$B30,'Inhalation Exposure'!$D$4:$D$61,$C30,'Inhalation Exposure'!$E$4:$E$61,$E30),SUMIFS('Inhalation Exposure'!$U$4:$U$61,'Inhalation Exposure'!$B$4:$B$61,$B30,'Inhalation Exposure'!$D$4:$D$61,$C30,'Inhalation Exposure'!$E$4:$E$61,$E30)),IF($K30="Central Tendency",SUMIFS('Dermal Crosswalk'!$R$5:$R$32,'Dermal Crosswalk'!$A$5:$A$32,'Bridge Table'!$B30,'Dermal Crosswalk'!$C$5:$C$32,'Bridge Table'!$E30),SUMIFS('Dermal Crosswalk'!$M$5:$M$32,'Dermal Crosswalk'!$A$5:$A$32,'Bridge Table'!$B30,'Dermal Crosswalk'!$C$5:$C$32,'Bridge Table'!$E30))),"--")</f>
        <v>1.5318510115911491E-2</v>
      </c>
      <c r="P30" s="363">
        <f>L30*U30</f>
        <v>7.2275671329058682</v>
      </c>
      <c r="Q30" s="363">
        <f t="shared" ref="Q30" si="5">M30*V30</f>
        <v>2.8442136660820228</v>
      </c>
      <c r="R30" s="363">
        <f t="shared" ref="R30" si="6">N30*W30</f>
        <v>11.195605754234627</v>
      </c>
      <c r="S30" s="364">
        <f>O30/X30</f>
        <v>3.0637020231822983E-3</v>
      </c>
      <c r="U30" s="378">
        <v>5</v>
      </c>
      <c r="V30" s="379">
        <v>5</v>
      </c>
      <c r="W30" s="379">
        <v>5</v>
      </c>
      <c r="X30" s="380">
        <v>5</v>
      </c>
    </row>
    <row r="31" spans="1:29" ht="15" thickBot="1" x14ac:dyDescent="0.35">
      <c r="A31" s="372"/>
      <c r="B31" s="360">
        <v>1</v>
      </c>
      <c r="C31" s="361" t="s">
        <v>25</v>
      </c>
      <c r="D31" s="361" t="s">
        <v>16</v>
      </c>
      <c r="E31" s="362" t="s">
        <v>117</v>
      </c>
      <c r="F31" s="587"/>
      <c r="G31" s="587"/>
      <c r="H31" s="587"/>
      <c r="I31" s="587"/>
      <c r="J31" s="587"/>
      <c r="K31" s="585"/>
      <c r="L31" s="587"/>
      <c r="M31" s="587"/>
      <c r="N31" s="587"/>
      <c r="O31" s="587"/>
      <c r="P31" s="373" t="str">
        <f>CONCATENATE("(PF ",U30,")")</f>
        <v>(PF 5)</v>
      </c>
      <c r="Q31" s="373" t="str">
        <f>CONCATENATE("(PF ",V30,")")</f>
        <v>(PF 5)</v>
      </c>
      <c r="R31" s="373" t="str">
        <f>CONCATENATE("(PF ",W30,")")</f>
        <v>(PF 5)</v>
      </c>
      <c r="S31" s="373" t="str">
        <f>CONCATENATE("(PF ",X30,")")</f>
        <v>(PF 5)</v>
      </c>
      <c r="U31" s="384" t="s">
        <v>119</v>
      </c>
      <c r="V31" s="385" t="s">
        <v>119</v>
      </c>
      <c r="W31" s="385" t="s">
        <v>119</v>
      </c>
      <c r="X31" s="386" t="s">
        <v>119</v>
      </c>
    </row>
    <row r="32" spans="1:29" ht="15" customHeight="1" thickBot="1" x14ac:dyDescent="0.35">
      <c r="A32" s="372"/>
      <c r="B32" s="360" t="s">
        <v>120</v>
      </c>
      <c r="C32" s="361" t="s">
        <v>25</v>
      </c>
      <c r="D32" s="361" t="s">
        <v>111</v>
      </c>
      <c r="E32" s="362" t="s">
        <v>24</v>
      </c>
      <c r="F32" s="586" t="s">
        <v>121</v>
      </c>
      <c r="G32" s="586" t="s">
        <v>122</v>
      </c>
      <c r="H32" s="586" t="s">
        <v>123</v>
      </c>
      <c r="I32" s="586" t="s">
        <v>25</v>
      </c>
      <c r="J32" s="586" t="s">
        <v>115</v>
      </c>
      <c r="K32" s="584" t="s">
        <v>54</v>
      </c>
      <c r="L32" s="586">
        <f>IFERROR(IFERROR(VLOOKUP($D32,$Z$8:$AD$9,2,FALSE),0)/IF($D32="Inhalation",IF($K32="Central Tendency",SUMIFS('Inhalation Exposure'!$N$4:$N$61,'Inhalation Exposure'!$B$4:$B$61,$B32,'Inhalation Exposure'!$D$4:$D$61,$C32,'Inhalation Exposure'!$E$4:$E$61,$E32),SUMIFS('Inhalation Exposure'!$M$4:$M$61,'Inhalation Exposure'!$B$4:$B$61,$B32,'Inhalation Exposure'!$D$4:$D$61,$C32,'Inhalation Exposure'!$E$4:$E$61,$E32)),IF($K32="Central Tendency",SUMIFS('Dermal Crosswalk'!$P$5:$P$32,'Dermal Crosswalk'!$A$5:$A$32,'Bridge Table'!$B32,'Dermal Crosswalk'!$C$5:$C$32,'Bridge Table'!$E32),SUMIFS('Dermal Crosswalk'!$K$5:$K$32,'Dermal Crosswalk'!$A$5:$A$32,'Bridge Table'!$B32,'Dermal Crosswalk'!$C$5:$C$32,'Bridge Table'!$E32))),"--")</f>
        <v>4575.4208661636294</v>
      </c>
      <c r="M32" s="586">
        <f>IFERROR(IFERROR(VLOOKUP($D32,$Z$8:$AD$9,3,FALSE),0)/IF($D32="Inhalation",IF($K32="Central Tendency",SUMIFS('Inhalation Exposure'!$AB$4:$AB$61,'Inhalation Exposure'!$B$4:$B$61,$B32,'Inhalation Exposure'!$D$4:$D$61,$C32,'Inhalation Exposure'!$E$4:$E$61,$E32),SUMIFS('Inhalation Exposure'!$AA$4:$AA$61,'Inhalation Exposure'!$B$4:$B$61,$B32,'Inhalation Exposure'!$D$4:$D$61,$C32,'Inhalation Exposure'!$E$4:$E$61,$E32)),IF($K32="Central Tendency",SUMIFS('Dermal Crosswalk'!$S$5:$S$32,'Dermal Crosswalk'!$A$5:$A$32,'Bridge Table'!$B32,'Dermal Crosswalk'!$C$5:$C$32,'Bridge Table'!$E32),SUMIFS('Dermal Crosswalk'!$N$5:$N$32,'Dermal Crosswalk'!$A$5:$A$32,'Bridge Table'!$B32,'Dermal Crosswalk'!$C$5:$C$32,'Bridge Table'!$E32))),"--")</f>
        <v>6706.7151577626255</v>
      </c>
      <c r="N32" s="586">
        <f>IFERROR(IFERROR(VLOOKUP($D32,$Z$8:$AD$9,4,FALSE),0)/IF($D32="Inhalation",IF($K32="Central Tendency",SUMIFS('Inhalation Exposure'!$R$4:$R$61,'Inhalation Exposure'!$B$4:$B$61,$B32,'Inhalation Exposure'!$D$4:$D$61,$C32,'Inhalation Exposure'!$E$4:$E$61,$E32),SUMIFS('Inhalation Exposure'!$Q$4:$Q$61,'Inhalation Exposure'!$B$4:$B$61,$B32,'Inhalation Exposure'!$D$4:$D$61,$C32,'Inhalation Exposure'!$E$4:$E$61,$E32)),IF($K32="Central Tendency",SUMIFS('Dermal Crosswalk'!$Q$5:$Q$32,'Dermal Crosswalk'!$A$5:$A$32,'Bridge Table'!$B32,'Dermal Crosswalk'!$C$5:$C$32,'Bridge Table'!$E32),SUMIFS('Dermal Crosswalk'!$L$5:$L$32,'Dermal Crosswalk'!$A$5:$A$32,'Bridge Table'!$B32,'Dermal Crosswalk'!$C$5:$C$32,'Bridge Table'!$E32))),"--")</f>
        <v>76708.535290246451</v>
      </c>
      <c r="O32" s="586">
        <f>IFERROR(IFERROR(VLOOKUP($D32,$Z$8:$AD$9,5,FALSE),0)*IF($D32="Inhalation",IF($K32="Central Tendency",SUMIFS('Inhalation Exposure'!$V$4:$V$61,'Inhalation Exposure'!$B$4:$B$61,$B32,'Inhalation Exposure'!$D$4:$D$61,$C32,'Inhalation Exposure'!$E$4:$E$61,$E32),SUMIFS('Inhalation Exposure'!$U$4:$U$61,'Inhalation Exposure'!$B$4:$B$61,$B32,'Inhalation Exposure'!$D$4:$D$61,$C32,'Inhalation Exposure'!$E$4:$E$61,$E32)),IF($K32="Central Tendency",SUMIFS('Dermal Crosswalk'!$R$5:$R$32,'Dermal Crosswalk'!$A$5:$A$32,'Bridge Table'!$B32,'Dermal Crosswalk'!$C$5:$C$32,'Bridge Table'!$E32),SUMIFS('Dermal Crosswalk'!$M$5:$M$32,'Dermal Crosswalk'!$A$5:$A$32,'Bridge Table'!$B32,'Dermal Crosswalk'!$C$5:$C$32,'Bridge Table'!$E32))),"--")</f>
        <v>3.2981805974450667E-7</v>
      </c>
      <c r="P32" s="363">
        <f>IFERROR(L32*U32,"Not Assessed")</f>
        <v>45754.208661636294</v>
      </c>
      <c r="Q32" s="363">
        <f>IFERROR(M32*V32,"Not Assessed")</f>
        <v>67067.151577626253</v>
      </c>
      <c r="R32" s="363">
        <f>IFERROR(N32*W32,"Not Assessed")</f>
        <v>767085.35290246457</v>
      </c>
      <c r="S32" s="364">
        <f>IFERROR(O32/X32, "Not Assessed")</f>
        <v>3.2981805974450669E-8</v>
      </c>
      <c r="U32" s="365">
        <v>10</v>
      </c>
      <c r="V32" s="366">
        <v>10</v>
      </c>
      <c r="W32" s="366">
        <v>10</v>
      </c>
      <c r="X32" s="367">
        <v>10</v>
      </c>
    </row>
    <row r="33" spans="1:29" ht="15" thickBot="1" x14ac:dyDescent="0.35">
      <c r="A33" s="372"/>
      <c r="B33" s="360" t="s">
        <v>120</v>
      </c>
      <c r="C33" s="361" t="s">
        <v>25</v>
      </c>
      <c r="D33" s="361" t="s">
        <v>111</v>
      </c>
      <c r="E33" s="362" t="s">
        <v>24</v>
      </c>
      <c r="F33" s="589"/>
      <c r="G33" s="589"/>
      <c r="H33" s="589"/>
      <c r="I33" s="589"/>
      <c r="J33" s="589"/>
      <c r="K33" s="585"/>
      <c r="L33" s="587"/>
      <c r="M33" s="587"/>
      <c r="N33" s="587"/>
      <c r="O33" s="587"/>
      <c r="P33" s="373" t="str">
        <f>CONCATENATE("(APF ",U32,")")</f>
        <v>(APF 10)</v>
      </c>
      <c r="Q33" s="373" t="str">
        <f>CONCATENATE("(APF ",V32,")")</f>
        <v>(APF 10)</v>
      </c>
      <c r="R33" s="373" t="str">
        <f>CONCATENATE("(APF ",W32,")")</f>
        <v>(APF 10)</v>
      </c>
      <c r="S33" s="373" t="str">
        <f>CONCATENATE("(APF ",X32,")")</f>
        <v>(APF 10)</v>
      </c>
      <c r="U33" s="374" t="s">
        <v>116</v>
      </c>
      <c r="V33" s="375" t="s">
        <v>116</v>
      </c>
      <c r="W33" s="375" t="s">
        <v>116</v>
      </c>
      <c r="X33" s="376" t="s">
        <v>116</v>
      </c>
    </row>
    <row r="34" spans="1:29" ht="15" thickBot="1" x14ac:dyDescent="0.35">
      <c r="A34" s="372"/>
      <c r="B34" s="360" t="s">
        <v>120</v>
      </c>
      <c r="C34" s="361" t="s">
        <v>25</v>
      </c>
      <c r="D34" s="361" t="s">
        <v>111</v>
      </c>
      <c r="E34" s="362" t="s">
        <v>24</v>
      </c>
      <c r="F34" s="589"/>
      <c r="G34" s="589"/>
      <c r="H34" s="589"/>
      <c r="I34" s="589"/>
      <c r="J34" s="589"/>
      <c r="K34" s="584" t="s">
        <v>88</v>
      </c>
      <c r="L34" s="586">
        <f>IFERROR(IFERROR(VLOOKUP($D34,$Z$8:$AD$9,2,FALSE),0)/IF($D34="Inhalation",IF($K34="Central Tendency",SUMIFS('Inhalation Exposure'!$N$4:$N$61,'Inhalation Exposure'!$B$4:$B$61,$B34,'Inhalation Exposure'!$D$4:$D$61,$C34,'Inhalation Exposure'!$E$4:$E$61,$E34),SUMIFS('Inhalation Exposure'!$M$4:$M$61,'Inhalation Exposure'!$B$4:$B$61,$B34,'Inhalation Exposure'!$D$4:$D$61,$C34,'Inhalation Exposure'!$E$4:$E$61,$E34)),IF($K34="Central Tendency",SUMIFS('Dermal Crosswalk'!$P$5:$P$32,'Dermal Crosswalk'!$A$5:$A$32,'Bridge Table'!$B34,'Dermal Crosswalk'!$C$5:$C$32,'Bridge Table'!$E34),SUMIFS('Dermal Crosswalk'!$K$5:$K$32,'Dermal Crosswalk'!$A$5:$A$32,'Bridge Table'!$B34,'Dermal Crosswalk'!$C$5:$C$32,'Bridge Table'!$E34))),"--")</f>
        <v>728.2354942419654</v>
      </c>
      <c r="M34" s="586">
        <f>IFERROR(IFERROR(VLOOKUP($D34,$Z$8:$AD$9,3,FALSE),0)/IF($D34="Inhalation",IF($K34="Central Tendency",SUMIFS('Inhalation Exposure'!$AB$4:$AB$61,'Inhalation Exposure'!$B$4:$B$61,$B34,'Inhalation Exposure'!$D$4:$D$61,$C34,'Inhalation Exposure'!$E$4:$E$61,$E34),SUMIFS('Inhalation Exposure'!$AA$4:$AA$61,'Inhalation Exposure'!$B$4:$B$61,$B34,'Inhalation Exposure'!$D$4:$D$61,$C34,'Inhalation Exposure'!$E$4:$E$61,$E34)),IF($K34="Central Tendency",SUMIFS('Dermal Crosswalk'!$S$5:$S$32,'Dermal Crosswalk'!$A$5:$A$32,'Bridge Table'!$B34,'Dermal Crosswalk'!$C$5:$C$32,'Bridge Table'!$E34),SUMIFS('Dermal Crosswalk'!$N$5:$N$32,'Dermal Crosswalk'!$A$5:$A$32,'Bridge Table'!$B34,'Dermal Crosswalk'!$C$5:$C$32,'Bridge Table'!$E34))),"--")</f>
        <v>1611.462927559965</v>
      </c>
      <c r="N34" s="586">
        <f>IFERROR(IFERROR(VLOOKUP($D34,$Z$8:$AD$9,4,FALSE),0)/IF($D34="Inhalation",IF($K34="Central Tendency",SUMIFS('Inhalation Exposure'!$R$4:$R$61,'Inhalation Exposure'!$B$4:$B$61,$B34,'Inhalation Exposure'!$D$4:$D$61,$C34,'Inhalation Exposure'!$E$4:$E$61,$E34),SUMIFS('Inhalation Exposure'!$Q$4:$Q$61,'Inhalation Exposure'!$B$4:$B$61,$B34,'Inhalation Exposure'!$D$4:$D$61,$C34,'Inhalation Exposure'!$E$4:$E$61,$E34)),IF($K34="Central Tendency",SUMIFS('Dermal Crosswalk'!$Q$5:$Q$32,'Dermal Crosswalk'!$A$5:$A$32,'Bridge Table'!$B34,'Dermal Crosswalk'!$C$5:$C$32,'Bridge Table'!$E34),SUMIFS('Dermal Crosswalk'!$L$5:$L$32,'Dermal Crosswalk'!$A$5:$A$32,'Bridge Table'!$B34,'Dermal Crosswalk'!$C$5:$C$32,'Bridge Table'!$E34))),"--")</f>
        <v>18595.336577271733</v>
      </c>
      <c r="O34" s="586">
        <f>IFERROR(IFERROR(VLOOKUP($D34,$Z$8:$AD$9,5,FALSE),0)*IF($D34="Inhalation",IF($K34="Central Tendency",SUMIFS('Inhalation Exposure'!$V$4:$V$61,'Inhalation Exposure'!$B$4:$B$61,$B34,'Inhalation Exposure'!$D$4:$D$61,$C34,'Inhalation Exposure'!$E$4:$E$61,$E34),SUMIFS('Inhalation Exposure'!$U$4:$U$61,'Inhalation Exposure'!$B$4:$B$61,$B34,'Inhalation Exposure'!$D$4:$D$61,$C34,'Inhalation Exposure'!$E$4:$E$61,$E34)),IF($K34="Central Tendency",SUMIFS('Dermal Crosswalk'!$R$5:$R$32,'Dermal Crosswalk'!$A$5:$A$32,'Bridge Table'!$B34,'Dermal Crosswalk'!$C$5:$C$32,'Bridge Table'!$E34),SUMIFS('Dermal Crosswalk'!$M$5:$M$32,'Dermal Crosswalk'!$A$5:$A$32,'Bridge Table'!$B34,'Dermal Crosswalk'!$C$5:$C$32,'Bridge Table'!$E34))),"--")</f>
        <v>1.4307083029696737E-6</v>
      </c>
      <c r="P34" s="363">
        <f>IFERROR(L34*U34,"Not Assessed")</f>
        <v>7282.3549424196535</v>
      </c>
      <c r="Q34" s="363">
        <f>IFERROR(M34*V34,"Not Assessed")</f>
        <v>16114.629275599651</v>
      </c>
      <c r="R34" s="363">
        <f>IFERROR(N34*W34,"Not Assessed")</f>
        <v>185953.36577271734</v>
      </c>
      <c r="S34" s="364">
        <f>IFERROR(O34/X34, "Not Assessed")</f>
        <v>1.4307083029696739E-7</v>
      </c>
      <c r="U34" s="378">
        <v>10</v>
      </c>
      <c r="V34" s="379">
        <v>10</v>
      </c>
      <c r="W34" s="379">
        <v>10</v>
      </c>
      <c r="X34" s="380">
        <v>10</v>
      </c>
      <c r="AC34" s="381"/>
    </row>
    <row r="35" spans="1:29" ht="15" thickBot="1" x14ac:dyDescent="0.35">
      <c r="A35" s="372"/>
      <c r="B35" s="360" t="s">
        <v>120</v>
      </c>
      <c r="C35" s="361" t="s">
        <v>25</v>
      </c>
      <c r="D35" s="361" t="s">
        <v>111</v>
      </c>
      <c r="E35" s="362" t="s">
        <v>24</v>
      </c>
      <c r="F35" s="589"/>
      <c r="G35" s="589"/>
      <c r="H35" s="589"/>
      <c r="I35" s="590"/>
      <c r="J35" s="590"/>
      <c r="K35" s="588"/>
      <c r="L35" s="587"/>
      <c r="M35" s="587"/>
      <c r="N35" s="587"/>
      <c r="O35" s="587"/>
      <c r="P35" s="373" t="str">
        <f>CONCATENATE("(APF ",U34,")")</f>
        <v>(APF 10)</v>
      </c>
      <c r="Q35" s="373" t="str">
        <f>CONCATENATE("(APF ",V34,")")</f>
        <v>(APF 10)</v>
      </c>
      <c r="R35" s="373" t="str">
        <f>CONCATENATE("(APF ",W34,")")</f>
        <v>(APF 10)</v>
      </c>
      <c r="S35" s="373" t="str">
        <f>CONCATENATE("(APF ",X34,")")</f>
        <v>(APF 10)</v>
      </c>
      <c r="U35" s="374" t="s">
        <v>116</v>
      </c>
      <c r="V35" s="375" t="s">
        <v>116</v>
      </c>
      <c r="W35" s="375" t="s">
        <v>116</v>
      </c>
      <c r="X35" s="376" t="s">
        <v>116</v>
      </c>
    </row>
    <row r="36" spans="1:29" ht="15.6" customHeight="1" thickBot="1" x14ac:dyDescent="0.35">
      <c r="A36" s="372"/>
      <c r="B36" s="360" t="s">
        <v>120</v>
      </c>
      <c r="C36" s="361" t="s">
        <v>25</v>
      </c>
      <c r="D36" s="361" t="s">
        <v>111</v>
      </c>
      <c r="E36" s="362" t="s">
        <v>117</v>
      </c>
      <c r="F36" s="589"/>
      <c r="G36" s="589"/>
      <c r="H36" s="589"/>
      <c r="I36" s="589" t="s">
        <v>25</v>
      </c>
      <c r="J36" s="586" t="s">
        <v>115</v>
      </c>
      <c r="K36" s="584" t="s">
        <v>54</v>
      </c>
      <c r="L36" s="586">
        <f>IFERROR(IFERROR(VLOOKUP($D36,$Z$8:$AD$9,2,FALSE),0)/IF($D36="Inhalation",IF($K36="Central Tendency",SUMIFS('Inhalation Exposure'!$N$4:$N$61,'Inhalation Exposure'!$B$4:$B$61,$B36,'Inhalation Exposure'!$D$4:$D$61,$C36,'Inhalation Exposure'!$E$4:$E$61,$E36),SUMIFS('Inhalation Exposure'!$M$4:$M$61,'Inhalation Exposure'!$B$4:$B$61,$B36,'Inhalation Exposure'!$D$4:$D$61,$C36,'Inhalation Exposure'!$E$4:$E$61,$E36)),IF($K36="Central Tendency",SUMIFS('Dermal Crosswalk'!$P$5:$P$32,'Dermal Crosswalk'!$A$5:$A$32,'Bridge Table'!$B36,'Dermal Crosswalk'!$C$5:$C$32,'Bridge Table'!$E36),SUMIFS('Dermal Crosswalk'!$K$5:$K$32,'Dermal Crosswalk'!$A$5:$A$32,'Bridge Table'!$B36,'Dermal Crosswalk'!$C$5:$C$32,'Bridge Table'!$E36))),"--")</f>
        <v>4528.2026196216157</v>
      </c>
      <c r="M36" s="586">
        <f>IFERROR(IFERROR(VLOOKUP($D36,$Z$8:$AD$9,3,FALSE),0)/IF($D36="Inhalation",IF($K36="Central Tendency",SUMIFS('Inhalation Exposure'!$AB$4:$AB$61,'Inhalation Exposure'!$B$4:$B$61,$B36,'Inhalation Exposure'!$D$4:$D$61,$C36,'Inhalation Exposure'!$E$4:$E$61,$E36),SUMIFS('Inhalation Exposure'!$AA$4:$AA$61,'Inhalation Exposure'!$B$4:$B$61,$B36,'Inhalation Exposure'!$D$4:$D$61,$C36,'Inhalation Exposure'!$E$4:$E$61,$E36)),IF($K36="Central Tendency",SUMIFS('Dermal Crosswalk'!$S$5:$S$32,'Dermal Crosswalk'!$A$5:$A$32,'Bridge Table'!$B36,'Dermal Crosswalk'!$C$5:$C$32,'Bridge Table'!$E36),SUMIFS('Dermal Crosswalk'!$N$5:$N$32,'Dermal Crosswalk'!$A$5:$A$32,'Bridge Table'!$B36,'Dermal Crosswalk'!$C$5:$C$32,'Bridge Table'!$E36))),"--")</f>
        <v>1923.3266418924698</v>
      </c>
      <c r="N36" s="586">
        <f>IFERROR(IFERROR(VLOOKUP($D36,$Z$8:$AD$9,4,FALSE),0)/IF($D36="Inhalation",IF($K36="Central Tendency",SUMIFS('Inhalation Exposure'!$R$4:$R$61,'Inhalation Exposure'!$B$4:$B$61,$B36,'Inhalation Exposure'!$D$4:$D$61,$C36,'Inhalation Exposure'!$E$4:$E$61,$E36),SUMIFS('Inhalation Exposure'!$Q$4:$Q$61,'Inhalation Exposure'!$B$4:$B$61,$B36,'Inhalation Exposure'!$D$4:$D$61,$C36,'Inhalation Exposure'!$E$4:$E$61,$E36)),IF($K36="Central Tendency",SUMIFS('Dermal Crosswalk'!$Q$5:$Q$32,'Dermal Crosswalk'!$A$5:$A$32,'Bridge Table'!$B36,'Dermal Crosswalk'!$C$5:$C$32,'Bridge Table'!$E36),SUMIFS('Dermal Crosswalk'!$L$5:$L$32,'Dermal Crosswalk'!$A$5:$A$32,'Bridge Table'!$B36,'Dermal Crosswalk'!$C$5:$C$32,'Bridge Table'!$E36))),"--")</f>
        <v>8809.680361309127</v>
      </c>
      <c r="O36" s="586">
        <f>IFERROR(IFERROR(VLOOKUP($D36,$Z$8:$AD$9,5,FALSE),0)*IF($D36="Inhalation",IF($K36="Central Tendency",SUMIFS('Inhalation Exposure'!$V$4:$V$61,'Inhalation Exposure'!$B$4:$B$61,$B36,'Inhalation Exposure'!$D$4:$D$61,$C36,'Inhalation Exposure'!$E$4:$E$61,$E36),SUMIFS('Inhalation Exposure'!$U$4:$U$61,'Inhalation Exposure'!$B$4:$B$61,$B36,'Inhalation Exposure'!$D$4:$D$61,$C36,'Inhalation Exposure'!$E$4:$E$61,$E36)),IF($K36="Central Tendency",SUMIFS('Dermal Crosswalk'!$R$5:$R$32,'Dermal Crosswalk'!$A$5:$A$32,'Bridge Table'!$B36,'Dermal Crosswalk'!$C$5:$C$32,'Bridge Table'!$E36),SUMIFS('Dermal Crosswalk'!$M$5:$M$32,'Dermal Crosswalk'!$A$5:$A$32,'Bridge Table'!$B36,'Dermal Crosswalk'!$C$5:$C$32,'Bridge Table'!$E36))),"--")</f>
        <v>2.8667322336298367E-6</v>
      </c>
      <c r="P36" s="363">
        <f>IFERROR(L36*U36,"Not Assessed")</f>
        <v>45282.02619621616</v>
      </c>
      <c r="Q36" s="363">
        <f>IFERROR(M36*V36,"Not Assessed")</f>
        <v>19233.266418924697</v>
      </c>
      <c r="R36" s="363">
        <f>IFERROR(N36*W36,"Not Assessed")</f>
        <v>88096.803613091266</v>
      </c>
      <c r="S36" s="364">
        <f>IFERROR(O36/X36, "Not Assessed")</f>
        <v>2.8667322336298369E-7</v>
      </c>
      <c r="U36" s="378">
        <v>10</v>
      </c>
      <c r="V36" s="379">
        <v>10</v>
      </c>
      <c r="W36" s="379">
        <v>10</v>
      </c>
      <c r="X36" s="380">
        <v>10</v>
      </c>
    </row>
    <row r="37" spans="1:29" ht="15" thickBot="1" x14ac:dyDescent="0.35">
      <c r="A37" s="372"/>
      <c r="B37" s="360" t="s">
        <v>120</v>
      </c>
      <c r="C37" s="361" t="s">
        <v>25</v>
      </c>
      <c r="D37" s="361" t="s">
        <v>111</v>
      </c>
      <c r="E37" s="362" t="s">
        <v>117</v>
      </c>
      <c r="F37" s="589"/>
      <c r="G37" s="589"/>
      <c r="H37" s="589"/>
      <c r="I37" s="589"/>
      <c r="J37" s="589"/>
      <c r="K37" s="585"/>
      <c r="L37" s="587"/>
      <c r="M37" s="587"/>
      <c r="N37" s="587"/>
      <c r="O37" s="587"/>
      <c r="P37" s="373" t="str">
        <f>CONCATENATE("(APF ",U36,")")</f>
        <v>(APF 10)</v>
      </c>
      <c r="Q37" s="373" t="str">
        <f>CONCATENATE("(APF ",V36,")")</f>
        <v>(APF 10)</v>
      </c>
      <c r="R37" s="373" t="str">
        <f>CONCATENATE("(APF ",W36,")")</f>
        <v>(APF 10)</v>
      </c>
      <c r="S37" s="373" t="str">
        <f>CONCATENATE("(APF ",X36,")")</f>
        <v>(APF 10)</v>
      </c>
      <c r="U37" s="374" t="s">
        <v>116</v>
      </c>
      <c r="V37" s="375" t="s">
        <v>116</v>
      </c>
      <c r="W37" s="375" t="s">
        <v>116</v>
      </c>
      <c r="X37" s="376" t="s">
        <v>116</v>
      </c>
    </row>
    <row r="38" spans="1:29" ht="15" thickBot="1" x14ac:dyDescent="0.35">
      <c r="A38" s="372"/>
      <c r="B38" s="360" t="s">
        <v>120</v>
      </c>
      <c r="C38" s="361" t="s">
        <v>25</v>
      </c>
      <c r="D38" s="361" t="s">
        <v>111</v>
      </c>
      <c r="E38" s="362" t="s">
        <v>117</v>
      </c>
      <c r="F38" s="589"/>
      <c r="G38" s="589"/>
      <c r="H38" s="589"/>
      <c r="I38" s="589"/>
      <c r="J38" s="589"/>
      <c r="K38" s="584" t="s">
        <v>88</v>
      </c>
      <c r="L38" s="586">
        <f>IFERROR(IFERROR(VLOOKUP($D38,$Z$8:$AD$9,2,FALSE),0)/IF($D38="Inhalation",IF($K38="Central Tendency",SUMIFS('Inhalation Exposure'!$N$4:$N$61,'Inhalation Exposure'!$B$4:$B$61,$B38,'Inhalation Exposure'!$D$4:$D$61,$C38,'Inhalation Exposure'!$E$4:$E$61,$E38),SUMIFS('Inhalation Exposure'!$M$4:$M$61,'Inhalation Exposure'!$B$4:$B$61,$B38,'Inhalation Exposure'!$D$4:$D$61,$C38,'Inhalation Exposure'!$E$4:$E$61,$E38)),IF($K38="Central Tendency",SUMIFS('Dermal Crosswalk'!$P$5:$P$32,'Dermal Crosswalk'!$A$5:$A$32,'Bridge Table'!$B38,'Dermal Crosswalk'!$C$5:$C$32,'Bridge Table'!$E38),SUMIFS('Dermal Crosswalk'!$K$5:$K$32,'Dermal Crosswalk'!$A$5:$A$32,'Bridge Table'!$B38,'Dermal Crosswalk'!$C$5:$C$32,'Bridge Table'!$E38))),"--")</f>
        <v>693.10449369458354</v>
      </c>
      <c r="M38" s="586">
        <f>IFERROR(IFERROR(VLOOKUP($D38,$Z$8:$AD$9,3,FALSE),0)/IF($D38="Inhalation",IF($K38="Central Tendency",SUMIFS('Inhalation Exposure'!$AB$4:$AB$61,'Inhalation Exposure'!$B$4:$B$61,$B38,'Inhalation Exposure'!$D$4:$D$61,$C38,'Inhalation Exposure'!$E$4:$E$61,$E38),SUMIFS('Inhalation Exposure'!$AA$4:$AA$61,'Inhalation Exposure'!$B$4:$B$61,$B38,'Inhalation Exposure'!$D$4:$D$61,$C38,'Inhalation Exposure'!$E$4:$E$61,$E38)),IF($K38="Central Tendency",SUMIFS('Dermal Crosswalk'!$S$5:$S$32,'Dermal Crosswalk'!$A$5:$A$32,'Bridge Table'!$B38,'Dermal Crosswalk'!$C$5:$C$32,'Bridge Table'!$E38),SUMIFS('Dermal Crosswalk'!$N$5:$N$32,'Dermal Crosswalk'!$A$5:$A$32,'Bridge Table'!$B38,'Dermal Crosswalk'!$C$5:$C$32,'Bridge Table'!$E38))),"--")</f>
        <v>345.03081937057789</v>
      </c>
      <c r="N38" s="586">
        <f>IFERROR(IFERROR(VLOOKUP($D38,$Z$8:$AD$9,4,FALSE),0)/IF($D38="Inhalation",IF($K38="Central Tendency",SUMIFS('Inhalation Exposure'!$R$4:$R$61,'Inhalation Exposure'!$B$4:$B$61,$B38,'Inhalation Exposure'!$D$4:$D$61,$C38,'Inhalation Exposure'!$E$4:$E$61,$E38),SUMIFS('Inhalation Exposure'!$Q$4:$Q$61,'Inhalation Exposure'!$B$4:$B$61,$B38,'Inhalation Exposure'!$D$4:$D$61,$C38,'Inhalation Exposure'!$E$4:$E$61,$E38)),IF($K38="Central Tendency",SUMIFS('Dermal Crosswalk'!$Q$5:$Q$32,'Dermal Crosswalk'!$A$5:$A$32,'Bridge Table'!$B38,'Dermal Crosswalk'!$C$5:$C$32,'Bridge Table'!$E38),SUMIFS('Dermal Crosswalk'!$L$5:$L$32,'Dermal Crosswalk'!$A$5:$A$32,'Bridge Table'!$B38,'Dermal Crosswalk'!$C$5:$C$32,'Bridge Table'!$E38))),"--")</f>
        <v>2113.3477528106901</v>
      </c>
      <c r="O38" s="586">
        <f>IFERROR(IFERROR(VLOOKUP($D38,$Z$8:$AD$9,5,FALSE),0)*IF($D38="Inhalation",IF($K38="Central Tendency",SUMIFS('Inhalation Exposure'!$V$4:$V$61,'Inhalation Exposure'!$B$4:$B$61,$B38,'Inhalation Exposure'!$D$4:$D$61,$C38,'Inhalation Exposure'!$E$4:$E$61,$E38),SUMIFS('Inhalation Exposure'!$U$4:$U$61,'Inhalation Exposure'!$B$4:$B$61,$B38,'Inhalation Exposure'!$D$4:$D$61,$C38,'Inhalation Exposure'!$E$4:$E$61,$E38)),IF($K38="Central Tendency",SUMIFS('Dermal Crosswalk'!$R$5:$R$32,'Dermal Crosswalk'!$A$5:$A$32,'Bridge Table'!$B38,'Dermal Crosswalk'!$C$5:$C$32,'Bridge Table'!$E38),SUMIFS('Dermal Crosswalk'!$M$5:$M$32,'Dermal Crosswalk'!$A$5:$A$32,'Bridge Table'!$B38,'Dermal Crosswalk'!$C$5:$C$32,'Bridge Table'!$E38))),"--")</f>
        <v>1.2614043493782447E-5</v>
      </c>
      <c r="P38" s="363">
        <f>IFERROR(L38*U38,"Not Assessed")</f>
        <v>6931.0449369458356</v>
      </c>
      <c r="Q38" s="363">
        <f>IFERROR(M38*V38,"Not Assessed")</f>
        <v>3450.3081937057786</v>
      </c>
      <c r="R38" s="363">
        <f>IFERROR(N38*W38,"Not Assessed")</f>
        <v>21133.477528106901</v>
      </c>
      <c r="S38" s="364">
        <f>IFERROR(O38/X38, "Not Assessed")</f>
        <v>1.2614043493782446E-6</v>
      </c>
      <c r="U38" s="378">
        <v>10</v>
      </c>
      <c r="V38" s="379">
        <v>10</v>
      </c>
      <c r="W38" s="379">
        <v>10</v>
      </c>
      <c r="X38" s="380">
        <v>10</v>
      </c>
    </row>
    <row r="39" spans="1:29" ht="15" thickBot="1" x14ac:dyDescent="0.35">
      <c r="A39" s="372"/>
      <c r="B39" s="360" t="s">
        <v>120</v>
      </c>
      <c r="C39" s="361" t="s">
        <v>25</v>
      </c>
      <c r="D39" s="361" t="s">
        <v>111</v>
      </c>
      <c r="E39" s="362" t="s">
        <v>117</v>
      </c>
      <c r="F39" s="589"/>
      <c r="G39" s="589"/>
      <c r="H39" s="589"/>
      <c r="I39" s="590"/>
      <c r="J39" s="590"/>
      <c r="K39" s="588"/>
      <c r="L39" s="587"/>
      <c r="M39" s="587"/>
      <c r="N39" s="587"/>
      <c r="O39" s="587"/>
      <c r="P39" s="373" t="str">
        <f>CONCATENATE("(APF ",U38,")")</f>
        <v>(APF 10)</v>
      </c>
      <c r="Q39" s="373" t="str">
        <f>CONCATENATE("(APF ",V38,")")</f>
        <v>(APF 10)</v>
      </c>
      <c r="R39" s="373" t="str">
        <f>CONCATENATE("(APF ",W38,")")</f>
        <v>(APF 10)</v>
      </c>
      <c r="S39" s="373" t="str">
        <f>CONCATENATE("(APF ",X38,")")</f>
        <v>(APF 10)</v>
      </c>
      <c r="U39" s="374" t="s">
        <v>116</v>
      </c>
      <c r="V39" s="375" t="s">
        <v>116</v>
      </c>
      <c r="W39" s="375" t="s">
        <v>116</v>
      </c>
      <c r="X39" s="376" t="s">
        <v>116</v>
      </c>
    </row>
    <row r="40" spans="1:29" ht="15" customHeight="1" thickBot="1" x14ac:dyDescent="0.35">
      <c r="A40" s="372"/>
      <c r="B40" s="360" t="s">
        <v>120</v>
      </c>
      <c r="C40" s="361" t="s">
        <v>53</v>
      </c>
      <c r="D40" s="361" t="s">
        <v>111</v>
      </c>
      <c r="E40" s="362" t="s">
        <v>24</v>
      </c>
      <c r="F40" s="589"/>
      <c r="G40" s="589"/>
      <c r="H40" s="589"/>
      <c r="I40" s="589" t="s">
        <v>53</v>
      </c>
      <c r="J40" s="586" t="s">
        <v>115</v>
      </c>
      <c r="K40" s="584" t="s">
        <v>54</v>
      </c>
      <c r="L40" s="586" t="str">
        <f>IFERROR(IFERROR(VLOOKUP($D40,$Z$8:$AD$9,2,FALSE),0)/IF($D40="Inhalation",IF($K40="Central Tendency",SUMIFS('Inhalation Exposure'!$L$4:$L$60,'Inhalation Exposure'!$B$4:$B$60,$B40,'Inhalation Exposure'!$D$4:$D$60,$C40,'Inhalation Exposure'!$E$4:$E$60,$E40),SUMIFS('Inhalation Exposure'!$K$4:$K$60,'Inhalation Exposure'!$B$4:$B$60,$B40,'Inhalation Exposure'!$D$4:$D$60,$C40,'Inhalation Exposure'!$E$4:$E$60,$E40)),IF($K40="Central Tendency",SUMIFS('Dermal Crosswalk'!$P$5:$P$32,'Dermal Crosswalk'!$A$5:$A$32,'Bridge Table'!$B40,'Dermal Crosswalk'!$C$5:$C$32,'Bridge Table'!$E40),SUMIFS('Dermal Crosswalk'!$K$5:$K$32,'Dermal Crosswalk'!$A$5:$A$32,'Bridge Table'!$B40,'Dermal Crosswalk'!$C$5:$C$32,'Bridge Table'!$E40))),"--")</f>
        <v>--</v>
      </c>
      <c r="M40" s="586" t="str">
        <f>IFERROR(IFERROR(VLOOKUP($D40,$Z$8:$AD$9,3,FALSE),0)/IF($D40="Inhalation",IF($K40="Central Tendency",SUMIFS('Inhalation Exposure'!$AB$4:$AB$60,'Inhalation Exposure'!$B$4:$B$60,$B40,'Inhalation Exposure'!$D$4:$D$60,$C40,'Inhalation Exposure'!$E$4:$E$60,$E40),SUMIFS('Inhalation Exposure'!$AA$4:$AA$60,'Inhalation Exposure'!$B$4:$B$60,$B40,'Inhalation Exposure'!$D$4:$D$60,$C40,'Inhalation Exposure'!$E$4:$E$60,$E40)),IF($K40="Central Tendency",SUMIFS('Dermal Crosswalk'!$S$5:$S$32,'Dermal Crosswalk'!$A$5:$A$32,'Bridge Table'!$B40,'Dermal Crosswalk'!$C$5:$C$32,'Bridge Table'!$E40),SUMIFS('Dermal Crosswalk'!$N$5:$N$32,'Dermal Crosswalk'!$A$5:$A$32,'Bridge Table'!$B40,'Dermal Crosswalk'!$C$5:$C$32,'Bridge Table'!$E40))),"--")</f>
        <v>--</v>
      </c>
      <c r="N40" s="586" t="str">
        <f>IFERROR(IFERROR(VLOOKUP($D40,$Z$8:$AD$9,4,FALSE),0)/IF($D40="Inhalation",IF($K40="Central Tendency",SUMIFS('Inhalation Exposure'!$R$4:$R$60,'Inhalation Exposure'!$B$4:$B$60,$B40,'Inhalation Exposure'!$D$4:$D$60,$C40,'Inhalation Exposure'!$E$4:$E$60,$E40),SUMIFS('Inhalation Exposure'!$Q$4:$Q$60,'Inhalation Exposure'!$B$4:$B$60,$B40,'Inhalation Exposure'!$D$4:$D$60,$C40,'Inhalation Exposure'!$E$4:$E$60,$E40)),IF($K40="Central Tendency",SUMIFS('Dermal Crosswalk'!$Q$5:$Q$32,'Dermal Crosswalk'!$A$5:$A$32,'Bridge Table'!$B40,'Dermal Crosswalk'!$C$5:$C$32,'Bridge Table'!$E40),SUMIFS('Dermal Crosswalk'!$L$5:$L$32,'Dermal Crosswalk'!$A$5:$A$32,'Bridge Table'!$B40,'Dermal Crosswalk'!$C$5:$C$32,'Bridge Table'!$E40))),"--")</f>
        <v>--</v>
      </c>
      <c r="O40" s="586" t="str">
        <f>IF(IFERROR(VLOOKUP($D40,$Z$8:$AD$9,5,FALSE),0)*IF($D40="Inhalation",IF($K40="Central Tendency",SUMIFS('Inhalation Exposure'!$V$4:$V$60,'Inhalation Exposure'!$B$4:$B$60,$B40,'Inhalation Exposure'!$D$4:$D$60,$C40,'Inhalation Exposure'!$E$4:$E$60,$E40),SUMIFS('Inhalation Exposure'!$U$4:$U$60,'Inhalation Exposure'!$B$4:$B$60,$B40,'Inhalation Exposure'!$D$4:$D$60,$C40,'Inhalation Exposure'!$E$4:$E$60,$E40)),IF($K40="Central Tendency",SUMIFS('Dermal Crosswalk'!$R$5:$R$32,'Dermal Crosswalk'!$A$5:$A$32,'Bridge Table'!$B40,'Dermal Crosswalk'!$C$5:$C$32,'Bridge Table'!$E40),SUMIFS('Dermal Crosswalk'!$M$5:$M$32,'Dermal Crosswalk'!$A$5:$A$32,'Bridge Table'!$B40,'Dermal Crosswalk'!$C$5:$C$32,'Bridge Table'!$E40)))=0,"--",IFERROR(VLOOKUP($D40,$Z$8:$AD$9,5,FALSE),0)*IF($D40="Inhalation",IF($K40="Central Tendency",SUMIFS('Inhalation Exposure'!$V$4:$V$60,'Inhalation Exposure'!$B$4:$B$60,$B40,'Inhalation Exposure'!$D$4:$D$60,$C40,'Inhalation Exposure'!$E$4:$E$60,$E40),SUMIFS('Inhalation Exposure'!$U$4:$U$60,'Inhalation Exposure'!$B$4:$B$60,$B40,'Inhalation Exposure'!$D$4:$D$60,$C40,'Inhalation Exposure'!$E$4:$E$60,$E40)),IF($K40="Central Tendency",SUMIFS('Dermal Crosswalk'!$R$5:$R$32,'Dermal Crosswalk'!$A$5:$A$32,'Bridge Table'!$B40,'Dermal Crosswalk'!$C$5:$C$32,'Bridge Table'!$E40),SUMIFS('Dermal Crosswalk'!$M$5:$M$32,'Dermal Crosswalk'!$A$5:$A$32,'Bridge Table'!$B40,'Dermal Crosswalk'!$C$5:$C$32,'Bridge Table'!$E40))))</f>
        <v>--</v>
      </c>
      <c r="P40" s="610" t="s">
        <v>118</v>
      </c>
      <c r="Q40" s="610" t="s">
        <v>118</v>
      </c>
      <c r="R40" s="610" t="s">
        <v>118</v>
      </c>
      <c r="S40" s="610" t="s">
        <v>118</v>
      </c>
      <c r="U40" s="612" t="s">
        <v>118</v>
      </c>
      <c r="V40" s="614" t="s">
        <v>118</v>
      </c>
      <c r="W40" s="614" t="s">
        <v>118</v>
      </c>
      <c r="X40" s="616" t="s">
        <v>118</v>
      </c>
    </row>
    <row r="41" spans="1:29" ht="15" thickBot="1" x14ac:dyDescent="0.35">
      <c r="A41" s="372"/>
      <c r="B41" s="360" t="s">
        <v>120</v>
      </c>
      <c r="C41" s="361" t="s">
        <v>53</v>
      </c>
      <c r="D41" s="361" t="s">
        <v>111</v>
      </c>
      <c r="E41" s="362" t="s">
        <v>24</v>
      </c>
      <c r="F41" s="589"/>
      <c r="G41" s="589"/>
      <c r="H41" s="589"/>
      <c r="I41" s="589"/>
      <c r="J41" s="589"/>
      <c r="K41" s="585"/>
      <c r="L41" s="587"/>
      <c r="M41" s="587"/>
      <c r="N41" s="587"/>
      <c r="O41" s="587"/>
      <c r="P41" s="611"/>
      <c r="Q41" s="611"/>
      <c r="R41" s="611"/>
      <c r="S41" s="611"/>
      <c r="U41" s="613"/>
      <c r="V41" s="615"/>
      <c r="W41" s="615"/>
      <c r="X41" s="617"/>
    </row>
    <row r="42" spans="1:29" ht="15" thickBot="1" x14ac:dyDescent="0.35">
      <c r="A42" s="372"/>
      <c r="B42" s="360" t="s">
        <v>120</v>
      </c>
      <c r="C42" s="361" t="s">
        <v>53</v>
      </c>
      <c r="D42" s="361" t="s">
        <v>111</v>
      </c>
      <c r="E42" s="362" t="s">
        <v>24</v>
      </c>
      <c r="F42" s="589"/>
      <c r="G42" s="589"/>
      <c r="H42" s="589"/>
      <c r="I42" s="589"/>
      <c r="J42" s="589"/>
      <c r="K42" s="584" t="s">
        <v>88</v>
      </c>
      <c r="L42" s="586" t="str">
        <f>IFERROR(IFERROR(VLOOKUP($D42,$Z$8:$AD$9,2,FALSE),0)/IF($D42="Inhalation",IF($K42="Central Tendency",SUMIFS('Inhalation Exposure'!$L$4:$L$60,'Inhalation Exposure'!$B$4:$B$60,$B42,'Inhalation Exposure'!$D$4:$D$60,$C42,'Inhalation Exposure'!$E$4:$E$60,$E42),SUMIFS('Inhalation Exposure'!$K$4:$K$60,'Inhalation Exposure'!$B$4:$B$60,$B42,'Inhalation Exposure'!$D$4:$D$60,$C42,'Inhalation Exposure'!$E$4:$E$60,$E42)),IF($K42="Central Tendency",SUMIFS('Dermal Crosswalk'!$P$5:$P$32,'Dermal Crosswalk'!$A$5:$A$32,'Bridge Table'!$B42,'Dermal Crosswalk'!$C$5:$C$32,'Bridge Table'!$E42),SUMIFS('Dermal Crosswalk'!$K$5:$K$32,'Dermal Crosswalk'!$A$5:$A$32,'Bridge Table'!$B42,'Dermal Crosswalk'!$C$5:$C$32,'Bridge Table'!$E42))),"--")</f>
        <v>--</v>
      </c>
      <c r="M42" s="586" t="str">
        <f>IFERROR(IFERROR(VLOOKUP($D42,$Z$8:$AD$9,3,FALSE),0)/IF($D42="Inhalation",IF($K42="Central Tendency",SUMIFS('Inhalation Exposure'!$AB$4:$AB$60,'Inhalation Exposure'!$B$4:$B$60,$B42,'Inhalation Exposure'!$D$4:$D$60,$C42,'Inhalation Exposure'!$E$4:$E$60,$E42),SUMIFS('Inhalation Exposure'!$AA$4:$AA$60,'Inhalation Exposure'!$B$4:$B$60,$B42,'Inhalation Exposure'!$D$4:$D$60,$C42,'Inhalation Exposure'!$E$4:$E$60,$E42)),IF($K42="Central Tendency",SUMIFS('Dermal Crosswalk'!$S$5:$S$32,'Dermal Crosswalk'!$A$5:$A$32,'Bridge Table'!$B42,'Dermal Crosswalk'!$C$5:$C$32,'Bridge Table'!$E42),SUMIFS('Dermal Crosswalk'!$N$5:$N$32,'Dermal Crosswalk'!$A$5:$A$32,'Bridge Table'!$B42,'Dermal Crosswalk'!$C$5:$C$32,'Bridge Table'!$E42))),"--")</f>
        <v>--</v>
      </c>
      <c r="N42" s="586" t="str">
        <f>IFERROR(IFERROR(VLOOKUP($D42,$Z$8:$AD$9,4,FALSE),0)/IF($D42="Inhalation",IF($K42="Central Tendency",SUMIFS('Inhalation Exposure'!$R$4:$R$60,'Inhalation Exposure'!$B$4:$B$60,$B42,'Inhalation Exposure'!$D$4:$D$60,$C42,'Inhalation Exposure'!$E$4:$E$60,$E42),SUMIFS('Inhalation Exposure'!$Q$4:$Q$60,'Inhalation Exposure'!$B$4:$B$60,$B42,'Inhalation Exposure'!$D$4:$D$60,$C42,'Inhalation Exposure'!$E$4:$E$60,$E42)),IF($K42="Central Tendency",SUMIFS('Dermal Crosswalk'!$Q$5:$Q$32,'Dermal Crosswalk'!$A$5:$A$32,'Bridge Table'!$B42,'Dermal Crosswalk'!$C$5:$C$32,'Bridge Table'!$E42),SUMIFS('Dermal Crosswalk'!$L$5:$L$32,'Dermal Crosswalk'!$A$5:$A$32,'Bridge Table'!$B42,'Dermal Crosswalk'!$C$5:$C$32,'Bridge Table'!$E42))),"--")</f>
        <v>--</v>
      </c>
      <c r="O42" s="586" t="str">
        <f>IF(IFERROR(VLOOKUP($D42,$Z$8:$AD$9,5,FALSE),0)*IF($D42="Inhalation",IF($K42="Central Tendency",SUMIFS('Inhalation Exposure'!$V$4:$V$60,'Inhalation Exposure'!$B$4:$B$60,$B42,'Inhalation Exposure'!$D$4:$D$60,$C42,'Inhalation Exposure'!$E$4:$E$60,$E42),SUMIFS('Inhalation Exposure'!$U$4:$U$60,'Inhalation Exposure'!$B$4:$B$60,$B42,'Inhalation Exposure'!$D$4:$D$60,$C42,'Inhalation Exposure'!$E$4:$E$60,$E42)),IF($K42="Central Tendency",SUMIFS('Dermal Crosswalk'!$R$5:$R$32,'Dermal Crosswalk'!$A$5:$A$32,'Bridge Table'!$B42,'Dermal Crosswalk'!$C$5:$C$32,'Bridge Table'!$E42),SUMIFS('Dermal Crosswalk'!$M$5:$M$32,'Dermal Crosswalk'!$A$5:$A$32,'Bridge Table'!$B42,'Dermal Crosswalk'!$C$5:$C$32,'Bridge Table'!$E42)))=0,"--",IFERROR(VLOOKUP($D42,$Z$8:$AD$9,5,FALSE),0)*IF($D42="Inhalation",IF($K42="Central Tendency",SUMIFS('Inhalation Exposure'!$V$4:$V$60,'Inhalation Exposure'!$B$4:$B$60,$B42,'Inhalation Exposure'!$D$4:$D$60,$C42,'Inhalation Exposure'!$E$4:$E$60,$E42),SUMIFS('Inhalation Exposure'!$U$4:$U$60,'Inhalation Exposure'!$B$4:$B$60,$B42,'Inhalation Exposure'!$D$4:$D$60,$C42,'Inhalation Exposure'!$E$4:$E$60,$E42)),IF($K42="Central Tendency",SUMIFS('Dermal Crosswalk'!$R$5:$R$32,'Dermal Crosswalk'!$A$5:$A$32,'Bridge Table'!$B42,'Dermal Crosswalk'!$C$5:$C$32,'Bridge Table'!$E42),SUMIFS('Dermal Crosswalk'!$M$5:$M$32,'Dermal Crosswalk'!$A$5:$A$32,'Bridge Table'!$B42,'Dermal Crosswalk'!$C$5:$C$32,'Bridge Table'!$E42))))</f>
        <v>--</v>
      </c>
      <c r="P42" s="610" t="s">
        <v>118</v>
      </c>
      <c r="Q42" s="610" t="s">
        <v>118</v>
      </c>
      <c r="R42" s="610" t="s">
        <v>118</v>
      </c>
      <c r="S42" s="610" t="s">
        <v>118</v>
      </c>
      <c r="U42" s="612" t="s">
        <v>118</v>
      </c>
      <c r="V42" s="614" t="s">
        <v>118</v>
      </c>
      <c r="W42" s="614" t="s">
        <v>118</v>
      </c>
      <c r="X42" s="616" t="s">
        <v>118</v>
      </c>
    </row>
    <row r="43" spans="1:29" ht="15" thickBot="1" x14ac:dyDescent="0.35">
      <c r="A43" s="372"/>
      <c r="B43" s="360" t="s">
        <v>120</v>
      </c>
      <c r="C43" s="361" t="s">
        <v>53</v>
      </c>
      <c r="D43" s="361" t="s">
        <v>111</v>
      </c>
      <c r="E43" s="362" t="s">
        <v>24</v>
      </c>
      <c r="F43" s="589"/>
      <c r="G43" s="589"/>
      <c r="H43" s="589"/>
      <c r="I43" s="590"/>
      <c r="J43" s="590"/>
      <c r="K43" s="588"/>
      <c r="L43" s="587"/>
      <c r="M43" s="587"/>
      <c r="N43" s="587"/>
      <c r="O43" s="587"/>
      <c r="P43" s="611"/>
      <c r="Q43" s="611"/>
      <c r="R43" s="611"/>
      <c r="S43" s="611"/>
      <c r="U43" s="613"/>
      <c r="V43" s="615"/>
      <c r="W43" s="615"/>
      <c r="X43" s="617"/>
    </row>
    <row r="44" spans="1:29" ht="15" customHeight="1" thickBot="1" x14ac:dyDescent="0.35">
      <c r="A44" s="372"/>
      <c r="B44" s="360" t="s">
        <v>120</v>
      </c>
      <c r="C44" s="361" t="s">
        <v>53</v>
      </c>
      <c r="D44" s="361" t="s">
        <v>111</v>
      </c>
      <c r="E44" s="362" t="s">
        <v>117</v>
      </c>
      <c r="F44" s="589"/>
      <c r="G44" s="589"/>
      <c r="H44" s="589"/>
      <c r="I44" s="589" t="s">
        <v>53</v>
      </c>
      <c r="J44" s="586" t="s">
        <v>115</v>
      </c>
      <c r="K44" s="584" t="s">
        <v>54</v>
      </c>
      <c r="L44" s="586" t="str">
        <f>IFERROR(IFERROR(VLOOKUP($D44,$Z$8:$AD$9,2,FALSE),0)/IF($D44="Inhalation",IF($K44="Central Tendency",SUMIFS('Inhalation Exposure'!$L$4:$L$60,'Inhalation Exposure'!$B$4:$B$60,$B44,'Inhalation Exposure'!$D$4:$D$60,$C44,'Inhalation Exposure'!$E$4:$E$60,$E44),SUMIFS('Inhalation Exposure'!$K$4:$K$60,'Inhalation Exposure'!$B$4:$B$60,$B44,'Inhalation Exposure'!$D$4:$D$60,$C44,'Inhalation Exposure'!$E$4:$E$60,$E44)),IF($K44="Central Tendency",SUMIFS('Dermal Crosswalk'!$P$5:$P$32,'Dermal Crosswalk'!$A$5:$A$32,'Bridge Table'!$B44,'Dermal Crosswalk'!$C$5:$C$32,'Bridge Table'!$E44),SUMIFS('Dermal Crosswalk'!$K$5:$K$32,'Dermal Crosswalk'!$A$5:$A$32,'Bridge Table'!$B44,'Dermal Crosswalk'!$C$5:$C$32,'Bridge Table'!$E44))),"--")</f>
        <v>--</v>
      </c>
      <c r="M44" s="586" t="str">
        <f>IFERROR(IFERROR(VLOOKUP($D44,$Z$8:$AD$9,3,FALSE),0)/IF($D44="Inhalation",IF($K44="Central Tendency",SUMIFS('Inhalation Exposure'!$AB$4:$AB$60,'Inhalation Exposure'!$B$4:$B$60,$B44,'Inhalation Exposure'!$D$4:$D$60,$C44,'Inhalation Exposure'!$E$4:$E$60,$E44),SUMIFS('Inhalation Exposure'!$AA$4:$AA$60,'Inhalation Exposure'!$B$4:$B$60,$B44,'Inhalation Exposure'!$D$4:$D$60,$C44,'Inhalation Exposure'!$E$4:$E$60,$E44)),IF($K44="Central Tendency",SUMIFS('Dermal Crosswalk'!$S$5:$S$32,'Dermal Crosswalk'!$A$5:$A$32,'Bridge Table'!$B44,'Dermal Crosswalk'!$C$5:$C$32,'Bridge Table'!$E44),SUMIFS('Dermal Crosswalk'!$N$5:$N$32,'Dermal Crosswalk'!$A$5:$A$32,'Bridge Table'!$B44,'Dermal Crosswalk'!$C$5:$C$32,'Bridge Table'!$E44))),"--")</f>
        <v>--</v>
      </c>
      <c r="N44" s="586" t="str">
        <f>IFERROR(IFERROR(VLOOKUP($D44,$Z$8:$AD$9,4,FALSE),0)/IF($D44="Inhalation",IF($K44="Central Tendency",SUMIFS('Inhalation Exposure'!$R$4:$R$60,'Inhalation Exposure'!$B$4:$B$60,$B44,'Inhalation Exposure'!$D$4:$D$60,$C44,'Inhalation Exposure'!$E$4:$E$60,$E44),SUMIFS('Inhalation Exposure'!$Q$4:$Q$60,'Inhalation Exposure'!$B$4:$B$60,$B44,'Inhalation Exposure'!$D$4:$D$60,$C44,'Inhalation Exposure'!$E$4:$E$60,$E44)),IF($K44="Central Tendency",SUMIFS('Dermal Crosswalk'!$Q$5:$Q$32,'Dermal Crosswalk'!$A$5:$A$32,'Bridge Table'!$B44,'Dermal Crosswalk'!$C$5:$C$32,'Bridge Table'!$E44),SUMIFS('Dermal Crosswalk'!$L$5:$L$32,'Dermal Crosswalk'!$A$5:$A$32,'Bridge Table'!$B44,'Dermal Crosswalk'!$C$5:$C$32,'Bridge Table'!$E44))),"--")</f>
        <v>--</v>
      </c>
      <c r="O44" s="586" t="str">
        <f>IF(IFERROR(VLOOKUP($D44,$Z$8:$AD$9,5,FALSE),0)*IF($D44="Inhalation",IF($K44="Central Tendency",SUMIFS('Inhalation Exposure'!$V$4:$V$60,'Inhalation Exposure'!$B$4:$B$60,$B44,'Inhalation Exposure'!$D$4:$D$60,$C44,'Inhalation Exposure'!$E$4:$E$60,$E44),SUMIFS('Inhalation Exposure'!$U$4:$U$60,'Inhalation Exposure'!$B$4:$B$60,$B44,'Inhalation Exposure'!$D$4:$D$60,$C44,'Inhalation Exposure'!$E$4:$E$60,$E44)),IF($K44="Central Tendency",SUMIFS('Dermal Crosswalk'!$R$5:$R$32,'Dermal Crosswalk'!$A$5:$A$32,'Bridge Table'!$B44,'Dermal Crosswalk'!$C$5:$C$32,'Bridge Table'!$E44),SUMIFS('Dermal Crosswalk'!$M$5:$M$32,'Dermal Crosswalk'!$A$5:$A$32,'Bridge Table'!$B44,'Dermal Crosswalk'!$C$5:$C$32,'Bridge Table'!$E44)))=0,"--",IFERROR(VLOOKUP($D44,$Z$8:$AD$9,5,FALSE),0)*IF($D44="Inhalation",IF($K44="Central Tendency",SUMIFS('Inhalation Exposure'!$V$4:$V$60,'Inhalation Exposure'!$B$4:$B$60,$B44,'Inhalation Exposure'!$D$4:$D$60,$C44,'Inhalation Exposure'!$E$4:$E$60,$E44),SUMIFS('Inhalation Exposure'!$U$4:$U$60,'Inhalation Exposure'!$B$4:$B$60,$B44,'Inhalation Exposure'!$D$4:$D$60,$C44,'Inhalation Exposure'!$E$4:$E$60,$E44)),IF($K44="Central Tendency",SUMIFS('Dermal Crosswalk'!$R$5:$R$32,'Dermal Crosswalk'!$A$5:$A$32,'Bridge Table'!$B44,'Dermal Crosswalk'!$C$5:$C$32,'Bridge Table'!$E44),SUMIFS('Dermal Crosswalk'!$M$5:$M$32,'Dermal Crosswalk'!$A$5:$A$32,'Bridge Table'!$B44,'Dermal Crosswalk'!$C$5:$C$32,'Bridge Table'!$E44))))</f>
        <v>--</v>
      </c>
      <c r="P44" s="610" t="s">
        <v>118</v>
      </c>
      <c r="Q44" s="610" t="s">
        <v>118</v>
      </c>
      <c r="R44" s="610" t="s">
        <v>118</v>
      </c>
      <c r="S44" s="610" t="s">
        <v>118</v>
      </c>
      <c r="U44" s="612" t="s">
        <v>118</v>
      </c>
      <c r="V44" s="614" t="s">
        <v>118</v>
      </c>
      <c r="W44" s="614" t="s">
        <v>118</v>
      </c>
      <c r="X44" s="616" t="s">
        <v>118</v>
      </c>
    </row>
    <row r="45" spans="1:29" ht="15" thickBot="1" x14ac:dyDescent="0.35">
      <c r="A45" s="372"/>
      <c r="B45" s="360" t="s">
        <v>120</v>
      </c>
      <c r="C45" s="361" t="s">
        <v>53</v>
      </c>
      <c r="D45" s="361" t="s">
        <v>111</v>
      </c>
      <c r="E45" s="362" t="s">
        <v>117</v>
      </c>
      <c r="F45" s="589"/>
      <c r="G45" s="589"/>
      <c r="H45" s="589"/>
      <c r="I45" s="589"/>
      <c r="J45" s="589"/>
      <c r="K45" s="585"/>
      <c r="L45" s="587"/>
      <c r="M45" s="587"/>
      <c r="N45" s="587"/>
      <c r="O45" s="587"/>
      <c r="P45" s="611"/>
      <c r="Q45" s="611"/>
      <c r="R45" s="611"/>
      <c r="S45" s="611"/>
      <c r="U45" s="613"/>
      <c r="V45" s="615"/>
      <c r="W45" s="615"/>
      <c r="X45" s="617"/>
    </row>
    <row r="46" spans="1:29" ht="15" thickBot="1" x14ac:dyDescent="0.35">
      <c r="A46" s="372"/>
      <c r="B46" s="360" t="s">
        <v>120</v>
      </c>
      <c r="C46" s="361" t="s">
        <v>53</v>
      </c>
      <c r="D46" s="361" t="s">
        <v>111</v>
      </c>
      <c r="E46" s="362" t="s">
        <v>117</v>
      </c>
      <c r="F46" s="589"/>
      <c r="G46" s="589"/>
      <c r="H46" s="589"/>
      <c r="I46" s="589"/>
      <c r="J46" s="589"/>
      <c r="K46" s="584" t="s">
        <v>88</v>
      </c>
      <c r="L46" s="586" t="str">
        <f>IFERROR(IFERROR(VLOOKUP($D46,$Z$8:$AD$9,2,FALSE),0)/IF($D46="Inhalation",IF($K46="Central Tendency",SUMIFS('Inhalation Exposure'!$L$4:$L$60,'Inhalation Exposure'!$B$4:$B$60,$B46,'Inhalation Exposure'!$D$4:$D$60,$C46,'Inhalation Exposure'!$E$4:$E$60,$E46),SUMIFS('Inhalation Exposure'!$K$4:$K$60,'Inhalation Exposure'!$B$4:$B$60,$B46,'Inhalation Exposure'!$D$4:$D$60,$C46,'Inhalation Exposure'!$E$4:$E$60,$E46)),IF($K46="Central Tendency",SUMIFS('Dermal Crosswalk'!$P$5:$P$32,'Dermal Crosswalk'!$A$5:$A$32,'Bridge Table'!$B46,'Dermal Crosswalk'!$C$5:$C$32,'Bridge Table'!$E46),SUMIFS('Dermal Crosswalk'!$K$5:$K$32,'Dermal Crosswalk'!$A$5:$A$32,'Bridge Table'!$B46,'Dermal Crosswalk'!$C$5:$C$32,'Bridge Table'!$E46))),"--")</f>
        <v>--</v>
      </c>
      <c r="M46" s="586" t="str">
        <f>IFERROR(IFERROR(VLOOKUP($D46,$Z$8:$AD$9,3,FALSE),0)/IF($D46="Inhalation",IF($K46="Central Tendency",SUMIFS('Inhalation Exposure'!$AB$4:$AB$60,'Inhalation Exposure'!$B$4:$B$60,$B46,'Inhalation Exposure'!$D$4:$D$60,$C46,'Inhalation Exposure'!$E$4:$E$60,$E46),SUMIFS('Inhalation Exposure'!$AA$4:$AA$60,'Inhalation Exposure'!$B$4:$B$60,$B46,'Inhalation Exposure'!$D$4:$D$60,$C46,'Inhalation Exposure'!$E$4:$E$60,$E46)),IF($K46="Central Tendency",SUMIFS('Dermal Crosswalk'!$S$5:$S$32,'Dermal Crosswalk'!$A$5:$A$32,'Bridge Table'!$B46,'Dermal Crosswalk'!$C$5:$C$32,'Bridge Table'!$E46),SUMIFS('Dermal Crosswalk'!$N$5:$N$32,'Dermal Crosswalk'!$A$5:$A$32,'Bridge Table'!$B46,'Dermal Crosswalk'!$C$5:$C$32,'Bridge Table'!$E46))),"--")</f>
        <v>--</v>
      </c>
      <c r="N46" s="586" t="str">
        <f>IFERROR(IFERROR(VLOOKUP($D46,$Z$8:$AD$9,4,FALSE),0)/IF($D46="Inhalation",IF($K46="Central Tendency",SUMIFS('Inhalation Exposure'!$R$4:$R$60,'Inhalation Exposure'!$B$4:$B$60,$B46,'Inhalation Exposure'!$D$4:$D$60,$C46,'Inhalation Exposure'!$E$4:$E$60,$E46),SUMIFS('Inhalation Exposure'!$Q$4:$Q$60,'Inhalation Exposure'!$B$4:$B$60,$B46,'Inhalation Exposure'!$D$4:$D$60,$C46,'Inhalation Exposure'!$E$4:$E$60,$E46)),IF($K46="Central Tendency",SUMIFS('Dermal Crosswalk'!$Q$5:$Q$32,'Dermal Crosswalk'!$A$5:$A$32,'Bridge Table'!$B46,'Dermal Crosswalk'!$C$5:$C$32,'Bridge Table'!$E46),SUMIFS('Dermal Crosswalk'!$L$5:$L$32,'Dermal Crosswalk'!$A$5:$A$32,'Bridge Table'!$B46,'Dermal Crosswalk'!$C$5:$C$32,'Bridge Table'!$E46))),"--")</f>
        <v>--</v>
      </c>
      <c r="O46" s="586" t="str">
        <f>IF(IFERROR(VLOOKUP($D46,$Z$8:$AD$9,5,FALSE),0)*IF($D46="Inhalation",IF($K46="Central Tendency",SUMIFS('Inhalation Exposure'!$V$4:$V$60,'Inhalation Exposure'!$B$4:$B$60,$B46,'Inhalation Exposure'!$D$4:$D$60,$C46,'Inhalation Exposure'!$E$4:$E$60,$E46),SUMIFS('Inhalation Exposure'!$U$4:$U$60,'Inhalation Exposure'!$B$4:$B$60,$B46,'Inhalation Exposure'!$D$4:$D$60,$C46,'Inhalation Exposure'!$E$4:$E$60,$E46)),IF($K46="Central Tendency",SUMIFS('Dermal Crosswalk'!$R$5:$R$32,'Dermal Crosswalk'!$A$5:$A$32,'Bridge Table'!$B46,'Dermal Crosswalk'!$C$5:$C$32,'Bridge Table'!$E46),SUMIFS('Dermal Crosswalk'!$M$5:$M$32,'Dermal Crosswalk'!$A$5:$A$32,'Bridge Table'!$B46,'Dermal Crosswalk'!$C$5:$C$32,'Bridge Table'!$E46)))=0,"--",IFERROR(VLOOKUP($D46,$Z$8:$AD$9,5,FALSE),0)*IF($D46="Inhalation",IF($K46="Central Tendency",SUMIFS('Inhalation Exposure'!$V$4:$V$60,'Inhalation Exposure'!$B$4:$B$60,$B46,'Inhalation Exposure'!$D$4:$D$60,$C46,'Inhalation Exposure'!$E$4:$E$60,$E46),SUMIFS('Inhalation Exposure'!$U$4:$U$60,'Inhalation Exposure'!$B$4:$B$60,$B46,'Inhalation Exposure'!$D$4:$D$60,$C46,'Inhalation Exposure'!$E$4:$E$60,$E46)),IF($K46="Central Tendency",SUMIFS('Dermal Crosswalk'!$R$5:$R$32,'Dermal Crosswalk'!$A$5:$A$32,'Bridge Table'!$B46,'Dermal Crosswalk'!$C$5:$C$32,'Bridge Table'!$E46),SUMIFS('Dermal Crosswalk'!$M$5:$M$32,'Dermal Crosswalk'!$A$5:$A$32,'Bridge Table'!$B46,'Dermal Crosswalk'!$C$5:$C$32,'Bridge Table'!$E46))))</f>
        <v>--</v>
      </c>
      <c r="P46" s="610" t="s">
        <v>118</v>
      </c>
      <c r="Q46" s="610" t="s">
        <v>118</v>
      </c>
      <c r="R46" s="610" t="s">
        <v>118</v>
      </c>
      <c r="S46" s="610" t="s">
        <v>118</v>
      </c>
      <c r="U46" s="612" t="s">
        <v>118</v>
      </c>
      <c r="V46" s="614" t="s">
        <v>118</v>
      </c>
      <c r="W46" s="614" t="s">
        <v>118</v>
      </c>
      <c r="X46" s="616" t="s">
        <v>118</v>
      </c>
    </row>
    <row r="47" spans="1:29" ht="15" thickBot="1" x14ac:dyDescent="0.35">
      <c r="A47" s="372"/>
      <c r="B47" s="360" t="s">
        <v>120</v>
      </c>
      <c r="C47" s="361" t="s">
        <v>53</v>
      </c>
      <c r="D47" s="361" t="s">
        <v>111</v>
      </c>
      <c r="E47" s="362" t="s">
        <v>117</v>
      </c>
      <c r="F47" s="589"/>
      <c r="G47" s="589"/>
      <c r="H47" s="589"/>
      <c r="I47" s="590"/>
      <c r="J47" s="590"/>
      <c r="K47" s="588"/>
      <c r="L47" s="587"/>
      <c r="M47" s="587"/>
      <c r="N47" s="587"/>
      <c r="O47" s="587"/>
      <c r="P47" s="611"/>
      <c r="Q47" s="611"/>
      <c r="R47" s="611"/>
      <c r="S47" s="611"/>
      <c r="U47" s="613"/>
      <c r="V47" s="615"/>
      <c r="W47" s="615"/>
      <c r="X47" s="617"/>
    </row>
    <row r="48" spans="1:29" ht="15.6" customHeight="1" thickTop="1" thickBot="1" x14ac:dyDescent="0.35">
      <c r="A48" s="372"/>
      <c r="B48" s="360" t="s">
        <v>120</v>
      </c>
      <c r="C48" s="361" t="s">
        <v>25</v>
      </c>
      <c r="D48" s="361" t="s">
        <v>16</v>
      </c>
      <c r="E48" s="362" t="s">
        <v>24</v>
      </c>
      <c r="F48" s="589"/>
      <c r="G48" s="589"/>
      <c r="H48" s="589"/>
      <c r="I48" s="589" t="s">
        <v>25</v>
      </c>
      <c r="J48" s="609" t="s">
        <v>16</v>
      </c>
      <c r="K48" s="607" t="s">
        <v>54</v>
      </c>
      <c r="L48" s="586">
        <f>IFERROR(IFERROR(VLOOKUP($D48,$Z$8:$AD$9,2,FALSE),0)/IF($D48="Inhalation",IF($K48="Central Tendency",SUMIFS('Inhalation Exposure'!$N$4:$N$61,'Inhalation Exposure'!$B$4:$B$61,$B48,'Inhalation Exposure'!$D$4:$D$61,$C48,'Inhalation Exposure'!$E$4:$E$61,$E48),SUMIFS('Inhalation Exposure'!$M$4:$M$61,'Inhalation Exposure'!$B$4:$B$61,$B48,'Inhalation Exposure'!$D$4:$D$61,$C48,'Inhalation Exposure'!$E$4:$E$61,$E48)),IF($K48="Central Tendency",SUMIFS('Dermal Crosswalk'!$P$5:$P$32,'Dermal Crosswalk'!$A$5:$A$32,'Bridge Table'!$B48,'Dermal Crosswalk'!$C$5:$C$32,'Bridge Table'!$E48),SUMIFS('Dermal Crosswalk'!$K$5:$K$32,'Dermal Crosswalk'!$A$5:$A$32,'Bridge Table'!$B48,'Dermal Crosswalk'!$C$5:$C$32,'Bridge Table'!$E48))),"--")</f>
        <v>4.3365402797435211</v>
      </c>
      <c r="M48" s="586">
        <f>IFERROR(IFERROR(VLOOKUP($D48,$Z$8:$AD$9,3,FALSE),0)/IF($D48="Inhalation",IF($K48="Central Tendency",SUMIFS('Inhalation Exposure'!$AB$4:$AB$61,'Inhalation Exposure'!$B$4:$B$61,$B48,'Inhalation Exposure'!$D$4:$D$61,$C48,'Inhalation Exposure'!$E$4:$E$61,$E48),SUMIFS('Inhalation Exposure'!$AA$4:$AA$61,'Inhalation Exposure'!$B$4:$B$61,$B48,'Inhalation Exposure'!$D$4:$D$61,$C48,'Inhalation Exposure'!$E$4:$E$61,$E48)),IF($K48="Central Tendency",SUMIFS('Dermal Crosswalk'!$S$5:$S$32,'Dermal Crosswalk'!$A$5:$A$32,'Bridge Table'!$B48,'Dermal Crosswalk'!$C$5:$C$32,'Bridge Table'!$E48),SUMIFS('Dermal Crosswalk'!$N$5:$N$32,'Dermal Crosswalk'!$A$5:$A$32,'Bridge Table'!$B48,'Dermal Crosswalk'!$C$5:$C$32,'Bridge Table'!$E48))),"--")</f>
        <v>6.2572700653804514</v>
      </c>
      <c r="N48" s="586">
        <f>IFERROR(IFERROR(VLOOKUP($D48,$Z$8:$AD$9,4,FALSE),0)/IF($D48="Inhalation",IF($K48="Central Tendency",SUMIFS('Inhalation Exposure'!$R$4:$R$61,'Inhalation Exposure'!$B$4:$B$61,$B48,'Inhalation Exposure'!$D$4:$D$61,$C48,'Inhalation Exposure'!$E$4:$E$61,$E48),SUMIFS('Inhalation Exposure'!$Q$4:$Q$61,'Inhalation Exposure'!$B$4:$B$61,$B48,'Inhalation Exposure'!$D$4:$D$61,$C48,'Inhalation Exposure'!$E$4:$E$61,$E48)),IF($K48="Central Tendency",SUMIFS('Dermal Crosswalk'!$Q$5:$Q$32,'Dermal Crosswalk'!$A$5:$A$32,'Bridge Table'!$B48,'Dermal Crosswalk'!$C$5:$C$32,'Bridge Table'!$E48),SUMIFS('Dermal Crosswalk'!$L$5:$L$32,'Dermal Crosswalk'!$A$5:$A$32,'Bridge Table'!$B48,'Dermal Crosswalk'!$C$5:$C$32,'Bridge Table'!$E48))),"--")</f>
        <v>76.130119128795485</v>
      </c>
      <c r="O48" s="586">
        <f>IFERROR(IFERROR(VLOOKUP($D48,$Z$8:$AD$9,5,FALSE),0)*IF($D48="Inhalation",IF($K48="Central Tendency",SUMIFS('Inhalation Exposure'!$V$4:$V$61,'Inhalation Exposure'!$B$4:$B$61,$B48,'Inhalation Exposure'!$D$4:$D$61,$C48,'Inhalation Exposure'!$E$4:$E$61,$E48),SUMIFS('Inhalation Exposure'!$U$4:$U$61,'Inhalation Exposure'!$B$4:$B$61,$B48,'Inhalation Exposure'!$D$4:$D$61,$C48,'Inhalation Exposure'!$E$4:$E$61,$E48)),IF($K48="Central Tendency",SUMIFS('Dermal Crosswalk'!$R$5:$R$32,'Dermal Crosswalk'!$A$5:$A$32,'Bridge Table'!$B48,'Dermal Crosswalk'!$C$5:$C$32,'Bridge Table'!$E48),SUMIFS('Dermal Crosswalk'!$M$5:$M$32,'Dermal Crosswalk'!$A$5:$A$32,'Bridge Table'!$B48,'Dermal Crosswalk'!$C$5:$C$32,'Bridge Table'!$E48))),"--")</f>
        <v>3.4917192175974704E-4</v>
      </c>
      <c r="P48" s="382">
        <f>L48*U48</f>
        <v>21.682701398717604</v>
      </c>
      <c r="Q48" s="382">
        <f t="shared" ref="Q48" si="7">M48*V48</f>
        <v>31.286350326902259</v>
      </c>
      <c r="R48" s="382">
        <f t="shared" ref="R48" si="8">N48*W48</f>
        <v>380.65059564397745</v>
      </c>
      <c r="S48" s="383">
        <f>O48/X48</f>
        <v>6.9834384351949406E-5</v>
      </c>
      <c r="U48" s="378">
        <v>5</v>
      </c>
      <c r="V48" s="379">
        <v>5</v>
      </c>
      <c r="W48" s="379">
        <v>5</v>
      </c>
      <c r="X48" s="380">
        <v>5</v>
      </c>
    </row>
    <row r="49" spans="1:29" ht="15" thickBot="1" x14ac:dyDescent="0.35">
      <c r="A49" s="372"/>
      <c r="B49" s="360" t="s">
        <v>120</v>
      </c>
      <c r="C49" s="361" t="s">
        <v>25</v>
      </c>
      <c r="D49" s="361" t="s">
        <v>16</v>
      </c>
      <c r="E49" s="362" t="s">
        <v>24</v>
      </c>
      <c r="F49" s="589"/>
      <c r="G49" s="589"/>
      <c r="H49" s="589"/>
      <c r="I49" s="589"/>
      <c r="J49" s="589"/>
      <c r="K49" s="608"/>
      <c r="L49" s="587"/>
      <c r="M49" s="587"/>
      <c r="N49" s="587"/>
      <c r="O49" s="587"/>
      <c r="P49" s="373" t="str">
        <f>CONCATENATE("(PF ",U48,")")</f>
        <v>(PF 5)</v>
      </c>
      <c r="Q49" s="373" t="str">
        <f>CONCATENATE("(PF ",V48,")")</f>
        <v>(PF 5)</v>
      </c>
      <c r="R49" s="373" t="str">
        <f>CONCATENATE("(PF ",W48,")")</f>
        <v>(PF 5)</v>
      </c>
      <c r="S49" s="373" t="str">
        <f>CONCATENATE("(PF ",X48,")")</f>
        <v>(PF 5)</v>
      </c>
      <c r="U49" s="374" t="s">
        <v>119</v>
      </c>
      <c r="V49" s="375" t="s">
        <v>119</v>
      </c>
      <c r="W49" s="375" t="s">
        <v>119</v>
      </c>
      <c r="X49" s="376" t="s">
        <v>119</v>
      </c>
    </row>
    <row r="50" spans="1:29" ht="15" customHeight="1" thickBot="1" x14ac:dyDescent="0.35">
      <c r="A50" s="372"/>
      <c r="B50" s="360" t="s">
        <v>120</v>
      </c>
      <c r="C50" s="361" t="s">
        <v>25</v>
      </c>
      <c r="D50" s="361" t="s">
        <v>16</v>
      </c>
      <c r="E50" s="362" t="s">
        <v>24</v>
      </c>
      <c r="F50" s="589"/>
      <c r="G50" s="589"/>
      <c r="H50" s="589"/>
      <c r="I50" s="589"/>
      <c r="J50" s="589"/>
      <c r="K50" s="584" t="s">
        <v>88</v>
      </c>
      <c r="L50" s="586">
        <f>IFERROR(IFERROR(VLOOKUP($D50,$Z$8:$AD$9,2,FALSE),0)/IF($D50="Inhalation",IF($K50="Central Tendency",SUMIFS('Inhalation Exposure'!$N$4:$N$61,'Inhalation Exposure'!$B$4:$B$61,$B50,'Inhalation Exposure'!$D$4:$D$61,$C50,'Inhalation Exposure'!$E$4:$E$61,$E50),SUMIFS('Inhalation Exposure'!$M$4:$M$61,'Inhalation Exposure'!$B$4:$B$61,$B50,'Inhalation Exposure'!$D$4:$D$61,$C50,'Inhalation Exposure'!$E$4:$E$61,$E50)),IF($K50="Central Tendency",SUMIFS('Dermal Crosswalk'!$P$5:$P$32,'Dermal Crosswalk'!$A$5:$A$32,'Bridge Table'!$B50,'Dermal Crosswalk'!$C$5:$C$32,'Bridge Table'!$E50),SUMIFS('Dermal Crosswalk'!$K$5:$K$32,'Dermal Crosswalk'!$A$5:$A$32,'Bridge Table'!$B50,'Dermal Crosswalk'!$C$5:$C$32,'Bridge Table'!$E50))),"--")</f>
        <v>1.4455134265811735</v>
      </c>
      <c r="M50" s="586">
        <f>IFERROR(IFERROR(VLOOKUP($D50,$Z$8:$AD$9,3,FALSE),0)/IF($D50="Inhalation",IF($K50="Central Tendency",SUMIFS('Inhalation Exposure'!$AB$4:$AB$61,'Inhalation Exposure'!$B$4:$B$61,$B50,'Inhalation Exposure'!$D$4:$D$61,$C50,'Inhalation Exposure'!$E$4:$E$61,$E50),SUMIFS('Inhalation Exposure'!$AA$4:$AA$61,'Inhalation Exposure'!$B$4:$B$61,$B50,'Inhalation Exposure'!$D$4:$D$61,$C50,'Inhalation Exposure'!$E$4:$E$61,$E50)),IF($K50="Central Tendency",SUMIFS('Dermal Crosswalk'!$S$5:$S$32,'Dermal Crosswalk'!$A$5:$A$32,'Bridge Table'!$B50,'Dermal Crosswalk'!$C$5:$C$32,'Bridge Table'!$E50),SUMIFS('Dermal Crosswalk'!$N$5:$N$32,'Dermal Crosswalk'!$A$5:$A$32,'Bridge Table'!$B50,'Dermal Crosswalk'!$C$5:$C$32,'Bridge Table'!$E50))),"--")</f>
        <v>0.56884273321640455</v>
      </c>
      <c r="N50" s="586">
        <f>IFERROR(IFERROR(VLOOKUP($D50,$Z$8:$AD$9,4,FALSE),0)/IF($D50="Inhalation",IF($K50="Central Tendency",SUMIFS('Inhalation Exposure'!$R$4:$R$61,'Inhalation Exposure'!$B$4:$B$61,$B50,'Inhalation Exposure'!$D$4:$D$61,$C50,'Inhalation Exposure'!$E$4:$E$61,$E50),SUMIFS('Inhalation Exposure'!$Q$4:$Q$61,'Inhalation Exposure'!$B$4:$B$61,$B50,'Inhalation Exposure'!$D$4:$D$61,$C50,'Inhalation Exposure'!$E$4:$E$61,$E50)),IF($K50="Central Tendency",SUMIFS('Dermal Crosswalk'!$Q$5:$Q$32,'Dermal Crosswalk'!$A$5:$A$32,'Bridge Table'!$B50,'Dermal Crosswalk'!$C$5:$C$32,'Bridge Table'!$E50),SUMIFS('Dermal Crosswalk'!$L$5:$L$32,'Dermal Crosswalk'!$A$5:$A$32,'Bridge Table'!$B50,'Dermal Crosswalk'!$C$5:$C$32,'Bridge Table'!$E50))),"--")</f>
        <v>4.0068483751997617</v>
      </c>
      <c r="O50" s="586">
        <f>IFERROR(IFERROR(VLOOKUP($D50,$Z$8:$AD$9,5,FALSE),0)*IF($D50="Inhalation",IF($K50="Central Tendency",SUMIFS('Inhalation Exposure'!$V$4:$V$61,'Inhalation Exposure'!$B$4:$B$61,$B50,'Inhalation Exposure'!$D$4:$D$61,$C50,'Inhalation Exposure'!$E$4:$E$61,$E50),SUMIFS('Inhalation Exposure'!$U$4:$U$61,'Inhalation Exposure'!$B$4:$B$61,$B50,'Inhalation Exposure'!$D$4:$D$61,$C50,'Inhalation Exposure'!$E$4:$E$61,$E50)),IF($K50="Central Tendency",SUMIFS('Dermal Crosswalk'!$R$5:$R$32,'Dermal Crosswalk'!$A$5:$A$32,'Bridge Table'!$B50,'Dermal Crosswalk'!$C$5:$C$32,'Bridge Table'!$E50),SUMIFS('Dermal Crosswalk'!$M$5:$M$32,'Dermal Crosswalk'!$A$5:$A$32,'Bridge Table'!$B50,'Dermal Crosswalk'!$C$5:$C$32,'Bridge Table'!$E50))),"--")</f>
        <v>8.5603438883034792E-3</v>
      </c>
      <c r="P50" s="382">
        <f>L50*U50</f>
        <v>7.2275671329058682</v>
      </c>
      <c r="Q50" s="382">
        <f t="shared" ref="Q50" si="9">M50*V50</f>
        <v>2.8442136660820228</v>
      </c>
      <c r="R50" s="382">
        <f t="shared" ref="R50" si="10">N50*W50</f>
        <v>20.034241875998809</v>
      </c>
      <c r="S50" s="383">
        <f>O50/X50</f>
        <v>1.7120687776606958E-3</v>
      </c>
      <c r="U50" s="378">
        <v>5</v>
      </c>
      <c r="V50" s="379">
        <v>5</v>
      </c>
      <c r="W50" s="379">
        <v>5</v>
      </c>
      <c r="X50" s="380">
        <v>5</v>
      </c>
    </row>
    <row r="51" spans="1:29" ht="15" thickBot="1" x14ac:dyDescent="0.35">
      <c r="A51" s="372"/>
      <c r="B51" s="360" t="s">
        <v>120</v>
      </c>
      <c r="C51" s="361" t="s">
        <v>25</v>
      </c>
      <c r="D51" s="361" t="s">
        <v>16</v>
      </c>
      <c r="E51" s="362" t="s">
        <v>24</v>
      </c>
      <c r="F51" s="589"/>
      <c r="G51" s="589"/>
      <c r="H51" s="589"/>
      <c r="I51" s="590"/>
      <c r="J51" s="590"/>
      <c r="K51" s="588"/>
      <c r="L51" s="587"/>
      <c r="M51" s="587"/>
      <c r="N51" s="587"/>
      <c r="O51" s="587"/>
      <c r="P51" s="373" t="str">
        <f>CONCATENATE("(PF ",U50,")")</f>
        <v>(PF 5)</v>
      </c>
      <c r="Q51" s="373" t="str">
        <f>CONCATENATE("(PF ",V50,")")</f>
        <v>(PF 5)</v>
      </c>
      <c r="R51" s="373" t="str">
        <f>CONCATENATE("(PF ",W50,")")</f>
        <v>(PF 5)</v>
      </c>
      <c r="S51" s="373" t="str">
        <f>CONCATENATE("(PF ",X50,")")</f>
        <v>(PF 5)</v>
      </c>
      <c r="U51" s="374" t="s">
        <v>119</v>
      </c>
      <c r="V51" s="375" t="s">
        <v>119</v>
      </c>
      <c r="W51" s="375" t="s">
        <v>119</v>
      </c>
      <c r="X51" s="376" t="s">
        <v>119</v>
      </c>
    </row>
    <row r="52" spans="1:29" ht="15.6" customHeight="1" thickTop="1" thickBot="1" x14ac:dyDescent="0.35">
      <c r="A52" s="372"/>
      <c r="B52" s="360" t="s">
        <v>120</v>
      </c>
      <c r="C52" s="361" t="s">
        <v>25</v>
      </c>
      <c r="D52" s="361" t="s">
        <v>16</v>
      </c>
      <c r="E52" s="362" t="s">
        <v>117</v>
      </c>
      <c r="F52" s="589"/>
      <c r="G52" s="589"/>
      <c r="H52" s="589"/>
      <c r="I52" s="609" t="s">
        <v>25</v>
      </c>
      <c r="J52" s="609" t="s">
        <v>16</v>
      </c>
      <c r="K52" s="607" t="s">
        <v>54</v>
      </c>
      <c r="L52" s="586">
        <f>IFERROR(IFERROR(VLOOKUP($D52,$Z$8:$AD$9,2,FALSE),0)/IF($D52="Inhalation",IF($K52="Central Tendency",SUMIFS('Inhalation Exposure'!$N$4:$N$61,'Inhalation Exposure'!$B$4:$B$61,$B52,'Inhalation Exposure'!$D$4:$D$61,$C52,'Inhalation Exposure'!$E$4:$E$61,$E52),SUMIFS('Inhalation Exposure'!$M$4:$M$61,'Inhalation Exposure'!$B$4:$B$61,$B52,'Inhalation Exposure'!$D$4:$D$61,$C52,'Inhalation Exposure'!$E$4:$E$61,$E52)),IF($K52="Central Tendency",SUMIFS('Dermal Crosswalk'!$P$5:$P$32,'Dermal Crosswalk'!$A$5:$A$32,'Bridge Table'!$B52,'Dermal Crosswalk'!$C$5:$C$32,'Bridge Table'!$E52),SUMIFS('Dermal Crosswalk'!$K$5:$K$32,'Dermal Crosswalk'!$A$5:$A$32,'Bridge Table'!$B52,'Dermal Crosswalk'!$C$5:$C$32,'Bridge Table'!$E52))),"--")</f>
        <v>4.3365402797435211</v>
      </c>
      <c r="M52" s="586">
        <f>IFERROR(IFERROR(VLOOKUP($D52,$Z$8:$AD$9,3,FALSE),0)/IF($D52="Inhalation",IF($K52="Central Tendency",SUMIFS('Inhalation Exposure'!$AB$4:$AB$61,'Inhalation Exposure'!$B$4:$B$61,$B52,'Inhalation Exposure'!$D$4:$D$61,$C52,'Inhalation Exposure'!$E$4:$E$61,$E52),SUMIFS('Inhalation Exposure'!$AA$4:$AA$61,'Inhalation Exposure'!$B$4:$B$61,$B52,'Inhalation Exposure'!$D$4:$D$61,$C52,'Inhalation Exposure'!$E$4:$E$61,$E52)),IF($K52="Central Tendency",SUMIFS('Dermal Crosswalk'!$S$5:$S$32,'Dermal Crosswalk'!$A$5:$A$32,'Bridge Table'!$B52,'Dermal Crosswalk'!$C$5:$C$32,'Bridge Table'!$E52),SUMIFS('Dermal Crosswalk'!$N$5:$N$32,'Dermal Crosswalk'!$A$5:$A$32,'Bridge Table'!$B52,'Dermal Crosswalk'!$C$5:$C$32,'Bridge Table'!$E52))),"--")</f>
        <v>1.7065281996492139</v>
      </c>
      <c r="N52" s="586">
        <f>IFERROR(IFERROR(VLOOKUP($D52,$Z$8:$AD$9,4,FALSE),0)/IF($D52="Inhalation",IF($K52="Central Tendency",SUMIFS('Inhalation Exposure'!$R$4:$R$61,'Inhalation Exposure'!$B$4:$B$61,$B52,'Inhalation Exposure'!$D$4:$D$61,$C52,'Inhalation Exposure'!$E$4:$E$61,$E52),SUMIFS('Inhalation Exposure'!$Q$4:$Q$61,'Inhalation Exposure'!$B$4:$B$61,$B52,'Inhalation Exposure'!$D$4:$D$61,$C52,'Inhalation Exposure'!$E$4:$E$61,$E52)),IF($K52="Central Tendency",SUMIFS('Dermal Crosswalk'!$Q$5:$Q$32,'Dermal Crosswalk'!$A$5:$A$32,'Bridge Table'!$B52,'Dermal Crosswalk'!$C$5:$C$32,'Bridge Table'!$E52),SUMIFS('Dermal Crosswalk'!$L$5:$L$32,'Dermal Crosswalk'!$A$5:$A$32,'Bridge Table'!$B52,'Dermal Crosswalk'!$C$5:$C$32,'Bridge Table'!$E52))),"--")</f>
        <v>8.0136967503995233</v>
      </c>
      <c r="O52" s="586">
        <f>IFERROR(IFERROR(VLOOKUP($D52,$Z$8:$AD$9,5,FALSE),0)*IF($D52="Inhalation",IF($K52="Central Tendency",SUMIFS('Inhalation Exposure'!$V$4:$V$61,'Inhalation Exposure'!$B$4:$B$61,$B52,'Inhalation Exposure'!$D$4:$D$61,$C52,'Inhalation Exposure'!$E$4:$E$61,$E52),SUMIFS('Inhalation Exposure'!$U$4:$U$61,'Inhalation Exposure'!$B$4:$B$61,$B52,'Inhalation Exposure'!$D$4:$D$61,$C52,'Inhalation Exposure'!$E$4:$E$61,$E52)),IF($K52="Central Tendency",SUMIFS('Dermal Crosswalk'!$R$5:$R$32,'Dermal Crosswalk'!$A$5:$A$32,'Bridge Table'!$B52,'Dermal Crosswalk'!$C$5:$C$32,'Bridge Table'!$E52),SUMIFS('Dermal Crosswalk'!$M$5:$M$32,'Dermal Crosswalk'!$A$5:$A$32,'Bridge Table'!$B52,'Dermal Crosswalk'!$C$5:$C$32,'Bridge Table'!$E52))),"--")</f>
        <v>3.3171332567175976E-3</v>
      </c>
      <c r="P52" s="382">
        <f>L52*U52</f>
        <v>21.682701398717604</v>
      </c>
      <c r="Q52" s="382">
        <f t="shared" ref="Q52" si="11">M52*V52</f>
        <v>8.5326409982460696</v>
      </c>
      <c r="R52" s="382">
        <f t="shared" ref="R52" si="12">N52*W52</f>
        <v>40.068483751997618</v>
      </c>
      <c r="S52" s="383">
        <f>O52/X52</f>
        <v>6.6342665134351954E-4</v>
      </c>
      <c r="U52" s="378">
        <v>5</v>
      </c>
      <c r="V52" s="379">
        <v>5</v>
      </c>
      <c r="W52" s="379">
        <v>5</v>
      </c>
      <c r="X52" s="380">
        <v>5</v>
      </c>
      <c r="AC52" s="381"/>
    </row>
    <row r="53" spans="1:29" ht="15" thickBot="1" x14ac:dyDescent="0.35">
      <c r="A53" s="372"/>
      <c r="B53" s="360" t="s">
        <v>120</v>
      </c>
      <c r="C53" s="361" t="s">
        <v>25</v>
      </c>
      <c r="D53" s="361" t="s">
        <v>16</v>
      </c>
      <c r="E53" s="362" t="s">
        <v>117</v>
      </c>
      <c r="F53" s="589"/>
      <c r="G53" s="589"/>
      <c r="H53" s="589"/>
      <c r="I53" s="589"/>
      <c r="J53" s="589"/>
      <c r="K53" s="608"/>
      <c r="L53" s="587"/>
      <c r="M53" s="587"/>
      <c r="N53" s="587"/>
      <c r="O53" s="587"/>
      <c r="P53" s="373" t="str">
        <f>CONCATENATE("(PF ",U52,")")</f>
        <v>(PF 5)</v>
      </c>
      <c r="Q53" s="373" t="str">
        <f>CONCATENATE("(PF ",V52,")")</f>
        <v>(PF 5)</v>
      </c>
      <c r="R53" s="373" t="str">
        <f>CONCATENATE("(PF ",W52,")")</f>
        <v>(PF 5)</v>
      </c>
      <c r="S53" s="373" t="str">
        <f>CONCATENATE("(PF ",X52,")")</f>
        <v>(PF 5)</v>
      </c>
      <c r="U53" s="374" t="s">
        <v>119</v>
      </c>
      <c r="V53" s="375" t="s">
        <v>119</v>
      </c>
      <c r="W53" s="375" t="s">
        <v>119</v>
      </c>
      <c r="X53" s="376" t="s">
        <v>119</v>
      </c>
    </row>
    <row r="54" spans="1:29" ht="15.6" customHeight="1" thickBot="1" x14ac:dyDescent="0.35">
      <c r="A54" s="372"/>
      <c r="B54" s="360" t="s">
        <v>120</v>
      </c>
      <c r="C54" s="361" t="s">
        <v>25</v>
      </c>
      <c r="D54" s="361" t="s">
        <v>16</v>
      </c>
      <c r="E54" s="362" t="s">
        <v>117</v>
      </c>
      <c r="F54" s="589"/>
      <c r="G54" s="589"/>
      <c r="H54" s="589"/>
      <c r="I54" s="589"/>
      <c r="J54" s="589"/>
      <c r="K54" s="584" t="s">
        <v>88</v>
      </c>
      <c r="L54" s="586">
        <f>IFERROR(IFERROR(VLOOKUP($D54,$Z$8:$AD$9,2,FALSE),0)/IF($D54="Inhalation",IF($K54="Central Tendency",SUMIFS('Inhalation Exposure'!$N$4:$N$61,'Inhalation Exposure'!$B$4:$B$61,$B54,'Inhalation Exposure'!$D$4:$D$61,$C54,'Inhalation Exposure'!$E$4:$E$61,$E54),SUMIFS('Inhalation Exposure'!$M$4:$M$61,'Inhalation Exposure'!$B$4:$B$61,$B54,'Inhalation Exposure'!$D$4:$D$61,$C54,'Inhalation Exposure'!$E$4:$E$61,$E54)),IF($K54="Central Tendency",SUMIFS('Dermal Crosswalk'!$P$5:$P$32,'Dermal Crosswalk'!$A$5:$A$32,'Bridge Table'!$B54,'Dermal Crosswalk'!$C$5:$C$32,'Bridge Table'!$E54),SUMIFS('Dermal Crosswalk'!$K$5:$K$32,'Dermal Crosswalk'!$A$5:$A$32,'Bridge Table'!$B54,'Dermal Crosswalk'!$C$5:$C$32,'Bridge Table'!$E54))),"--")</f>
        <v>1.4455134265811735</v>
      </c>
      <c r="M54" s="586">
        <f>IFERROR(IFERROR(VLOOKUP($D54,$Z$8:$AD$9,3,FALSE),0)/IF($D54="Inhalation",IF($K54="Central Tendency",SUMIFS('Inhalation Exposure'!$AB$4:$AB$61,'Inhalation Exposure'!$B$4:$B$61,$B54,'Inhalation Exposure'!$D$4:$D$61,$C54,'Inhalation Exposure'!$E$4:$E$61,$E54),SUMIFS('Inhalation Exposure'!$AA$4:$AA$61,'Inhalation Exposure'!$B$4:$B$61,$B54,'Inhalation Exposure'!$D$4:$D$61,$C54,'Inhalation Exposure'!$E$4:$E$61,$E54)),IF($K54="Central Tendency",SUMIFS('Dermal Crosswalk'!$S$5:$S$32,'Dermal Crosswalk'!$A$5:$A$32,'Bridge Table'!$B54,'Dermal Crosswalk'!$C$5:$C$32,'Bridge Table'!$E54),SUMIFS('Dermal Crosswalk'!$N$5:$N$32,'Dermal Crosswalk'!$A$5:$A$32,'Bridge Table'!$B54,'Dermal Crosswalk'!$C$5:$C$32,'Bridge Table'!$E54))),"--")</f>
        <v>0.56884273321640455</v>
      </c>
      <c r="N54" s="586">
        <f>IFERROR(IFERROR(VLOOKUP($D54,$Z$8:$AD$9,4,FALSE),0)/IF($D54="Inhalation",IF($K54="Central Tendency",SUMIFS('Inhalation Exposure'!$R$4:$R$61,'Inhalation Exposure'!$B$4:$B$61,$B54,'Inhalation Exposure'!$D$4:$D$61,$C54,'Inhalation Exposure'!$E$4:$E$61,$E54),SUMIFS('Inhalation Exposure'!$Q$4:$Q$61,'Inhalation Exposure'!$B$4:$B$61,$B54,'Inhalation Exposure'!$D$4:$D$61,$C54,'Inhalation Exposure'!$E$4:$E$61,$E54)),IF($K54="Central Tendency",SUMIFS('Dermal Crosswalk'!$Q$5:$Q$32,'Dermal Crosswalk'!$A$5:$A$32,'Bridge Table'!$B54,'Dermal Crosswalk'!$C$5:$C$32,'Bridge Table'!$E54),SUMIFS('Dermal Crosswalk'!$L$5:$L$32,'Dermal Crosswalk'!$A$5:$A$32,'Bridge Table'!$B54,'Dermal Crosswalk'!$C$5:$C$32,'Bridge Table'!$E54))),"--")</f>
        <v>0.60904095303036376</v>
      </c>
      <c r="O54" s="586">
        <f>IFERROR(IFERROR(VLOOKUP($D54,$Z$8:$AD$9,5,FALSE),0)*IF($D54="Inhalation",IF($K54="Central Tendency",SUMIFS('Inhalation Exposure'!$V$4:$V$61,'Inhalation Exposure'!$B$4:$B$61,$B54,'Inhalation Exposure'!$D$4:$D$61,$C54,'Inhalation Exposure'!$E$4:$E$61,$E54),SUMIFS('Inhalation Exposure'!$U$4:$U$61,'Inhalation Exposure'!$B$4:$B$61,$B54,'Inhalation Exposure'!$D$4:$D$61,$C54,'Inhalation Exposure'!$E$4:$E$61,$E54)),IF($K54="Central Tendency",SUMIFS('Dermal Crosswalk'!$R$5:$R$32,'Dermal Crosswalk'!$A$5:$A$32,'Bridge Table'!$B54,'Dermal Crosswalk'!$C$5:$C$32,'Bridge Table'!$E54),SUMIFS('Dermal Crosswalk'!$M$5:$M$32,'Dermal Crosswalk'!$A$5:$A$32,'Bridge Table'!$B54,'Dermal Crosswalk'!$C$5:$C$32,'Bridge Table'!$E54))),"--")</f>
        <v>5.6318051896733411E-2</v>
      </c>
      <c r="P54" s="363">
        <f>L54*U54</f>
        <v>7.2275671329058682</v>
      </c>
      <c r="Q54" s="363">
        <f t="shared" ref="Q54" si="13">M54*V54</f>
        <v>2.8442136660820228</v>
      </c>
      <c r="R54" s="363">
        <f t="shared" ref="R54" si="14">N54*W54</f>
        <v>3.0452047651518188</v>
      </c>
      <c r="S54" s="364">
        <f>O54/X54</f>
        <v>1.1263610379346683E-2</v>
      </c>
      <c r="U54" s="378">
        <v>5</v>
      </c>
      <c r="V54" s="379">
        <v>5</v>
      </c>
      <c r="W54" s="379">
        <v>5</v>
      </c>
      <c r="X54" s="380">
        <v>5</v>
      </c>
    </row>
    <row r="55" spans="1:29" ht="15" thickBot="1" x14ac:dyDescent="0.35">
      <c r="A55" s="372"/>
      <c r="B55" s="360" t="s">
        <v>120</v>
      </c>
      <c r="C55" s="361" t="s">
        <v>25</v>
      </c>
      <c r="D55" s="361" t="s">
        <v>16</v>
      </c>
      <c r="E55" s="362" t="s">
        <v>117</v>
      </c>
      <c r="F55" s="589"/>
      <c r="G55" s="589"/>
      <c r="H55" s="587"/>
      <c r="I55" s="587"/>
      <c r="J55" s="587"/>
      <c r="K55" s="585"/>
      <c r="L55" s="587"/>
      <c r="M55" s="587"/>
      <c r="N55" s="587"/>
      <c r="O55" s="587"/>
      <c r="P55" s="373" t="str">
        <f>CONCATENATE("(PF ",U54,")")</f>
        <v>(PF 5)</v>
      </c>
      <c r="Q55" s="373" t="str">
        <f>CONCATENATE("(PF ",V54,")")</f>
        <v>(PF 5)</v>
      </c>
      <c r="R55" s="373" t="str">
        <f>CONCATENATE("(PF ",W54,")")</f>
        <v>(PF 5)</v>
      </c>
      <c r="S55" s="373" t="str">
        <f>CONCATENATE("(PF ",X54,")")</f>
        <v>(PF 5)</v>
      </c>
      <c r="U55" s="384" t="s">
        <v>119</v>
      </c>
      <c r="V55" s="385" t="s">
        <v>119</v>
      </c>
      <c r="W55" s="385" t="s">
        <v>119</v>
      </c>
      <c r="X55" s="386" t="s">
        <v>119</v>
      </c>
    </row>
    <row r="56" spans="1:29" ht="15" customHeight="1" thickBot="1" x14ac:dyDescent="0.35">
      <c r="A56" s="372"/>
      <c r="B56" s="360" t="s">
        <v>124</v>
      </c>
      <c r="C56" s="361" t="s">
        <v>25</v>
      </c>
      <c r="D56" s="361" t="s">
        <v>111</v>
      </c>
      <c r="E56" s="362" t="s">
        <v>24</v>
      </c>
      <c r="F56" s="589"/>
      <c r="G56" s="589"/>
      <c r="H56" s="586" t="s">
        <v>125</v>
      </c>
      <c r="I56" s="586" t="s">
        <v>25</v>
      </c>
      <c r="J56" s="586" t="s">
        <v>115</v>
      </c>
      <c r="K56" s="584" t="s">
        <v>54</v>
      </c>
      <c r="L56" s="586">
        <f>IFERROR(IFERROR(VLOOKUP($D56,$Z$8:$AD$9,2,FALSE),0)/IF($D56="Inhalation",IF($K56="Central Tendency",SUMIFS('Inhalation Exposure'!$N$4:$N$61,'Inhalation Exposure'!$B$4:$B$61,$B56,'Inhalation Exposure'!$D$4:$D$61,$C56,'Inhalation Exposure'!$E$4:$E$61,$E56),SUMIFS('Inhalation Exposure'!$M$4:$M$61,'Inhalation Exposure'!$B$4:$B$61,$B56,'Inhalation Exposure'!$D$4:$D$61,$C56,'Inhalation Exposure'!$E$4:$E$61,$E56)),IF($K56="Central Tendency",SUMIFS('Dermal Crosswalk'!$P$5:$P$32,'Dermal Crosswalk'!$A$5:$A$32,'Bridge Table'!$B56,'Dermal Crosswalk'!$C$5:$C$32,'Bridge Table'!$E56),SUMIFS('Dermal Crosswalk'!$K$5:$K$32,'Dermal Crosswalk'!$A$5:$A$32,'Bridge Table'!$B56,'Dermal Crosswalk'!$C$5:$C$32,'Bridge Table'!$E56))),"--")</f>
        <v>791.10706305112478</v>
      </c>
      <c r="M56" s="586">
        <f>IFERROR(IFERROR(VLOOKUP($D56,$Z$8:$AD$9,3,FALSE),0)/IF($D56="Inhalation",IF($K56="Central Tendency",SUMIFS('Inhalation Exposure'!$AB$4:$AB$61,'Inhalation Exposure'!$B$4:$B$61,$B56,'Inhalation Exposure'!$D$4:$D$61,$C56,'Inhalation Exposure'!$E$4:$E$61,$E56),SUMIFS('Inhalation Exposure'!$AA$4:$AA$61,'Inhalation Exposure'!$B$4:$B$61,$B56,'Inhalation Exposure'!$D$4:$D$61,$C56,'Inhalation Exposure'!$E$4:$E$61,$E56)),IF($K56="Central Tendency",SUMIFS('Dermal Crosswalk'!$S$5:$S$32,'Dermal Crosswalk'!$A$5:$A$32,'Bridge Table'!$B56,'Dermal Crosswalk'!$C$5:$C$32,'Bridge Table'!$E56),SUMIFS('Dermal Crosswalk'!$N$5:$N$32,'Dermal Crosswalk'!$A$5:$A$32,'Bridge Table'!$B56,'Dermal Crosswalk'!$C$5:$C$32,'Bridge Table'!$E56))),"--")</f>
        <v>6497.1541980184984</v>
      </c>
      <c r="N56" s="586">
        <f>IFERROR(IFERROR(VLOOKUP($D56,$Z$8:$AD$9,4,FALSE),0)/IF($D56="Inhalation",IF($K56="Central Tendency",SUMIFS('Inhalation Exposure'!$R$4:$R$61,'Inhalation Exposure'!$B$4:$B$61,$B56,'Inhalation Exposure'!$D$4:$D$61,$C56,'Inhalation Exposure'!$E$4:$E$61,$E56),SUMIFS('Inhalation Exposure'!$Q$4:$Q$61,'Inhalation Exposure'!$B$4:$B$61,$B56,'Inhalation Exposure'!$D$4:$D$61,$C56,'Inhalation Exposure'!$E$4:$E$61,$E56)),IF($K56="Central Tendency",SUMIFS('Dermal Crosswalk'!$Q$5:$Q$32,'Dermal Crosswalk'!$A$5:$A$32,'Bridge Table'!$B56,'Dermal Crosswalk'!$C$5:$C$32,'Bridge Table'!$E56),SUMIFS('Dermal Crosswalk'!$L$5:$L$32,'Dermal Crosswalk'!$A$5:$A$32,'Bridge Table'!$B56,'Dermal Crosswalk'!$C$5:$C$32,'Bridge Table'!$E56))),"--")</f>
        <v>79048.709409225034</v>
      </c>
      <c r="O56" s="586">
        <f>IFERROR(IFERROR(VLOOKUP($D56,$Z$8:$AD$9,5,FALSE),0)*IF($D56="Inhalation",IF($K56="Central Tendency",SUMIFS('Inhalation Exposure'!$V$4:$V$61,'Inhalation Exposure'!$B$4:$B$61,$B56,'Inhalation Exposure'!$D$4:$D$61,$C56,'Inhalation Exposure'!$E$4:$E$61,$E56),SUMIFS('Inhalation Exposure'!$U$4:$U$61,'Inhalation Exposure'!$B$4:$B$61,$B56,'Inhalation Exposure'!$D$4:$D$61,$C56,'Inhalation Exposure'!$E$4:$E$61,$E56)),IF($K56="Central Tendency",SUMIFS('Dermal Crosswalk'!$R$5:$R$32,'Dermal Crosswalk'!$A$5:$A$32,'Bridge Table'!$B56,'Dermal Crosswalk'!$C$5:$C$32,'Bridge Table'!$E56),SUMIFS('Dermal Crosswalk'!$M$5:$M$32,'Dermal Crosswalk'!$A$5:$A$32,'Bridge Table'!$B56,'Dermal Crosswalk'!$C$5:$C$32,'Bridge Table'!$E56))),"--")</f>
        <v>3.2115879183126639E-7</v>
      </c>
      <c r="P56" s="363">
        <f>IFERROR(L56*U56,"Not Assessed")</f>
        <v>7911.0706305112481</v>
      </c>
      <c r="Q56" s="363">
        <f>IFERROR(M56*V56,"Not Assessed")</f>
        <v>64971.541980184986</v>
      </c>
      <c r="R56" s="363">
        <f>IFERROR(N56*W56,"Not Assessed")</f>
        <v>790487.09409225034</v>
      </c>
      <c r="S56" s="364">
        <f>IFERROR(O56/X56, "Not Assessed")</f>
        <v>3.2115879183126636E-8</v>
      </c>
      <c r="U56" s="365">
        <v>10</v>
      </c>
      <c r="V56" s="366">
        <v>10</v>
      </c>
      <c r="W56" s="366">
        <v>10</v>
      </c>
      <c r="X56" s="367">
        <v>10</v>
      </c>
    </row>
    <row r="57" spans="1:29" ht="15" thickBot="1" x14ac:dyDescent="0.35">
      <c r="A57" s="372"/>
      <c r="B57" s="360" t="s">
        <v>124</v>
      </c>
      <c r="C57" s="361" t="s">
        <v>25</v>
      </c>
      <c r="D57" s="361" t="s">
        <v>111</v>
      </c>
      <c r="E57" s="362" t="s">
        <v>24</v>
      </c>
      <c r="F57" s="589"/>
      <c r="G57" s="589"/>
      <c r="H57" s="589"/>
      <c r="I57" s="589"/>
      <c r="J57" s="589"/>
      <c r="K57" s="585"/>
      <c r="L57" s="587"/>
      <c r="M57" s="587"/>
      <c r="N57" s="587"/>
      <c r="O57" s="587"/>
      <c r="P57" s="373" t="str">
        <f>CONCATENATE("(APF ",U56,")")</f>
        <v>(APF 10)</v>
      </c>
      <c r="Q57" s="373" t="str">
        <f>CONCATENATE("(APF ",V56,")")</f>
        <v>(APF 10)</v>
      </c>
      <c r="R57" s="373" t="str">
        <f>CONCATENATE("(APF ",W56,")")</f>
        <v>(APF 10)</v>
      </c>
      <c r="S57" s="373" t="str">
        <f>CONCATENATE("(APF ",X56,")")</f>
        <v>(APF 10)</v>
      </c>
      <c r="U57" s="374" t="s">
        <v>116</v>
      </c>
      <c r="V57" s="375" t="s">
        <v>116</v>
      </c>
      <c r="W57" s="375" t="s">
        <v>116</v>
      </c>
      <c r="X57" s="376" t="s">
        <v>116</v>
      </c>
    </row>
    <row r="58" spans="1:29" ht="15.6" customHeight="1" thickBot="1" x14ac:dyDescent="0.35">
      <c r="A58" s="372"/>
      <c r="B58" s="360" t="s">
        <v>124</v>
      </c>
      <c r="C58" s="361" t="s">
        <v>25</v>
      </c>
      <c r="D58" s="361" t="s">
        <v>111</v>
      </c>
      <c r="E58" s="362" t="s">
        <v>24</v>
      </c>
      <c r="F58" s="589"/>
      <c r="G58" s="589"/>
      <c r="H58" s="589"/>
      <c r="I58" s="589"/>
      <c r="J58" s="589"/>
      <c r="K58" s="584" t="s">
        <v>88</v>
      </c>
      <c r="L58" s="586">
        <f>IFERROR(IFERROR(VLOOKUP($D58,$Z$8:$AD$9,2,FALSE),0)/IF($D58="Inhalation",IF($K58="Central Tendency",SUMIFS('Inhalation Exposure'!$N$4:$N$61,'Inhalation Exposure'!$B$4:$B$61,$B58,'Inhalation Exposure'!$D$4:$D$61,$C58,'Inhalation Exposure'!$E$4:$E$61,$E58),SUMIFS('Inhalation Exposure'!$M$4:$M$61,'Inhalation Exposure'!$B$4:$B$61,$B58,'Inhalation Exposure'!$D$4:$D$61,$C58,'Inhalation Exposure'!$E$4:$E$61,$E58)),IF($K58="Central Tendency",SUMIFS('Dermal Crosswalk'!$P$5:$P$32,'Dermal Crosswalk'!$A$5:$A$32,'Bridge Table'!$B58,'Dermal Crosswalk'!$C$5:$C$32,'Bridge Table'!$E58),SUMIFS('Dermal Crosswalk'!$K$5:$K$32,'Dermal Crosswalk'!$A$5:$A$32,'Bridge Table'!$B58,'Dermal Crosswalk'!$C$5:$C$32,'Bridge Table'!$E58))),"--")</f>
        <v>188.32367605903545</v>
      </c>
      <c r="M58" s="586">
        <f>IFERROR(IFERROR(VLOOKUP($D58,$Z$8:$AD$9,3,FALSE),0)/IF($D58="Inhalation",IF($K58="Central Tendency",SUMIFS('Inhalation Exposure'!$AB$4:$AB$61,'Inhalation Exposure'!$B$4:$B$61,$B58,'Inhalation Exposure'!$D$4:$D$61,$C58,'Inhalation Exposure'!$E$4:$E$61,$E58),SUMIFS('Inhalation Exposure'!$AA$4:$AA$61,'Inhalation Exposure'!$B$4:$B$61,$B58,'Inhalation Exposure'!$D$4:$D$61,$C58,'Inhalation Exposure'!$E$4:$E$61,$E58)),IF($K58="Central Tendency",SUMIFS('Dermal Crosswalk'!$S$5:$S$32,'Dermal Crosswalk'!$A$5:$A$32,'Bridge Table'!$B58,'Dermal Crosswalk'!$C$5:$C$32,'Bridge Table'!$E58),SUMIFS('Dermal Crosswalk'!$N$5:$N$32,'Dermal Crosswalk'!$A$5:$A$32,'Bridge Table'!$B58,'Dermal Crosswalk'!$C$5:$C$32,'Bridge Table'!$E58))),"--")</f>
        <v>1556.939026995924</v>
      </c>
      <c r="N58" s="586">
        <f>IFERROR(IFERROR(VLOOKUP($D58,$Z$8:$AD$9,4,FALSE),0)/IF($D58="Inhalation",IF($K58="Central Tendency",SUMIFS('Inhalation Exposure'!$R$4:$R$61,'Inhalation Exposure'!$B$4:$B$61,$B58,'Inhalation Exposure'!$D$4:$D$61,$C58,'Inhalation Exposure'!$E$4:$E$61,$E58),SUMIFS('Inhalation Exposure'!$Q$4:$Q$61,'Inhalation Exposure'!$B$4:$B$61,$B58,'Inhalation Exposure'!$D$4:$D$61,$C58,'Inhalation Exposure'!$E$4:$E$61,$E58)),IF($K58="Central Tendency",SUMIFS('Dermal Crosswalk'!$Q$5:$Q$32,'Dermal Crosswalk'!$A$5:$A$32,'Bridge Table'!$B58,'Dermal Crosswalk'!$C$5:$C$32,'Bridge Table'!$E58),SUMIFS('Dermal Crosswalk'!$L$5:$L$32,'Dermal Crosswalk'!$A$5:$A$32,'Bridge Table'!$B58,'Dermal Crosswalk'!$C$5:$C$32,'Bridge Table'!$E58))),"--")</f>
        <v>18942.758161783742</v>
      </c>
      <c r="O58" s="586">
        <f>IFERROR(IFERROR(VLOOKUP($D58,$Z$8:$AD$9,5,FALSE),0)*IF($D58="Inhalation",IF($K58="Central Tendency",SUMIFS('Inhalation Exposure'!$V$4:$V$61,'Inhalation Exposure'!$B$4:$B$61,$B58,'Inhalation Exposure'!$D$4:$D$61,$C58,'Inhalation Exposure'!$E$4:$E$61,$E58),SUMIFS('Inhalation Exposure'!$U$4:$U$61,'Inhalation Exposure'!$B$4:$B$61,$B58,'Inhalation Exposure'!$D$4:$D$61,$C58,'Inhalation Exposure'!$E$4:$E$61,$E58)),IF($K58="Central Tendency",SUMIFS('Dermal Crosswalk'!$R$5:$R$32,'Dermal Crosswalk'!$A$5:$A$32,'Bridge Table'!$B58,'Dermal Crosswalk'!$C$5:$C$32,'Bridge Table'!$E58),SUMIFS('Dermal Crosswalk'!$M$5:$M$32,'Dermal Crosswalk'!$A$5:$A$32,'Bridge Table'!$B58,'Dermal Crosswalk'!$C$5:$C$32,'Bridge Table'!$E58))),"--")</f>
        <v>1.4121037903130651E-6</v>
      </c>
      <c r="P58" s="363">
        <f>IFERROR(L58*U58,"Not Assessed")</f>
        <v>1883.2367605903546</v>
      </c>
      <c r="Q58" s="363">
        <f>IFERROR(M58*V58,"Not Assessed")</f>
        <v>15569.39026995924</v>
      </c>
      <c r="R58" s="363">
        <f>IFERROR(N58*W58,"Not Assessed")</f>
        <v>189427.58161783742</v>
      </c>
      <c r="S58" s="364">
        <f>IFERROR(O58/X58, "Not Assessed")</f>
        <v>1.412103790313065E-7</v>
      </c>
      <c r="U58" s="378">
        <v>10</v>
      </c>
      <c r="V58" s="379">
        <v>10</v>
      </c>
      <c r="W58" s="379">
        <v>10</v>
      </c>
      <c r="X58" s="380">
        <v>10</v>
      </c>
    </row>
    <row r="59" spans="1:29" ht="15" thickBot="1" x14ac:dyDescent="0.35">
      <c r="A59" s="372"/>
      <c r="B59" s="360" t="s">
        <v>124</v>
      </c>
      <c r="C59" s="361" t="s">
        <v>25</v>
      </c>
      <c r="D59" s="361" t="s">
        <v>111</v>
      </c>
      <c r="E59" s="362" t="s">
        <v>24</v>
      </c>
      <c r="F59" s="589"/>
      <c r="G59" s="589"/>
      <c r="H59" s="589"/>
      <c r="I59" s="590"/>
      <c r="J59" s="590"/>
      <c r="K59" s="588"/>
      <c r="L59" s="587"/>
      <c r="M59" s="587"/>
      <c r="N59" s="587"/>
      <c r="O59" s="587"/>
      <c r="P59" s="373" t="str">
        <f>CONCATENATE("(APF ",U58,")")</f>
        <v>(APF 10)</v>
      </c>
      <c r="Q59" s="373" t="str">
        <f>CONCATENATE("(APF ",V58,")")</f>
        <v>(APF 10)</v>
      </c>
      <c r="R59" s="373" t="str">
        <f>CONCATENATE("(APF ",W58,")")</f>
        <v>(APF 10)</v>
      </c>
      <c r="S59" s="373" t="str">
        <f>CONCATENATE("(APF ",X58,")")</f>
        <v>(APF 10)</v>
      </c>
      <c r="U59" s="374" t="s">
        <v>116</v>
      </c>
      <c r="V59" s="375" t="s">
        <v>116</v>
      </c>
      <c r="W59" s="375" t="s">
        <v>116</v>
      </c>
      <c r="X59" s="376" t="s">
        <v>116</v>
      </c>
    </row>
    <row r="60" spans="1:29" ht="15" customHeight="1" thickBot="1" x14ac:dyDescent="0.35">
      <c r="A60" s="372"/>
      <c r="B60" s="360" t="s">
        <v>124</v>
      </c>
      <c r="C60" s="361" t="s">
        <v>25</v>
      </c>
      <c r="D60" s="361" t="s">
        <v>111</v>
      </c>
      <c r="E60" s="362" t="s">
        <v>117</v>
      </c>
      <c r="F60" s="589"/>
      <c r="G60" s="589"/>
      <c r="H60" s="589"/>
      <c r="I60" s="589" t="s">
        <v>25</v>
      </c>
      <c r="J60" s="586" t="s">
        <v>115</v>
      </c>
      <c r="K60" s="584" t="s">
        <v>54</v>
      </c>
      <c r="L60" s="586">
        <f>IFERROR(IFERROR(VLOOKUP($D60,$Z$8:$AD$9,2,FALSE),0)/IF($D60="Inhalation",IF($K60="Central Tendency",SUMIFS('Inhalation Exposure'!$N$4:$N$61,'Inhalation Exposure'!$B$4:$B$61,$B60,'Inhalation Exposure'!$D$4:$D$61,$C60,'Inhalation Exposure'!$E$4:$E$61,$E60),SUMIFS('Inhalation Exposure'!$M$4:$M$61,'Inhalation Exposure'!$B$4:$B$61,$B60,'Inhalation Exposure'!$D$4:$D$61,$C60,'Inhalation Exposure'!$E$4:$E$61,$E60)),IF($K60="Central Tendency",SUMIFS('Dermal Crosswalk'!$P$5:$P$32,'Dermal Crosswalk'!$A$5:$A$32,'Bridge Table'!$B60,'Dermal Crosswalk'!$C$5:$C$32,'Bridge Table'!$E60),SUMIFS('Dermal Crosswalk'!$K$5:$K$32,'Dermal Crosswalk'!$A$5:$A$32,'Bridge Table'!$B60,'Dermal Crosswalk'!$C$5:$C$32,'Bridge Table'!$E60))),"--")</f>
        <v>601.74541692929847</v>
      </c>
      <c r="M60" s="586">
        <f>IFERROR(IFERROR(VLOOKUP($D60,$Z$8:$AD$9,3,FALSE),0)/IF($D60="Inhalation",IF($K60="Central Tendency",SUMIFS('Inhalation Exposure'!$AB$4:$AB$61,'Inhalation Exposure'!$B$4:$B$61,$B60,'Inhalation Exposure'!$D$4:$D$61,$C60,'Inhalation Exposure'!$E$4:$E$61,$E60),SUMIFS('Inhalation Exposure'!$AA$4:$AA$61,'Inhalation Exposure'!$B$4:$B$61,$B60,'Inhalation Exposure'!$D$4:$D$61,$C60,'Inhalation Exposure'!$E$4:$E$61,$E60)),IF($K60="Central Tendency",SUMIFS('Dermal Crosswalk'!$S$5:$S$32,'Dermal Crosswalk'!$A$5:$A$32,'Bridge Table'!$B60,'Dermal Crosswalk'!$C$5:$C$32,'Bridge Table'!$E60),SUMIFS('Dermal Crosswalk'!$N$5:$N$32,'Dermal Crosswalk'!$A$5:$A$32,'Bridge Table'!$B60,'Dermal Crosswalk'!$C$5:$C$32,'Bridge Table'!$E60))),"--")</f>
        <v>1220.4492013716103</v>
      </c>
      <c r="N60" s="586">
        <f>IFERROR(IFERROR(VLOOKUP($D60,$Z$8:$AD$9,4,FALSE),0)/IF($D60="Inhalation",IF($K60="Central Tendency",SUMIFS('Inhalation Exposure'!$R$4:$R$61,'Inhalation Exposure'!$B$4:$B$61,$B60,'Inhalation Exposure'!$D$4:$D$61,$C60,'Inhalation Exposure'!$E$4:$E$61,$E60),SUMIFS('Inhalation Exposure'!$Q$4:$Q$61,'Inhalation Exposure'!$B$4:$B$61,$B60,'Inhalation Exposure'!$D$4:$D$61,$C60,'Inhalation Exposure'!$E$4:$E$61,$E60)),IF($K60="Central Tendency",SUMIFS('Dermal Crosswalk'!$Q$5:$Q$32,'Dermal Crosswalk'!$A$5:$A$32,'Bridge Table'!$B60,'Dermal Crosswalk'!$C$5:$C$32,'Bridge Table'!$E60),SUMIFS('Dermal Crosswalk'!$L$5:$L$32,'Dermal Crosswalk'!$A$5:$A$32,'Bridge Table'!$B60,'Dermal Crosswalk'!$C$5:$C$32,'Bridge Table'!$E60))),"--")</f>
        <v>14839.8861147807</v>
      </c>
      <c r="O60" s="586">
        <f>IFERROR(IFERROR(VLOOKUP($D60,$Z$8:$AD$9,5,FALSE),0)*IF($D60="Inhalation",IF($K60="Central Tendency",SUMIFS('Inhalation Exposure'!$V$4:$V$61,'Inhalation Exposure'!$B$4:$B$61,$B60,'Inhalation Exposure'!$D$4:$D$61,$C60,'Inhalation Exposure'!$E$4:$E$61,$E60),SUMIFS('Inhalation Exposure'!$U$4:$U$61,'Inhalation Exposure'!$B$4:$B$61,$B60,'Inhalation Exposure'!$D$4:$D$61,$C60,'Inhalation Exposure'!$E$4:$E$61,$E60)),IF($K60="Central Tendency",SUMIFS('Dermal Crosswalk'!$R$5:$R$32,'Dermal Crosswalk'!$A$5:$A$32,'Bridge Table'!$B60,'Dermal Crosswalk'!$C$5:$C$32,'Bridge Table'!$E60),SUMIFS('Dermal Crosswalk'!$M$5:$M$32,'Dermal Crosswalk'!$A$5:$A$32,'Bridge Table'!$B60,'Dermal Crosswalk'!$C$5:$C$32,'Bridge Table'!$E60))),"--")</f>
        <v>1.7107669306776106E-6</v>
      </c>
      <c r="P60" s="363">
        <f>IFERROR(L60*U60,"Not Assessed")</f>
        <v>6017.4541692929852</v>
      </c>
      <c r="Q60" s="363">
        <f>IFERROR(M60*V60,"Not Assessed")</f>
        <v>12204.492013716103</v>
      </c>
      <c r="R60" s="363">
        <f>IFERROR(N60*W60,"Not Assessed")</f>
        <v>148398.86114780701</v>
      </c>
      <c r="S60" s="364">
        <f>IFERROR(O60/X60, "Not Assessed")</f>
        <v>1.7107669306776106E-7</v>
      </c>
      <c r="U60" s="378">
        <v>10</v>
      </c>
      <c r="V60" s="379">
        <v>10</v>
      </c>
      <c r="W60" s="379">
        <v>10</v>
      </c>
      <c r="X60" s="380">
        <v>10</v>
      </c>
    </row>
    <row r="61" spans="1:29" ht="15" thickBot="1" x14ac:dyDescent="0.35">
      <c r="A61" s="372"/>
      <c r="B61" s="360" t="s">
        <v>124</v>
      </c>
      <c r="C61" s="361" t="s">
        <v>25</v>
      </c>
      <c r="D61" s="361" t="s">
        <v>111</v>
      </c>
      <c r="E61" s="362" t="s">
        <v>117</v>
      </c>
      <c r="F61" s="589"/>
      <c r="G61" s="589"/>
      <c r="H61" s="589"/>
      <c r="I61" s="589"/>
      <c r="J61" s="589"/>
      <c r="K61" s="585"/>
      <c r="L61" s="587"/>
      <c r="M61" s="587"/>
      <c r="N61" s="587"/>
      <c r="O61" s="587"/>
      <c r="P61" s="373" t="str">
        <f>CONCATENATE("(APF ",U60,")")</f>
        <v>(APF 10)</v>
      </c>
      <c r="Q61" s="373" t="str">
        <f>CONCATENATE("(APF ",V60,")")</f>
        <v>(APF 10)</v>
      </c>
      <c r="R61" s="373" t="str">
        <f>CONCATENATE("(APF ",W60,")")</f>
        <v>(APF 10)</v>
      </c>
      <c r="S61" s="373" t="str">
        <f>CONCATENATE("(APF ",X60,")")</f>
        <v>(APF 10)</v>
      </c>
      <c r="U61" s="374" t="s">
        <v>116</v>
      </c>
      <c r="V61" s="375" t="s">
        <v>116</v>
      </c>
      <c r="W61" s="375" t="s">
        <v>116</v>
      </c>
      <c r="X61" s="376" t="s">
        <v>116</v>
      </c>
    </row>
    <row r="62" spans="1:29" ht="15" thickBot="1" x14ac:dyDescent="0.35">
      <c r="A62" s="372"/>
      <c r="B62" s="360" t="s">
        <v>124</v>
      </c>
      <c r="C62" s="361" t="s">
        <v>25</v>
      </c>
      <c r="D62" s="361" t="s">
        <v>111</v>
      </c>
      <c r="E62" s="362" t="s">
        <v>117</v>
      </c>
      <c r="F62" s="589"/>
      <c r="G62" s="589"/>
      <c r="H62" s="589"/>
      <c r="I62" s="589"/>
      <c r="J62" s="589"/>
      <c r="K62" s="584" t="s">
        <v>88</v>
      </c>
      <c r="L62" s="586">
        <f>IFERROR(IFERROR(VLOOKUP($D62,$Z$8:$AD$9,2,FALSE),0)/IF($D62="Inhalation",IF($K62="Central Tendency",SUMIFS('Inhalation Exposure'!$N$4:$N$61,'Inhalation Exposure'!$B$4:$B$61,$B62,'Inhalation Exposure'!$D$4:$D$61,$C62,'Inhalation Exposure'!$E$4:$E$61,$E62),SUMIFS('Inhalation Exposure'!$M$4:$M$61,'Inhalation Exposure'!$B$4:$B$61,$B62,'Inhalation Exposure'!$D$4:$D$61,$C62,'Inhalation Exposure'!$E$4:$E$61,$E62)),IF($K62="Central Tendency",SUMIFS('Dermal Crosswalk'!$P$5:$P$32,'Dermal Crosswalk'!$A$5:$A$32,'Bridge Table'!$B62,'Dermal Crosswalk'!$C$5:$C$32,'Bridge Table'!$E62),SUMIFS('Dermal Crosswalk'!$K$5:$K$32,'Dermal Crosswalk'!$A$5:$A$32,'Bridge Table'!$B62,'Dermal Crosswalk'!$C$5:$C$32,'Bridge Table'!$E62))),"--")</f>
        <v>146.34259737284512</v>
      </c>
      <c r="M62" s="586">
        <f>IFERROR(IFERROR(VLOOKUP($D62,$Z$8:$AD$9,3,FALSE),0)/IF($D62="Inhalation",IF($K62="Central Tendency",SUMIFS('Inhalation Exposure'!$AB$4:$AB$61,'Inhalation Exposure'!$B$4:$B$61,$B62,'Inhalation Exposure'!$D$4:$D$61,$C62,'Inhalation Exposure'!$E$4:$E$61,$E62),SUMIFS('Inhalation Exposure'!$AA$4:$AA$61,'Inhalation Exposure'!$B$4:$B$61,$B62,'Inhalation Exposure'!$D$4:$D$61,$C62,'Inhalation Exposure'!$E$4:$E$61,$E62)),IF($K62="Central Tendency",SUMIFS('Dermal Crosswalk'!$S$5:$S$32,'Dermal Crosswalk'!$A$5:$A$32,'Bridge Table'!$B62,'Dermal Crosswalk'!$C$5:$C$32,'Bridge Table'!$E62),SUMIFS('Dermal Crosswalk'!$N$5:$N$32,'Dermal Crosswalk'!$A$5:$A$32,'Bridge Table'!$B62,'Dermal Crosswalk'!$C$5:$C$32,'Bridge Table'!$E62))),"--")</f>
        <v>292.79013154916356</v>
      </c>
      <c r="N62" s="586">
        <f>IFERROR(IFERROR(VLOOKUP($D62,$Z$8:$AD$9,4,FALSE),0)/IF($D62="Inhalation",IF($K62="Central Tendency",SUMIFS('Inhalation Exposure'!$R$4:$R$61,'Inhalation Exposure'!$B$4:$B$61,$B62,'Inhalation Exposure'!$D$4:$D$61,$C62,'Inhalation Exposure'!$E$4:$E$61,$E62),SUMIFS('Inhalation Exposure'!$Q$4:$Q$61,'Inhalation Exposure'!$B$4:$B$61,$B62,'Inhalation Exposure'!$D$4:$D$61,$C62,'Inhalation Exposure'!$E$4:$E$61,$E62)),IF($K62="Central Tendency",SUMIFS('Dermal Crosswalk'!$Q$5:$Q$32,'Dermal Crosswalk'!$A$5:$A$32,'Bridge Table'!$B62,'Dermal Crosswalk'!$C$5:$C$32,'Bridge Table'!$E62),SUMIFS('Dermal Crosswalk'!$L$5:$L$32,'Dermal Crosswalk'!$A$5:$A$32,'Bridge Table'!$B62,'Dermal Crosswalk'!$C$5:$C$32,'Bridge Table'!$E62))),"--")</f>
        <v>3552.9131291822405</v>
      </c>
      <c r="O62" s="586">
        <f>IFERROR(IFERROR(VLOOKUP($D62,$Z$8:$AD$9,5,FALSE),0)*IF($D62="Inhalation",IF($K62="Central Tendency",SUMIFS('Inhalation Exposure'!$V$4:$V$61,'Inhalation Exposure'!$B$4:$B$61,$B62,'Inhalation Exposure'!$D$4:$D$61,$C62,'Inhalation Exposure'!$E$4:$E$61,$E62),SUMIFS('Inhalation Exposure'!$U$4:$U$61,'Inhalation Exposure'!$B$4:$B$61,$B62,'Inhalation Exposure'!$D$4:$D$61,$C62,'Inhalation Exposure'!$E$4:$E$61,$E62)),IF($K62="Central Tendency",SUMIFS('Dermal Crosswalk'!$R$5:$R$32,'Dermal Crosswalk'!$A$5:$A$32,'Bridge Table'!$B62,'Dermal Crosswalk'!$C$5:$C$32,'Bridge Table'!$E62),SUMIFS('Dermal Crosswalk'!$M$5:$M$32,'Dermal Crosswalk'!$A$5:$A$32,'Bridge Table'!$B62,'Dermal Crosswalk'!$C$5:$C$32,'Bridge Table'!$E62))),"--")</f>
        <v>7.5029376949959103E-6</v>
      </c>
      <c r="P62" s="363">
        <f>IFERROR(L62*U62,"Not Assessed")</f>
        <v>1463.4259737284513</v>
      </c>
      <c r="Q62" s="363">
        <f>IFERROR(M62*V62,"Not Assessed")</f>
        <v>2927.9013154916356</v>
      </c>
      <c r="R62" s="363">
        <f>IFERROR(N62*W62,"Not Assessed")</f>
        <v>35529.131291822407</v>
      </c>
      <c r="S62" s="364">
        <f>IFERROR(O62/X62, "Not Assessed")</f>
        <v>7.5029376949959103E-7</v>
      </c>
      <c r="U62" s="378">
        <v>10</v>
      </c>
      <c r="V62" s="379">
        <v>10</v>
      </c>
      <c r="W62" s="379">
        <v>10</v>
      </c>
      <c r="X62" s="380">
        <v>10</v>
      </c>
    </row>
    <row r="63" spans="1:29" ht="15" thickBot="1" x14ac:dyDescent="0.35">
      <c r="A63" s="372"/>
      <c r="B63" s="360" t="s">
        <v>124</v>
      </c>
      <c r="C63" s="361" t="s">
        <v>25</v>
      </c>
      <c r="D63" s="361" t="s">
        <v>111</v>
      </c>
      <c r="E63" s="362" t="s">
        <v>117</v>
      </c>
      <c r="F63" s="589"/>
      <c r="G63" s="589"/>
      <c r="H63" s="589"/>
      <c r="I63" s="590"/>
      <c r="J63" s="590"/>
      <c r="K63" s="588"/>
      <c r="L63" s="587"/>
      <c r="M63" s="587"/>
      <c r="N63" s="587"/>
      <c r="O63" s="587"/>
      <c r="P63" s="373" t="str">
        <f>CONCATENATE("(APF ",U62,")")</f>
        <v>(APF 10)</v>
      </c>
      <c r="Q63" s="373" t="str">
        <f>CONCATENATE("(APF ",V62,")")</f>
        <v>(APF 10)</v>
      </c>
      <c r="R63" s="373" t="str">
        <f>CONCATENATE("(APF ",W62,")")</f>
        <v>(APF 10)</v>
      </c>
      <c r="S63" s="373" t="str">
        <f>CONCATENATE("(APF ",X62,")")</f>
        <v>(APF 10)</v>
      </c>
      <c r="U63" s="374" t="s">
        <v>116</v>
      </c>
      <c r="V63" s="375" t="s">
        <v>116</v>
      </c>
      <c r="W63" s="375" t="s">
        <v>116</v>
      </c>
      <c r="X63" s="376" t="s">
        <v>116</v>
      </c>
    </row>
    <row r="64" spans="1:29" ht="15" customHeight="1" thickBot="1" x14ac:dyDescent="0.35">
      <c r="A64" s="372"/>
      <c r="B64" s="360" t="s">
        <v>124</v>
      </c>
      <c r="C64" s="361" t="s">
        <v>53</v>
      </c>
      <c r="D64" s="361" t="s">
        <v>111</v>
      </c>
      <c r="E64" s="362" t="s">
        <v>24</v>
      </c>
      <c r="F64" s="589"/>
      <c r="G64" s="589"/>
      <c r="H64" s="589"/>
      <c r="I64" s="589" t="s">
        <v>53</v>
      </c>
      <c r="J64" s="586" t="s">
        <v>115</v>
      </c>
      <c r="K64" s="584" t="s">
        <v>54</v>
      </c>
      <c r="L64" s="586" t="str">
        <f>IFERROR(IFERROR(VLOOKUP($D64,$Z$8:$AD$9,2,FALSE),0)/IF($D64="Inhalation",IF($K64="Central Tendency",SUMIFS('Inhalation Exposure'!$L$4:$L$60,'Inhalation Exposure'!$B$4:$B$60,$B64,'Inhalation Exposure'!$D$4:$D$60,$C64,'Inhalation Exposure'!$E$4:$E$60,$E64),SUMIFS('Inhalation Exposure'!$K$4:$K$60,'Inhalation Exposure'!$B$4:$B$60,$B64,'Inhalation Exposure'!$D$4:$D$60,$C64,'Inhalation Exposure'!$E$4:$E$60,$E64)),IF($K64="Central Tendency",SUMIFS('Dermal Crosswalk'!$P$5:$P$32,'Dermal Crosswalk'!$A$5:$A$32,'Bridge Table'!$B64,'Dermal Crosswalk'!$C$5:$C$32,'Bridge Table'!$E64),SUMIFS('Dermal Crosswalk'!$K$5:$K$32,'Dermal Crosswalk'!$A$5:$A$32,'Bridge Table'!$B64,'Dermal Crosswalk'!$C$5:$C$32,'Bridge Table'!$E64))),"--")</f>
        <v>--</v>
      </c>
      <c r="M64" s="586" t="str">
        <f>IFERROR(IFERROR(VLOOKUP($D64,$Z$8:$AD$9,3,FALSE),0)/IF($D64="Inhalation",IF($K64="Central Tendency",SUMIFS('Inhalation Exposure'!$AB$4:$AB$60,'Inhalation Exposure'!$B$4:$B$60,$B64,'Inhalation Exposure'!$D$4:$D$60,$C64,'Inhalation Exposure'!$E$4:$E$60,$E64),SUMIFS('Inhalation Exposure'!$AA$4:$AA$60,'Inhalation Exposure'!$B$4:$B$60,$B64,'Inhalation Exposure'!$D$4:$D$60,$C64,'Inhalation Exposure'!$E$4:$E$60,$E64)),IF($K64="Central Tendency",SUMIFS('Dermal Crosswalk'!$S$5:$S$32,'Dermal Crosswalk'!$A$5:$A$32,'Bridge Table'!$B64,'Dermal Crosswalk'!$C$5:$C$32,'Bridge Table'!$E64),SUMIFS('Dermal Crosswalk'!$N$5:$N$32,'Dermal Crosswalk'!$A$5:$A$32,'Bridge Table'!$B64,'Dermal Crosswalk'!$C$5:$C$32,'Bridge Table'!$E64))),"--")</f>
        <v>--</v>
      </c>
      <c r="N64" s="586" t="str">
        <f>IFERROR(IFERROR(VLOOKUP($D64,$Z$8:$AD$9,4,FALSE),0)/IF($D64="Inhalation",IF($K64="Central Tendency",SUMIFS('Inhalation Exposure'!$R$4:$R$60,'Inhalation Exposure'!$B$4:$B$60,$B64,'Inhalation Exposure'!$D$4:$D$60,$C64,'Inhalation Exposure'!$E$4:$E$60,$E64),SUMIFS('Inhalation Exposure'!$Q$4:$Q$60,'Inhalation Exposure'!$B$4:$B$60,$B64,'Inhalation Exposure'!$D$4:$D$60,$C64,'Inhalation Exposure'!$E$4:$E$60,$E64)),IF($K64="Central Tendency",SUMIFS('Dermal Crosswalk'!$Q$5:$Q$32,'Dermal Crosswalk'!$A$5:$A$32,'Bridge Table'!$B64,'Dermal Crosswalk'!$C$5:$C$32,'Bridge Table'!$E64),SUMIFS('Dermal Crosswalk'!$L$5:$L$32,'Dermal Crosswalk'!$A$5:$A$32,'Bridge Table'!$B64,'Dermal Crosswalk'!$C$5:$C$32,'Bridge Table'!$E64))),"--")</f>
        <v>--</v>
      </c>
      <c r="O64" s="586" t="str">
        <f>IF(IFERROR(VLOOKUP($D64,$Z$8:$AD$9,5,FALSE),0)*IF($D64="Inhalation",IF($K64="Central Tendency",SUMIFS('Inhalation Exposure'!$V$4:$V$60,'Inhalation Exposure'!$B$4:$B$60,$B64,'Inhalation Exposure'!$D$4:$D$60,$C64,'Inhalation Exposure'!$E$4:$E$60,$E64),SUMIFS('Inhalation Exposure'!$U$4:$U$60,'Inhalation Exposure'!$B$4:$B$60,$B64,'Inhalation Exposure'!$D$4:$D$60,$C64,'Inhalation Exposure'!$E$4:$E$60,$E64)),IF($K64="Central Tendency",SUMIFS('Dermal Crosswalk'!$R$5:$R$32,'Dermal Crosswalk'!$A$5:$A$32,'Bridge Table'!$B64,'Dermal Crosswalk'!$C$5:$C$32,'Bridge Table'!$E64),SUMIFS('Dermal Crosswalk'!$M$5:$M$32,'Dermal Crosswalk'!$A$5:$A$32,'Bridge Table'!$B64,'Dermal Crosswalk'!$C$5:$C$32,'Bridge Table'!$E64)))=0,"--",IFERROR(VLOOKUP($D64,$Z$8:$AD$9,5,FALSE),0)*IF($D64="Inhalation",IF($K64="Central Tendency",SUMIFS('Inhalation Exposure'!$V$4:$V$60,'Inhalation Exposure'!$B$4:$B$60,$B64,'Inhalation Exposure'!$D$4:$D$60,$C64,'Inhalation Exposure'!$E$4:$E$60,$E64),SUMIFS('Inhalation Exposure'!$U$4:$U$60,'Inhalation Exposure'!$B$4:$B$60,$B64,'Inhalation Exposure'!$D$4:$D$60,$C64,'Inhalation Exposure'!$E$4:$E$60,$E64)),IF($K64="Central Tendency",SUMIFS('Dermal Crosswalk'!$R$5:$R$32,'Dermal Crosswalk'!$A$5:$A$32,'Bridge Table'!$B64,'Dermal Crosswalk'!$C$5:$C$32,'Bridge Table'!$E64),SUMIFS('Dermal Crosswalk'!$M$5:$M$32,'Dermal Crosswalk'!$A$5:$A$32,'Bridge Table'!$B64,'Dermal Crosswalk'!$C$5:$C$32,'Bridge Table'!$E64))))</f>
        <v>--</v>
      </c>
      <c r="P64" s="610" t="s">
        <v>118</v>
      </c>
      <c r="Q64" s="610" t="s">
        <v>118</v>
      </c>
      <c r="R64" s="610" t="s">
        <v>118</v>
      </c>
      <c r="S64" s="610" t="s">
        <v>118</v>
      </c>
      <c r="U64" s="612" t="s">
        <v>118</v>
      </c>
      <c r="V64" s="614" t="s">
        <v>118</v>
      </c>
      <c r="W64" s="614" t="s">
        <v>118</v>
      </c>
      <c r="X64" s="616" t="s">
        <v>118</v>
      </c>
    </row>
    <row r="65" spans="1:24" ht="15" thickBot="1" x14ac:dyDescent="0.35">
      <c r="A65" s="372"/>
      <c r="B65" s="360" t="s">
        <v>124</v>
      </c>
      <c r="C65" s="361" t="s">
        <v>53</v>
      </c>
      <c r="D65" s="361" t="s">
        <v>111</v>
      </c>
      <c r="E65" s="362" t="s">
        <v>24</v>
      </c>
      <c r="F65" s="589"/>
      <c r="G65" s="589"/>
      <c r="H65" s="589"/>
      <c r="I65" s="589"/>
      <c r="J65" s="589"/>
      <c r="K65" s="585"/>
      <c r="L65" s="587"/>
      <c r="M65" s="587"/>
      <c r="N65" s="587"/>
      <c r="O65" s="587"/>
      <c r="P65" s="611"/>
      <c r="Q65" s="611"/>
      <c r="R65" s="611"/>
      <c r="S65" s="611"/>
      <c r="U65" s="613"/>
      <c r="V65" s="615"/>
      <c r="W65" s="615"/>
      <c r="X65" s="617"/>
    </row>
    <row r="66" spans="1:24" ht="15" thickBot="1" x14ac:dyDescent="0.35">
      <c r="A66" s="372"/>
      <c r="B66" s="360" t="s">
        <v>124</v>
      </c>
      <c r="C66" s="361" t="s">
        <v>53</v>
      </c>
      <c r="D66" s="361" t="s">
        <v>111</v>
      </c>
      <c r="E66" s="362" t="s">
        <v>24</v>
      </c>
      <c r="F66" s="589"/>
      <c r="G66" s="589"/>
      <c r="H66" s="589"/>
      <c r="I66" s="589"/>
      <c r="J66" s="589"/>
      <c r="K66" s="584" t="s">
        <v>88</v>
      </c>
      <c r="L66" s="586" t="str">
        <f>IFERROR(IFERROR(VLOOKUP($D66,$Z$8:$AD$9,2,FALSE),0)/IF($D66="Inhalation",IF($K66="Central Tendency",SUMIFS('Inhalation Exposure'!$L$4:$L$60,'Inhalation Exposure'!$B$4:$B$60,$B66,'Inhalation Exposure'!$D$4:$D$60,$C66,'Inhalation Exposure'!$E$4:$E$60,$E66),SUMIFS('Inhalation Exposure'!$K$4:$K$60,'Inhalation Exposure'!$B$4:$B$60,$B66,'Inhalation Exposure'!$D$4:$D$60,$C66,'Inhalation Exposure'!$E$4:$E$60,$E66)),IF($K66="Central Tendency",SUMIFS('Dermal Crosswalk'!$P$5:$P$32,'Dermal Crosswalk'!$A$5:$A$32,'Bridge Table'!$B66,'Dermal Crosswalk'!$C$5:$C$32,'Bridge Table'!$E66),SUMIFS('Dermal Crosswalk'!$K$5:$K$32,'Dermal Crosswalk'!$A$5:$A$32,'Bridge Table'!$B66,'Dermal Crosswalk'!$C$5:$C$32,'Bridge Table'!$E66))),"--")</f>
        <v>--</v>
      </c>
      <c r="M66" s="586" t="str">
        <f>IFERROR(IFERROR(VLOOKUP($D66,$Z$8:$AD$9,3,FALSE),0)/IF($D66="Inhalation",IF($K66="Central Tendency",SUMIFS('Inhalation Exposure'!$AB$4:$AB$60,'Inhalation Exposure'!$B$4:$B$60,$B66,'Inhalation Exposure'!$D$4:$D$60,$C66,'Inhalation Exposure'!$E$4:$E$60,$E66),SUMIFS('Inhalation Exposure'!$AA$4:$AA$60,'Inhalation Exposure'!$B$4:$B$60,$B66,'Inhalation Exposure'!$D$4:$D$60,$C66,'Inhalation Exposure'!$E$4:$E$60,$E66)),IF($K66="Central Tendency",SUMIFS('Dermal Crosswalk'!$S$5:$S$32,'Dermal Crosswalk'!$A$5:$A$32,'Bridge Table'!$B66,'Dermal Crosswalk'!$C$5:$C$32,'Bridge Table'!$E66),SUMIFS('Dermal Crosswalk'!$N$5:$N$32,'Dermal Crosswalk'!$A$5:$A$32,'Bridge Table'!$B66,'Dermal Crosswalk'!$C$5:$C$32,'Bridge Table'!$E66))),"--")</f>
        <v>--</v>
      </c>
      <c r="N66" s="586" t="str">
        <f>IFERROR(IFERROR(VLOOKUP($D66,$Z$8:$AD$9,4,FALSE),0)/IF($D66="Inhalation",IF($K66="Central Tendency",SUMIFS('Inhalation Exposure'!$R$4:$R$60,'Inhalation Exposure'!$B$4:$B$60,$B66,'Inhalation Exposure'!$D$4:$D$60,$C66,'Inhalation Exposure'!$E$4:$E$60,$E66),SUMIFS('Inhalation Exposure'!$Q$4:$Q$60,'Inhalation Exposure'!$B$4:$B$60,$B66,'Inhalation Exposure'!$D$4:$D$60,$C66,'Inhalation Exposure'!$E$4:$E$60,$E66)),IF($K66="Central Tendency",SUMIFS('Dermal Crosswalk'!$Q$5:$Q$32,'Dermal Crosswalk'!$A$5:$A$32,'Bridge Table'!$B66,'Dermal Crosswalk'!$C$5:$C$32,'Bridge Table'!$E66),SUMIFS('Dermal Crosswalk'!$L$5:$L$32,'Dermal Crosswalk'!$A$5:$A$32,'Bridge Table'!$B66,'Dermal Crosswalk'!$C$5:$C$32,'Bridge Table'!$E66))),"--")</f>
        <v>--</v>
      </c>
      <c r="O66" s="586" t="str">
        <f>IF(IFERROR(VLOOKUP($D66,$Z$8:$AD$9,5,FALSE),0)*IF($D66="Inhalation",IF($K66="Central Tendency",SUMIFS('Inhalation Exposure'!$V$4:$V$60,'Inhalation Exposure'!$B$4:$B$60,$B66,'Inhalation Exposure'!$D$4:$D$60,$C66,'Inhalation Exposure'!$E$4:$E$60,$E66),SUMIFS('Inhalation Exposure'!$U$4:$U$60,'Inhalation Exposure'!$B$4:$B$60,$B66,'Inhalation Exposure'!$D$4:$D$60,$C66,'Inhalation Exposure'!$E$4:$E$60,$E66)),IF($K66="Central Tendency",SUMIFS('Dermal Crosswalk'!$R$5:$R$32,'Dermal Crosswalk'!$A$5:$A$32,'Bridge Table'!$B66,'Dermal Crosswalk'!$C$5:$C$32,'Bridge Table'!$E66),SUMIFS('Dermal Crosswalk'!$M$5:$M$32,'Dermal Crosswalk'!$A$5:$A$32,'Bridge Table'!$B66,'Dermal Crosswalk'!$C$5:$C$32,'Bridge Table'!$E66)))=0,"--",IFERROR(VLOOKUP($D66,$Z$8:$AD$9,5,FALSE),0)*IF($D66="Inhalation",IF($K66="Central Tendency",SUMIFS('Inhalation Exposure'!$V$4:$V$60,'Inhalation Exposure'!$B$4:$B$60,$B66,'Inhalation Exposure'!$D$4:$D$60,$C66,'Inhalation Exposure'!$E$4:$E$60,$E66),SUMIFS('Inhalation Exposure'!$U$4:$U$60,'Inhalation Exposure'!$B$4:$B$60,$B66,'Inhalation Exposure'!$D$4:$D$60,$C66,'Inhalation Exposure'!$E$4:$E$60,$E66)),IF($K66="Central Tendency",SUMIFS('Dermal Crosswalk'!$R$5:$R$32,'Dermal Crosswalk'!$A$5:$A$32,'Bridge Table'!$B66,'Dermal Crosswalk'!$C$5:$C$32,'Bridge Table'!$E66),SUMIFS('Dermal Crosswalk'!$M$5:$M$32,'Dermal Crosswalk'!$A$5:$A$32,'Bridge Table'!$B66,'Dermal Crosswalk'!$C$5:$C$32,'Bridge Table'!$E66))))</f>
        <v>--</v>
      </c>
      <c r="P66" s="610" t="s">
        <v>118</v>
      </c>
      <c r="Q66" s="610" t="s">
        <v>118</v>
      </c>
      <c r="R66" s="610" t="s">
        <v>118</v>
      </c>
      <c r="S66" s="610" t="s">
        <v>118</v>
      </c>
      <c r="U66" s="612" t="s">
        <v>118</v>
      </c>
      <c r="V66" s="614" t="s">
        <v>118</v>
      </c>
      <c r="W66" s="614" t="s">
        <v>118</v>
      </c>
      <c r="X66" s="616" t="s">
        <v>118</v>
      </c>
    </row>
    <row r="67" spans="1:24" ht="15" thickBot="1" x14ac:dyDescent="0.35">
      <c r="A67" s="372"/>
      <c r="B67" s="360" t="s">
        <v>124</v>
      </c>
      <c r="C67" s="361" t="s">
        <v>53</v>
      </c>
      <c r="D67" s="361" t="s">
        <v>111</v>
      </c>
      <c r="E67" s="362" t="s">
        <v>24</v>
      </c>
      <c r="F67" s="589"/>
      <c r="G67" s="589"/>
      <c r="H67" s="589"/>
      <c r="I67" s="590"/>
      <c r="J67" s="590"/>
      <c r="K67" s="588"/>
      <c r="L67" s="587"/>
      <c r="M67" s="587"/>
      <c r="N67" s="587"/>
      <c r="O67" s="587"/>
      <c r="P67" s="611"/>
      <c r="Q67" s="611"/>
      <c r="R67" s="611"/>
      <c r="S67" s="611"/>
      <c r="U67" s="613"/>
      <c r="V67" s="615"/>
      <c r="W67" s="615"/>
      <c r="X67" s="617"/>
    </row>
    <row r="68" spans="1:24" ht="15" customHeight="1" thickBot="1" x14ac:dyDescent="0.35">
      <c r="A68" s="372"/>
      <c r="B68" s="360" t="s">
        <v>124</v>
      </c>
      <c r="C68" s="361" t="s">
        <v>53</v>
      </c>
      <c r="D68" s="361" t="s">
        <v>111</v>
      </c>
      <c r="E68" s="362" t="s">
        <v>117</v>
      </c>
      <c r="F68" s="589"/>
      <c r="G68" s="589"/>
      <c r="H68" s="589"/>
      <c r="I68" s="589" t="s">
        <v>53</v>
      </c>
      <c r="J68" s="586" t="s">
        <v>115</v>
      </c>
      <c r="K68" s="584" t="s">
        <v>54</v>
      </c>
      <c r="L68" s="586" t="str">
        <f>IFERROR(IFERROR(VLOOKUP($D68,$Z$8:$AD$9,2,FALSE),0)/IF($D68="Inhalation",IF($K68="Central Tendency",SUMIFS('Inhalation Exposure'!$L$4:$L$60,'Inhalation Exposure'!$B$4:$B$60,$B68,'Inhalation Exposure'!$D$4:$D$60,$C68,'Inhalation Exposure'!$E$4:$E$60,$E68),SUMIFS('Inhalation Exposure'!$K$4:$K$60,'Inhalation Exposure'!$B$4:$B$60,$B68,'Inhalation Exposure'!$D$4:$D$60,$C68,'Inhalation Exposure'!$E$4:$E$60,$E68)),IF($K68="Central Tendency",SUMIFS('Dermal Crosswalk'!$P$5:$P$32,'Dermal Crosswalk'!$A$5:$A$32,'Bridge Table'!$B68,'Dermal Crosswalk'!$C$5:$C$32,'Bridge Table'!$E68),SUMIFS('Dermal Crosswalk'!$K$5:$K$32,'Dermal Crosswalk'!$A$5:$A$32,'Bridge Table'!$B68,'Dermal Crosswalk'!$C$5:$C$32,'Bridge Table'!$E68))),"--")</f>
        <v>--</v>
      </c>
      <c r="M68" s="586" t="str">
        <f>IFERROR(IFERROR(VLOOKUP($D68,$Z$8:$AD$9,3,FALSE),0)/IF($D68="Inhalation",IF($K68="Central Tendency",SUMIFS('Inhalation Exposure'!$AB$4:$AB$60,'Inhalation Exposure'!$B$4:$B$60,$B68,'Inhalation Exposure'!$D$4:$D$60,$C68,'Inhalation Exposure'!$E$4:$E$60,$E68),SUMIFS('Inhalation Exposure'!$AA$4:$AA$60,'Inhalation Exposure'!$B$4:$B$60,$B68,'Inhalation Exposure'!$D$4:$D$60,$C68,'Inhalation Exposure'!$E$4:$E$60,$E68)),IF($K68="Central Tendency",SUMIFS('Dermal Crosswalk'!$S$5:$S$32,'Dermal Crosswalk'!$A$5:$A$32,'Bridge Table'!$B68,'Dermal Crosswalk'!$C$5:$C$32,'Bridge Table'!$E68),SUMIFS('Dermal Crosswalk'!$N$5:$N$32,'Dermal Crosswalk'!$A$5:$A$32,'Bridge Table'!$B68,'Dermal Crosswalk'!$C$5:$C$32,'Bridge Table'!$E68))),"--")</f>
        <v>--</v>
      </c>
      <c r="N68" s="586" t="str">
        <f>IFERROR(IFERROR(VLOOKUP($D68,$Z$8:$AD$9,4,FALSE),0)/IF($D68="Inhalation",IF($K68="Central Tendency",SUMIFS('Inhalation Exposure'!$R$4:$R$60,'Inhalation Exposure'!$B$4:$B$60,$B68,'Inhalation Exposure'!$D$4:$D$60,$C68,'Inhalation Exposure'!$E$4:$E$60,$E68),SUMIFS('Inhalation Exposure'!$Q$4:$Q$60,'Inhalation Exposure'!$B$4:$B$60,$B68,'Inhalation Exposure'!$D$4:$D$60,$C68,'Inhalation Exposure'!$E$4:$E$60,$E68)),IF($K68="Central Tendency",SUMIFS('Dermal Crosswalk'!$Q$5:$Q$32,'Dermal Crosswalk'!$A$5:$A$32,'Bridge Table'!$B68,'Dermal Crosswalk'!$C$5:$C$32,'Bridge Table'!$E68),SUMIFS('Dermal Crosswalk'!$L$5:$L$32,'Dermal Crosswalk'!$A$5:$A$32,'Bridge Table'!$B68,'Dermal Crosswalk'!$C$5:$C$32,'Bridge Table'!$E68))),"--")</f>
        <v>--</v>
      </c>
      <c r="O68" s="586" t="str">
        <f>IF(IFERROR(VLOOKUP($D68,$Z$8:$AD$9,5,FALSE),0)*IF($D68="Inhalation",IF($K68="Central Tendency",SUMIFS('Inhalation Exposure'!$V$4:$V$60,'Inhalation Exposure'!$B$4:$B$60,$B68,'Inhalation Exposure'!$D$4:$D$60,$C68,'Inhalation Exposure'!$E$4:$E$60,$E68),SUMIFS('Inhalation Exposure'!$U$4:$U$60,'Inhalation Exposure'!$B$4:$B$60,$B68,'Inhalation Exposure'!$D$4:$D$60,$C68,'Inhalation Exposure'!$E$4:$E$60,$E68)),IF($K68="Central Tendency",SUMIFS('Dermal Crosswalk'!$R$5:$R$32,'Dermal Crosswalk'!$A$5:$A$32,'Bridge Table'!$B68,'Dermal Crosswalk'!$C$5:$C$32,'Bridge Table'!$E68),SUMIFS('Dermal Crosswalk'!$M$5:$M$32,'Dermal Crosswalk'!$A$5:$A$32,'Bridge Table'!$B68,'Dermal Crosswalk'!$C$5:$C$32,'Bridge Table'!$E68)))=0,"--",IFERROR(VLOOKUP($D68,$Z$8:$AD$9,5,FALSE),0)*IF($D68="Inhalation",IF($K68="Central Tendency",SUMIFS('Inhalation Exposure'!$V$4:$V$60,'Inhalation Exposure'!$B$4:$B$60,$B68,'Inhalation Exposure'!$D$4:$D$60,$C68,'Inhalation Exposure'!$E$4:$E$60,$E68),SUMIFS('Inhalation Exposure'!$U$4:$U$60,'Inhalation Exposure'!$B$4:$B$60,$B68,'Inhalation Exposure'!$D$4:$D$60,$C68,'Inhalation Exposure'!$E$4:$E$60,$E68)),IF($K68="Central Tendency",SUMIFS('Dermal Crosswalk'!$R$5:$R$32,'Dermal Crosswalk'!$A$5:$A$32,'Bridge Table'!$B68,'Dermal Crosswalk'!$C$5:$C$32,'Bridge Table'!$E68),SUMIFS('Dermal Crosswalk'!$M$5:$M$32,'Dermal Crosswalk'!$A$5:$A$32,'Bridge Table'!$B68,'Dermal Crosswalk'!$C$5:$C$32,'Bridge Table'!$E68))))</f>
        <v>--</v>
      </c>
      <c r="P68" s="610" t="s">
        <v>118</v>
      </c>
      <c r="Q68" s="610" t="s">
        <v>118</v>
      </c>
      <c r="R68" s="610" t="s">
        <v>118</v>
      </c>
      <c r="S68" s="610" t="s">
        <v>118</v>
      </c>
      <c r="U68" s="612" t="s">
        <v>118</v>
      </c>
      <c r="V68" s="614" t="s">
        <v>118</v>
      </c>
      <c r="W68" s="614" t="s">
        <v>118</v>
      </c>
      <c r="X68" s="616" t="s">
        <v>118</v>
      </c>
    </row>
    <row r="69" spans="1:24" ht="15" thickBot="1" x14ac:dyDescent="0.35">
      <c r="A69" s="372"/>
      <c r="B69" s="360" t="s">
        <v>124</v>
      </c>
      <c r="C69" s="361" t="s">
        <v>53</v>
      </c>
      <c r="D69" s="361" t="s">
        <v>111</v>
      </c>
      <c r="E69" s="362" t="s">
        <v>117</v>
      </c>
      <c r="F69" s="589"/>
      <c r="G69" s="589"/>
      <c r="H69" s="589"/>
      <c r="I69" s="589"/>
      <c r="J69" s="589"/>
      <c r="K69" s="585"/>
      <c r="L69" s="587"/>
      <c r="M69" s="587"/>
      <c r="N69" s="587"/>
      <c r="O69" s="587"/>
      <c r="P69" s="611"/>
      <c r="Q69" s="611"/>
      <c r="R69" s="611"/>
      <c r="S69" s="611"/>
      <c r="U69" s="613"/>
      <c r="V69" s="615"/>
      <c r="W69" s="615"/>
      <c r="X69" s="617"/>
    </row>
    <row r="70" spans="1:24" ht="15" thickBot="1" x14ac:dyDescent="0.35">
      <c r="A70" s="372"/>
      <c r="B70" s="360" t="s">
        <v>124</v>
      </c>
      <c r="C70" s="361" t="s">
        <v>53</v>
      </c>
      <c r="D70" s="361" t="s">
        <v>111</v>
      </c>
      <c r="E70" s="362" t="s">
        <v>117</v>
      </c>
      <c r="F70" s="589"/>
      <c r="G70" s="589"/>
      <c r="H70" s="589"/>
      <c r="I70" s="589"/>
      <c r="J70" s="589"/>
      <c r="K70" s="584" t="s">
        <v>88</v>
      </c>
      <c r="L70" s="586" t="str">
        <f>IFERROR(IFERROR(VLOOKUP($D70,$Z$8:$AD$9,2,FALSE),0)/IF($D70="Inhalation",IF($K70="Central Tendency",SUMIFS('Inhalation Exposure'!$L$4:$L$60,'Inhalation Exposure'!$B$4:$B$60,$B70,'Inhalation Exposure'!$D$4:$D$60,$C70,'Inhalation Exposure'!$E$4:$E$60,$E70),SUMIFS('Inhalation Exposure'!$K$4:$K$60,'Inhalation Exposure'!$B$4:$B$60,$B70,'Inhalation Exposure'!$D$4:$D$60,$C70,'Inhalation Exposure'!$E$4:$E$60,$E70)),IF($K70="Central Tendency",SUMIFS('Dermal Crosswalk'!$P$5:$P$32,'Dermal Crosswalk'!$A$5:$A$32,'Bridge Table'!$B70,'Dermal Crosswalk'!$C$5:$C$32,'Bridge Table'!$E70),SUMIFS('Dermal Crosswalk'!$K$5:$K$32,'Dermal Crosswalk'!$A$5:$A$32,'Bridge Table'!$B70,'Dermal Crosswalk'!$C$5:$C$32,'Bridge Table'!$E70))),"--")</f>
        <v>--</v>
      </c>
      <c r="M70" s="586" t="str">
        <f>IFERROR(IFERROR(VLOOKUP($D70,$Z$8:$AD$9,3,FALSE),0)/IF($D70="Inhalation",IF($K70="Central Tendency",SUMIFS('Inhalation Exposure'!$AB$4:$AB$60,'Inhalation Exposure'!$B$4:$B$60,$B70,'Inhalation Exposure'!$D$4:$D$60,$C70,'Inhalation Exposure'!$E$4:$E$60,$E70),SUMIFS('Inhalation Exposure'!$AA$4:$AA$60,'Inhalation Exposure'!$B$4:$B$60,$B70,'Inhalation Exposure'!$D$4:$D$60,$C70,'Inhalation Exposure'!$E$4:$E$60,$E70)),IF($K70="Central Tendency",SUMIFS('Dermal Crosswalk'!$S$5:$S$32,'Dermal Crosswalk'!$A$5:$A$32,'Bridge Table'!$B70,'Dermal Crosswalk'!$C$5:$C$32,'Bridge Table'!$E70),SUMIFS('Dermal Crosswalk'!$N$5:$N$32,'Dermal Crosswalk'!$A$5:$A$32,'Bridge Table'!$B70,'Dermal Crosswalk'!$C$5:$C$32,'Bridge Table'!$E70))),"--")</f>
        <v>--</v>
      </c>
      <c r="N70" s="586" t="str">
        <f>IFERROR(IFERROR(VLOOKUP($D70,$Z$8:$AD$9,4,FALSE),0)/IF($D70="Inhalation",IF($K70="Central Tendency",SUMIFS('Inhalation Exposure'!$R$4:$R$60,'Inhalation Exposure'!$B$4:$B$60,$B70,'Inhalation Exposure'!$D$4:$D$60,$C70,'Inhalation Exposure'!$E$4:$E$60,$E70),SUMIFS('Inhalation Exposure'!$Q$4:$Q$60,'Inhalation Exposure'!$B$4:$B$60,$B70,'Inhalation Exposure'!$D$4:$D$60,$C70,'Inhalation Exposure'!$E$4:$E$60,$E70)),IF($K70="Central Tendency",SUMIFS('Dermal Crosswalk'!$Q$5:$Q$32,'Dermal Crosswalk'!$A$5:$A$32,'Bridge Table'!$B70,'Dermal Crosswalk'!$C$5:$C$32,'Bridge Table'!$E70),SUMIFS('Dermal Crosswalk'!$L$5:$L$32,'Dermal Crosswalk'!$A$5:$A$32,'Bridge Table'!$B70,'Dermal Crosswalk'!$C$5:$C$32,'Bridge Table'!$E70))),"--")</f>
        <v>--</v>
      </c>
      <c r="O70" s="586" t="str">
        <f>IF(IFERROR(VLOOKUP($D70,$Z$8:$AD$9,5,FALSE),0)*IF($D70="Inhalation",IF($K70="Central Tendency",SUMIFS('Inhalation Exposure'!$V$4:$V$60,'Inhalation Exposure'!$B$4:$B$60,$B70,'Inhalation Exposure'!$D$4:$D$60,$C70,'Inhalation Exposure'!$E$4:$E$60,$E70),SUMIFS('Inhalation Exposure'!$U$4:$U$60,'Inhalation Exposure'!$B$4:$B$60,$B70,'Inhalation Exposure'!$D$4:$D$60,$C70,'Inhalation Exposure'!$E$4:$E$60,$E70)),IF($K70="Central Tendency",SUMIFS('Dermal Crosswalk'!$R$5:$R$32,'Dermal Crosswalk'!$A$5:$A$32,'Bridge Table'!$B70,'Dermal Crosswalk'!$C$5:$C$32,'Bridge Table'!$E70),SUMIFS('Dermal Crosswalk'!$M$5:$M$32,'Dermal Crosswalk'!$A$5:$A$32,'Bridge Table'!$B70,'Dermal Crosswalk'!$C$5:$C$32,'Bridge Table'!$E70)))=0,"--",IFERROR(VLOOKUP($D70,$Z$8:$AD$9,5,FALSE),0)*IF($D70="Inhalation",IF($K70="Central Tendency",SUMIFS('Inhalation Exposure'!$V$4:$V$60,'Inhalation Exposure'!$B$4:$B$60,$B70,'Inhalation Exposure'!$D$4:$D$60,$C70,'Inhalation Exposure'!$E$4:$E$60,$E70),SUMIFS('Inhalation Exposure'!$U$4:$U$60,'Inhalation Exposure'!$B$4:$B$60,$B70,'Inhalation Exposure'!$D$4:$D$60,$C70,'Inhalation Exposure'!$E$4:$E$60,$E70)),IF($K70="Central Tendency",SUMIFS('Dermal Crosswalk'!$R$5:$R$32,'Dermal Crosswalk'!$A$5:$A$32,'Bridge Table'!$B70,'Dermal Crosswalk'!$C$5:$C$32,'Bridge Table'!$E70),SUMIFS('Dermal Crosswalk'!$M$5:$M$32,'Dermal Crosswalk'!$A$5:$A$32,'Bridge Table'!$B70,'Dermal Crosswalk'!$C$5:$C$32,'Bridge Table'!$E70))))</f>
        <v>--</v>
      </c>
      <c r="P70" s="610" t="s">
        <v>118</v>
      </c>
      <c r="Q70" s="610" t="s">
        <v>118</v>
      </c>
      <c r="R70" s="610" t="s">
        <v>118</v>
      </c>
      <c r="S70" s="610" t="s">
        <v>118</v>
      </c>
      <c r="U70" s="612" t="s">
        <v>118</v>
      </c>
      <c r="V70" s="614" t="s">
        <v>118</v>
      </c>
      <c r="W70" s="614" t="s">
        <v>118</v>
      </c>
      <c r="X70" s="616" t="s">
        <v>118</v>
      </c>
    </row>
    <row r="71" spans="1:24" ht="15" thickBot="1" x14ac:dyDescent="0.35">
      <c r="A71" s="372"/>
      <c r="B71" s="360" t="s">
        <v>124</v>
      </c>
      <c r="C71" s="361" t="s">
        <v>53</v>
      </c>
      <c r="D71" s="361" t="s">
        <v>111</v>
      </c>
      <c r="E71" s="362" t="s">
        <v>117</v>
      </c>
      <c r="F71" s="589"/>
      <c r="G71" s="589"/>
      <c r="H71" s="589"/>
      <c r="I71" s="590"/>
      <c r="J71" s="590"/>
      <c r="K71" s="588"/>
      <c r="L71" s="587"/>
      <c r="M71" s="587"/>
      <c r="N71" s="587"/>
      <c r="O71" s="587"/>
      <c r="P71" s="611"/>
      <c r="Q71" s="611"/>
      <c r="R71" s="611"/>
      <c r="S71" s="611"/>
      <c r="U71" s="613"/>
      <c r="V71" s="615"/>
      <c r="W71" s="615"/>
      <c r="X71" s="617"/>
    </row>
    <row r="72" spans="1:24" ht="15.6" customHeight="1" thickTop="1" thickBot="1" x14ac:dyDescent="0.35">
      <c r="A72" s="372"/>
      <c r="B72" s="360" t="s">
        <v>124</v>
      </c>
      <c r="C72" s="361" t="s">
        <v>25</v>
      </c>
      <c r="D72" s="361" t="s">
        <v>16</v>
      </c>
      <c r="E72" s="362" t="s">
        <v>24</v>
      </c>
      <c r="F72" s="589"/>
      <c r="G72" s="589"/>
      <c r="H72" s="589"/>
      <c r="I72" s="589" t="s">
        <v>25</v>
      </c>
      <c r="J72" s="609" t="s">
        <v>16</v>
      </c>
      <c r="K72" s="607" t="s">
        <v>54</v>
      </c>
      <c r="L72" s="586">
        <f>IFERROR(IFERROR(VLOOKUP($D72,$Z$8:$AD$9,2,FALSE),0)/IF($D72="Inhalation",IF($K72="Central Tendency",SUMIFS('Inhalation Exposure'!$N$4:$N$61,'Inhalation Exposure'!$B$4:$B$61,$B72,'Inhalation Exposure'!$D$4:$D$61,$C72,'Inhalation Exposure'!$E$4:$E$61,$E72),SUMIFS('Inhalation Exposure'!$M$4:$M$61,'Inhalation Exposure'!$B$4:$B$61,$B72,'Inhalation Exposure'!$D$4:$D$61,$C72,'Inhalation Exposure'!$E$4:$E$61,$E72)),IF($K72="Central Tendency",SUMIFS('Dermal Crosswalk'!$P$5:$P$32,'Dermal Crosswalk'!$A$5:$A$32,'Bridge Table'!$B72,'Dermal Crosswalk'!$C$5:$C$32,'Bridge Table'!$E72),SUMIFS('Dermal Crosswalk'!$K$5:$K$32,'Dermal Crosswalk'!$A$5:$A$32,'Bridge Table'!$B72,'Dermal Crosswalk'!$C$5:$C$32,'Bridge Table'!$E72))),"--")</f>
        <v>4.3365402797435211</v>
      </c>
      <c r="M72" s="586">
        <f>IFERROR(IFERROR(VLOOKUP($D72,$Z$8:$AD$9,3,FALSE),0)/IF($D72="Inhalation",IF($K72="Central Tendency",SUMIFS('Inhalation Exposure'!$AB$4:$AB$61,'Inhalation Exposure'!$B$4:$B$61,$B72,'Inhalation Exposure'!$D$4:$D$61,$C72,'Inhalation Exposure'!$E$4:$E$61,$E72),SUMIFS('Inhalation Exposure'!$AA$4:$AA$61,'Inhalation Exposure'!$B$4:$B$61,$B72,'Inhalation Exposure'!$D$4:$D$61,$C72,'Inhalation Exposure'!$E$4:$E$61,$E72)),IF($K72="Central Tendency",SUMIFS('Dermal Crosswalk'!$S$5:$S$32,'Dermal Crosswalk'!$A$5:$A$32,'Bridge Table'!$B72,'Dermal Crosswalk'!$C$5:$C$32,'Bridge Table'!$E72),SUMIFS('Dermal Crosswalk'!$N$5:$N$32,'Dermal Crosswalk'!$A$5:$A$32,'Bridge Table'!$B72,'Dermal Crosswalk'!$C$5:$C$32,'Bridge Table'!$E72))),"--")</f>
        <v>37.543620392282705</v>
      </c>
      <c r="N72" s="586">
        <f>IFERROR(IFERROR(VLOOKUP($D72,$Z$8:$AD$9,4,FALSE),0)/IF($D72="Inhalation",IF($K72="Central Tendency",SUMIFS('Inhalation Exposure'!$R$4:$R$61,'Inhalation Exposure'!$B$4:$B$61,$B72,'Inhalation Exposure'!$D$4:$D$61,$C72,'Inhalation Exposure'!$E$4:$E$61,$E72),SUMIFS('Inhalation Exposure'!$Q$4:$Q$61,'Inhalation Exposure'!$B$4:$B$61,$B72,'Inhalation Exposure'!$D$4:$D$61,$C72,'Inhalation Exposure'!$E$4:$E$61,$E72)),IF($K72="Central Tendency",SUMIFS('Dermal Crosswalk'!$Q$5:$Q$32,'Dermal Crosswalk'!$A$5:$A$32,'Bridge Table'!$B72,'Dermal Crosswalk'!$C$5:$C$32,'Bridge Table'!$E72),SUMIFS('Dermal Crosswalk'!$L$5:$L$32,'Dermal Crosswalk'!$A$5:$A$32,'Bridge Table'!$B72,'Dermal Crosswalk'!$C$5:$C$32,'Bridge Table'!$E72))),"--")</f>
        <v>456.78071477277285</v>
      </c>
      <c r="O72" s="586">
        <f>IFERROR(IFERROR(VLOOKUP($D72,$Z$8:$AD$9,5,FALSE),0)*IF($D72="Inhalation",IF($K72="Central Tendency",SUMIFS('Inhalation Exposure'!$V$4:$V$61,'Inhalation Exposure'!$B$4:$B$61,$B72,'Inhalation Exposure'!$D$4:$D$61,$C72,'Inhalation Exposure'!$E$4:$E$61,$E72),SUMIFS('Inhalation Exposure'!$U$4:$U$61,'Inhalation Exposure'!$B$4:$B$61,$B72,'Inhalation Exposure'!$D$4:$D$61,$C72,'Inhalation Exposure'!$E$4:$E$61,$E72)),IF($K72="Central Tendency",SUMIFS('Dermal Crosswalk'!$R$5:$R$32,'Dermal Crosswalk'!$A$5:$A$32,'Bridge Table'!$B72,'Dermal Crosswalk'!$C$5:$C$32,'Bridge Table'!$E72),SUMIFS('Dermal Crosswalk'!$M$5:$M$32,'Dermal Crosswalk'!$A$5:$A$32,'Bridge Table'!$B72,'Dermal Crosswalk'!$C$5:$C$32,'Bridge Table'!$E72))),"--")</f>
        <v>5.8195320293291185E-5</v>
      </c>
      <c r="P72" s="382">
        <f>L72*U72</f>
        <v>21.682701398717604</v>
      </c>
      <c r="Q72" s="382">
        <f t="shared" ref="Q72" si="15">M72*V72</f>
        <v>187.71810196141354</v>
      </c>
      <c r="R72" s="382">
        <f t="shared" ref="R72" si="16">N72*W72</f>
        <v>2283.903573863864</v>
      </c>
      <c r="S72" s="383">
        <f>O72/X72</f>
        <v>1.1639064058658238E-5</v>
      </c>
      <c r="U72" s="378">
        <v>5</v>
      </c>
      <c r="V72" s="379">
        <v>5</v>
      </c>
      <c r="W72" s="379">
        <v>5</v>
      </c>
      <c r="X72" s="380">
        <v>5</v>
      </c>
    </row>
    <row r="73" spans="1:24" ht="15" thickBot="1" x14ac:dyDescent="0.35">
      <c r="A73" s="372"/>
      <c r="B73" s="360" t="s">
        <v>124</v>
      </c>
      <c r="C73" s="361" t="s">
        <v>25</v>
      </c>
      <c r="D73" s="361" t="s">
        <v>16</v>
      </c>
      <c r="E73" s="362" t="s">
        <v>24</v>
      </c>
      <c r="F73" s="589"/>
      <c r="G73" s="589"/>
      <c r="H73" s="589"/>
      <c r="I73" s="589"/>
      <c r="J73" s="589"/>
      <c r="K73" s="608"/>
      <c r="L73" s="587"/>
      <c r="M73" s="587"/>
      <c r="N73" s="587"/>
      <c r="O73" s="587"/>
      <c r="P73" s="373" t="str">
        <f>CONCATENATE("(PF ",U72,")")</f>
        <v>(PF 5)</v>
      </c>
      <c r="Q73" s="373" t="str">
        <f>CONCATENATE("(PF ",V72,")")</f>
        <v>(PF 5)</v>
      </c>
      <c r="R73" s="373" t="str">
        <f>CONCATENATE("(PF ",W72,")")</f>
        <v>(PF 5)</v>
      </c>
      <c r="S73" s="373" t="str">
        <f>CONCATENATE("(PF ",X72,")")</f>
        <v>(PF 5)</v>
      </c>
      <c r="U73" s="374" t="s">
        <v>119</v>
      </c>
      <c r="V73" s="375" t="s">
        <v>119</v>
      </c>
      <c r="W73" s="375" t="s">
        <v>119</v>
      </c>
      <c r="X73" s="376" t="s">
        <v>119</v>
      </c>
    </row>
    <row r="74" spans="1:24" ht="15" thickBot="1" x14ac:dyDescent="0.35">
      <c r="A74" s="372"/>
      <c r="B74" s="360" t="s">
        <v>124</v>
      </c>
      <c r="C74" s="361" t="s">
        <v>25</v>
      </c>
      <c r="D74" s="361" t="s">
        <v>16</v>
      </c>
      <c r="E74" s="362" t="s">
        <v>24</v>
      </c>
      <c r="F74" s="589"/>
      <c r="G74" s="589"/>
      <c r="H74" s="589"/>
      <c r="I74" s="589"/>
      <c r="J74" s="589"/>
      <c r="K74" s="584" t="s">
        <v>88</v>
      </c>
      <c r="L74" s="586">
        <f>IFERROR(IFERROR(VLOOKUP($D74,$Z$8:$AD$9,2,FALSE),0)/IF($D74="Inhalation",IF($K74="Central Tendency",SUMIFS('Inhalation Exposure'!$N$4:$N$61,'Inhalation Exposure'!$B$4:$B$61,$B74,'Inhalation Exposure'!$D$4:$D$61,$C74,'Inhalation Exposure'!$E$4:$E$61,$E74),SUMIFS('Inhalation Exposure'!$M$4:$M$61,'Inhalation Exposure'!$B$4:$B$61,$B74,'Inhalation Exposure'!$D$4:$D$61,$C74,'Inhalation Exposure'!$E$4:$E$61,$E74)),IF($K74="Central Tendency",SUMIFS('Dermal Crosswalk'!$P$5:$P$32,'Dermal Crosswalk'!$A$5:$A$32,'Bridge Table'!$B74,'Dermal Crosswalk'!$C$5:$C$32,'Bridge Table'!$E74),SUMIFS('Dermal Crosswalk'!$K$5:$K$32,'Dermal Crosswalk'!$A$5:$A$32,'Bridge Table'!$B74,'Dermal Crosswalk'!$C$5:$C$32,'Bridge Table'!$E74))),"--")</f>
        <v>1.4455134265811735</v>
      </c>
      <c r="M74" s="586">
        <f>IFERROR(IFERROR(VLOOKUP($D74,$Z$8:$AD$9,3,FALSE),0)/IF($D74="Inhalation",IF($K74="Central Tendency",SUMIFS('Inhalation Exposure'!$AB$4:$AB$61,'Inhalation Exposure'!$B$4:$B$61,$B74,'Inhalation Exposure'!$D$4:$D$61,$C74,'Inhalation Exposure'!$E$4:$E$61,$E74),SUMIFS('Inhalation Exposure'!$AA$4:$AA$61,'Inhalation Exposure'!$B$4:$B$61,$B74,'Inhalation Exposure'!$D$4:$D$61,$C74,'Inhalation Exposure'!$E$4:$E$61,$E74)),IF($K74="Central Tendency",SUMIFS('Dermal Crosswalk'!$S$5:$S$32,'Dermal Crosswalk'!$A$5:$A$32,'Bridge Table'!$B74,'Dermal Crosswalk'!$C$5:$C$32,'Bridge Table'!$E74),SUMIFS('Dermal Crosswalk'!$N$5:$N$32,'Dermal Crosswalk'!$A$5:$A$32,'Bridge Table'!$B74,'Dermal Crosswalk'!$C$5:$C$32,'Bridge Table'!$E74))),"--")</f>
        <v>6.2572700653804487</v>
      </c>
      <c r="N74" s="586">
        <f>IFERROR(IFERROR(VLOOKUP($D74,$Z$8:$AD$9,4,FALSE),0)/IF($D74="Inhalation",IF($K74="Central Tendency",SUMIFS('Inhalation Exposure'!$R$4:$R$61,'Inhalation Exposure'!$B$4:$B$61,$B74,'Inhalation Exposure'!$D$4:$D$61,$C74,'Inhalation Exposure'!$E$4:$E$61,$E74),SUMIFS('Inhalation Exposure'!$Q$4:$Q$61,'Inhalation Exposure'!$B$4:$B$61,$B74,'Inhalation Exposure'!$D$4:$D$61,$C74,'Inhalation Exposure'!$E$4:$E$61,$E74)),IF($K74="Central Tendency",SUMIFS('Dermal Crosswalk'!$Q$5:$Q$32,'Dermal Crosswalk'!$A$5:$A$32,'Bridge Table'!$B74,'Dermal Crosswalk'!$C$5:$C$32,'Bridge Table'!$E74),SUMIFS('Dermal Crosswalk'!$L$5:$L$32,'Dermal Crosswalk'!$A$5:$A$32,'Bridge Table'!$B74,'Dermal Crosswalk'!$C$5:$C$32,'Bridge Table'!$E74))),"--")</f>
        <v>76.130119128795471</v>
      </c>
      <c r="O74" s="586">
        <f>IFERROR(IFERROR(VLOOKUP($D74,$Z$8:$AD$9,5,FALSE),0)*IF($D74="Inhalation",IF($K74="Central Tendency",SUMIFS('Inhalation Exposure'!$V$4:$V$61,'Inhalation Exposure'!$B$4:$B$61,$B74,'Inhalation Exposure'!$D$4:$D$61,$C74,'Inhalation Exposure'!$E$4:$E$61,$E74),SUMIFS('Inhalation Exposure'!$U$4:$U$61,'Inhalation Exposure'!$B$4:$B$61,$B74,'Inhalation Exposure'!$D$4:$D$61,$C74,'Inhalation Exposure'!$E$4:$E$61,$E74)),IF($K74="Central Tendency",SUMIFS('Dermal Crosswalk'!$R$5:$R$32,'Dermal Crosswalk'!$A$5:$A$32,'Bridge Table'!$B74,'Dermal Crosswalk'!$C$5:$C$32,'Bridge Table'!$E74),SUMIFS('Dermal Crosswalk'!$M$5:$M$32,'Dermal Crosswalk'!$A$5:$A$32,'Bridge Table'!$B74,'Dermal Crosswalk'!$C$5:$C$32,'Bridge Table'!$E74))),"--")</f>
        <v>4.5054441517386733E-4</v>
      </c>
      <c r="P74" s="382">
        <f>L74*U74</f>
        <v>7.2275671329058682</v>
      </c>
      <c r="Q74" s="382">
        <f t="shared" ref="Q74" si="17">M74*V74</f>
        <v>31.286350326902244</v>
      </c>
      <c r="R74" s="382">
        <f t="shared" ref="R74" si="18">N74*W74</f>
        <v>380.65059564397734</v>
      </c>
      <c r="S74" s="383">
        <f>O74/X74</f>
        <v>9.0108883034773461E-5</v>
      </c>
      <c r="U74" s="378">
        <v>5</v>
      </c>
      <c r="V74" s="379">
        <v>5</v>
      </c>
      <c r="W74" s="379">
        <v>5</v>
      </c>
      <c r="X74" s="380">
        <v>5</v>
      </c>
    </row>
    <row r="75" spans="1:24" ht="15" thickBot="1" x14ac:dyDescent="0.35">
      <c r="A75" s="372"/>
      <c r="B75" s="360" t="s">
        <v>124</v>
      </c>
      <c r="C75" s="361" t="s">
        <v>25</v>
      </c>
      <c r="D75" s="361" t="s">
        <v>16</v>
      </c>
      <c r="E75" s="362" t="s">
        <v>24</v>
      </c>
      <c r="F75" s="589"/>
      <c r="G75" s="589"/>
      <c r="H75" s="589"/>
      <c r="I75" s="590"/>
      <c r="J75" s="590"/>
      <c r="K75" s="588"/>
      <c r="L75" s="587"/>
      <c r="M75" s="587"/>
      <c r="N75" s="587"/>
      <c r="O75" s="587"/>
      <c r="P75" s="373" t="str">
        <f>CONCATENATE("(PF ",U74,")")</f>
        <v>(PF 5)</v>
      </c>
      <c r="Q75" s="373" t="str">
        <f>CONCATENATE("(PF ",V74,")")</f>
        <v>(PF 5)</v>
      </c>
      <c r="R75" s="373" t="str">
        <f>CONCATENATE("(PF ",W74,")")</f>
        <v>(PF 5)</v>
      </c>
      <c r="S75" s="373" t="str">
        <f>CONCATENATE("(PF ",X74,")")</f>
        <v>(PF 5)</v>
      </c>
      <c r="U75" s="374" t="s">
        <v>119</v>
      </c>
      <c r="V75" s="375" t="s">
        <v>119</v>
      </c>
      <c r="W75" s="375" t="s">
        <v>119</v>
      </c>
      <c r="X75" s="376" t="s">
        <v>119</v>
      </c>
    </row>
    <row r="76" spans="1:24" ht="15.6" customHeight="1" thickTop="1" thickBot="1" x14ac:dyDescent="0.35">
      <c r="A76" s="372"/>
      <c r="B76" s="360" t="s">
        <v>124</v>
      </c>
      <c r="C76" s="361" t="s">
        <v>25</v>
      </c>
      <c r="D76" s="361" t="s">
        <v>16</v>
      </c>
      <c r="E76" s="362" t="s">
        <v>117</v>
      </c>
      <c r="F76" s="589"/>
      <c r="G76" s="589"/>
      <c r="H76" s="589"/>
      <c r="I76" s="609" t="s">
        <v>25</v>
      </c>
      <c r="J76" s="609" t="s">
        <v>16</v>
      </c>
      <c r="K76" s="607" t="s">
        <v>54</v>
      </c>
      <c r="L76" s="586">
        <f>IFERROR(IFERROR(VLOOKUP($D76,$Z$8:$AD$9,2,FALSE),0)/IF($D76="Inhalation",IF($K76="Central Tendency",SUMIFS('Inhalation Exposure'!$N$4:$N$61,'Inhalation Exposure'!$B$4:$B$61,$B76,'Inhalation Exposure'!$D$4:$D$61,$C76,'Inhalation Exposure'!$E$4:$E$61,$E76),SUMIFS('Inhalation Exposure'!$M$4:$M$61,'Inhalation Exposure'!$B$4:$B$61,$B76,'Inhalation Exposure'!$D$4:$D$61,$C76,'Inhalation Exposure'!$E$4:$E$61,$E76)),IF($K76="Central Tendency",SUMIFS('Dermal Crosswalk'!$P$5:$P$32,'Dermal Crosswalk'!$A$5:$A$32,'Bridge Table'!$B76,'Dermal Crosswalk'!$C$5:$C$32,'Bridge Table'!$E76),SUMIFS('Dermal Crosswalk'!$K$5:$K$32,'Dermal Crosswalk'!$A$5:$A$32,'Bridge Table'!$B76,'Dermal Crosswalk'!$C$5:$C$32,'Bridge Table'!$E76))),"--")</f>
        <v>4.3365402797435211</v>
      </c>
      <c r="M76" s="586">
        <f>IFERROR(IFERROR(VLOOKUP($D76,$Z$8:$AD$9,3,FALSE),0)/IF($D76="Inhalation",IF($K76="Central Tendency",SUMIFS('Inhalation Exposure'!$AB$4:$AB$61,'Inhalation Exposure'!$B$4:$B$61,$B76,'Inhalation Exposure'!$D$4:$D$61,$C76,'Inhalation Exposure'!$E$4:$E$61,$E76),SUMIFS('Inhalation Exposure'!$AA$4:$AA$61,'Inhalation Exposure'!$B$4:$B$61,$B76,'Inhalation Exposure'!$D$4:$D$61,$C76,'Inhalation Exposure'!$E$4:$E$61,$E76)),IF($K76="Central Tendency",SUMIFS('Dermal Crosswalk'!$S$5:$S$32,'Dermal Crosswalk'!$A$5:$A$32,'Bridge Table'!$B76,'Dermal Crosswalk'!$C$5:$C$32,'Bridge Table'!$E76),SUMIFS('Dermal Crosswalk'!$N$5:$N$32,'Dermal Crosswalk'!$A$5:$A$32,'Bridge Table'!$B76,'Dermal Crosswalk'!$C$5:$C$32,'Bridge Table'!$E76))),"--")</f>
        <v>9.3859050980706762</v>
      </c>
      <c r="N76" s="586">
        <f>IFERROR(IFERROR(VLOOKUP($D76,$Z$8:$AD$9,4,FALSE),0)/IF($D76="Inhalation",IF($K76="Central Tendency",SUMIFS('Inhalation Exposure'!$R$4:$R$61,'Inhalation Exposure'!$B$4:$B$61,$B76,'Inhalation Exposure'!$D$4:$D$61,$C76,'Inhalation Exposure'!$E$4:$E$61,$E76),SUMIFS('Inhalation Exposure'!$Q$4:$Q$61,'Inhalation Exposure'!$B$4:$B$61,$B76,'Inhalation Exposure'!$D$4:$D$61,$C76,'Inhalation Exposure'!$E$4:$E$61,$E76)),IF($K76="Central Tendency",SUMIFS('Dermal Crosswalk'!$Q$5:$Q$32,'Dermal Crosswalk'!$A$5:$A$32,'Bridge Table'!$B76,'Dermal Crosswalk'!$C$5:$C$32,'Bridge Table'!$E76),SUMIFS('Dermal Crosswalk'!$L$5:$L$32,'Dermal Crosswalk'!$A$5:$A$32,'Bridge Table'!$B76,'Dermal Crosswalk'!$C$5:$C$32,'Bridge Table'!$E76))),"--")</f>
        <v>114.19517869319321</v>
      </c>
      <c r="O76" s="586">
        <f>IFERROR(IFERROR(VLOOKUP($D76,$Z$8:$AD$9,5,FALSE),0)*IF($D76="Inhalation",IF($K76="Central Tendency",SUMIFS('Inhalation Exposure'!$V$4:$V$61,'Inhalation Exposure'!$B$4:$B$61,$B76,'Inhalation Exposure'!$D$4:$D$61,$C76,'Inhalation Exposure'!$E$4:$E$61,$E76),SUMIFS('Inhalation Exposure'!$U$4:$U$61,'Inhalation Exposure'!$B$4:$B$61,$B76,'Inhalation Exposure'!$D$4:$D$61,$C76,'Inhalation Exposure'!$E$4:$E$61,$E76)),IF($K76="Central Tendency",SUMIFS('Dermal Crosswalk'!$R$5:$R$32,'Dermal Crosswalk'!$A$5:$A$32,'Bridge Table'!$B76,'Dermal Crosswalk'!$C$5:$C$32,'Bridge Table'!$E76),SUMIFS('Dermal Crosswalk'!$M$5:$M$32,'Dermal Crosswalk'!$A$5:$A$32,'Bridge Table'!$B76,'Dermal Crosswalk'!$C$5:$C$32,'Bridge Table'!$E76))),"--")</f>
        <v>2.3278128117316474E-4</v>
      </c>
      <c r="P76" s="382">
        <f>L76*U76</f>
        <v>21.682701398717604</v>
      </c>
      <c r="Q76" s="382">
        <f t="shared" ref="Q76" si="19">M76*V76</f>
        <v>46.929525490353384</v>
      </c>
      <c r="R76" s="382">
        <f t="shared" ref="R76" si="20">N76*W76</f>
        <v>570.97589346596601</v>
      </c>
      <c r="S76" s="383">
        <f>O76/X76</f>
        <v>4.6556256234632951E-5</v>
      </c>
      <c r="U76" s="378">
        <v>5</v>
      </c>
      <c r="V76" s="379">
        <v>5</v>
      </c>
      <c r="W76" s="379">
        <v>5</v>
      </c>
      <c r="X76" s="380">
        <v>5</v>
      </c>
    </row>
    <row r="77" spans="1:24" ht="15" thickBot="1" x14ac:dyDescent="0.35">
      <c r="A77" s="372"/>
      <c r="B77" s="360" t="s">
        <v>124</v>
      </c>
      <c r="C77" s="361" t="s">
        <v>25</v>
      </c>
      <c r="D77" s="361" t="s">
        <v>16</v>
      </c>
      <c r="E77" s="362" t="s">
        <v>117</v>
      </c>
      <c r="F77" s="589"/>
      <c r="G77" s="589"/>
      <c r="H77" s="589"/>
      <c r="I77" s="589"/>
      <c r="J77" s="589"/>
      <c r="K77" s="608"/>
      <c r="L77" s="587"/>
      <c r="M77" s="587"/>
      <c r="N77" s="587"/>
      <c r="O77" s="587"/>
      <c r="P77" s="373" t="str">
        <f>CONCATENATE("(PF ",U76,")")</f>
        <v>(PF 5)</v>
      </c>
      <c r="Q77" s="373" t="str">
        <f>CONCATENATE("(PF ",V76,")")</f>
        <v>(PF 5)</v>
      </c>
      <c r="R77" s="373" t="str">
        <f>CONCATENATE("(PF ",W76,")")</f>
        <v>(PF 5)</v>
      </c>
      <c r="S77" s="373" t="str">
        <f>CONCATENATE("(PF ",X76,")")</f>
        <v>(PF 5)</v>
      </c>
      <c r="U77" s="374" t="s">
        <v>119</v>
      </c>
      <c r="V77" s="375" t="s">
        <v>119</v>
      </c>
      <c r="W77" s="375" t="s">
        <v>119</v>
      </c>
      <c r="X77" s="376" t="s">
        <v>119</v>
      </c>
    </row>
    <row r="78" spans="1:24" ht="15" customHeight="1" thickBot="1" x14ac:dyDescent="0.35">
      <c r="A78" s="372"/>
      <c r="B78" s="360" t="s">
        <v>124</v>
      </c>
      <c r="C78" s="361" t="s">
        <v>25</v>
      </c>
      <c r="D78" s="361" t="s">
        <v>16</v>
      </c>
      <c r="E78" s="362" t="s">
        <v>117</v>
      </c>
      <c r="F78" s="589"/>
      <c r="G78" s="589"/>
      <c r="H78" s="589"/>
      <c r="I78" s="589"/>
      <c r="J78" s="589"/>
      <c r="K78" s="584" t="s">
        <v>88</v>
      </c>
      <c r="L78" s="586">
        <f>IFERROR(IFERROR(VLOOKUP($D78,$Z$8:$AD$9,2,FALSE),0)/IF($D78="Inhalation",IF($K78="Central Tendency",SUMIFS('Inhalation Exposure'!$N$4:$N$61,'Inhalation Exposure'!$B$4:$B$61,$B78,'Inhalation Exposure'!$D$4:$D$61,$C78,'Inhalation Exposure'!$E$4:$E$61,$E78),SUMIFS('Inhalation Exposure'!$M$4:$M$61,'Inhalation Exposure'!$B$4:$B$61,$B78,'Inhalation Exposure'!$D$4:$D$61,$C78,'Inhalation Exposure'!$E$4:$E$61,$E78)),IF($K78="Central Tendency",SUMIFS('Dermal Crosswalk'!$P$5:$P$32,'Dermal Crosswalk'!$A$5:$A$32,'Bridge Table'!$B78,'Dermal Crosswalk'!$C$5:$C$32,'Bridge Table'!$E78),SUMIFS('Dermal Crosswalk'!$K$5:$K$32,'Dermal Crosswalk'!$A$5:$A$32,'Bridge Table'!$B78,'Dermal Crosswalk'!$C$5:$C$32,'Bridge Table'!$E78))),"--")</f>
        <v>1.4455134265811735</v>
      </c>
      <c r="M78" s="586">
        <f>IFERROR(IFERROR(VLOOKUP($D78,$Z$8:$AD$9,3,FALSE),0)/IF($D78="Inhalation",IF($K78="Central Tendency",SUMIFS('Inhalation Exposure'!$AB$4:$AB$61,'Inhalation Exposure'!$B$4:$B$61,$B78,'Inhalation Exposure'!$D$4:$D$61,$C78,'Inhalation Exposure'!$E$4:$E$61,$E78),SUMIFS('Inhalation Exposure'!$AA$4:$AA$61,'Inhalation Exposure'!$B$4:$B$61,$B78,'Inhalation Exposure'!$D$4:$D$61,$C78,'Inhalation Exposure'!$E$4:$E$61,$E78)),IF($K78="Central Tendency",SUMIFS('Dermal Crosswalk'!$S$5:$S$32,'Dermal Crosswalk'!$A$5:$A$32,'Bridge Table'!$B78,'Dermal Crosswalk'!$C$5:$C$32,'Bridge Table'!$E78),SUMIFS('Dermal Crosswalk'!$N$5:$N$32,'Dermal Crosswalk'!$A$5:$A$32,'Bridge Table'!$B78,'Dermal Crosswalk'!$C$5:$C$32,'Bridge Table'!$E78))),"--")</f>
        <v>1.0428783442300746</v>
      </c>
      <c r="N78" s="586">
        <f>IFERROR(IFERROR(VLOOKUP($D78,$Z$8:$AD$9,4,FALSE),0)/IF($D78="Inhalation",IF($K78="Central Tendency",SUMIFS('Inhalation Exposure'!$R$4:$R$61,'Inhalation Exposure'!$B$4:$B$61,$B78,'Inhalation Exposure'!$D$4:$D$61,$C78,'Inhalation Exposure'!$E$4:$E$61,$E78),SUMIFS('Inhalation Exposure'!$Q$4:$Q$61,'Inhalation Exposure'!$B$4:$B$61,$B78,'Inhalation Exposure'!$D$4:$D$61,$C78,'Inhalation Exposure'!$E$4:$E$61,$E78)),IF($K78="Central Tendency",SUMIFS('Dermal Crosswalk'!$Q$5:$Q$32,'Dermal Crosswalk'!$A$5:$A$32,'Bridge Table'!$B78,'Dermal Crosswalk'!$C$5:$C$32,'Bridge Table'!$E78),SUMIFS('Dermal Crosswalk'!$L$5:$L$32,'Dermal Crosswalk'!$A$5:$A$32,'Bridge Table'!$B78,'Dermal Crosswalk'!$C$5:$C$32,'Bridge Table'!$E78))),"--")</f>
        <v>12.688353188132577</v>
      </c>
      <c r="O78" s="586">
        <f>IFERROR(IFERROR(VLOOKUP($D78,$Z$8:$AD$9,5,FALSE),0)*IF($D78="Inhalation",IF($K78="Central Tendency",SUMIFS('Inhalation Exposure'!$V$4:$V$61,'Inhalation Exposure'!$B$4:$B$61,$B78,'Inhalation Exposure'!$D$4:$D$61,$C78,'Inhalation Exposure'!$E$4:$E$61,$E78),SUMIFS('Inhalation Exposure'!$U$4:$U$61,'Inhalation Exposure'!$B$4:$B$61,$B78,'Inhalation Exposure'!$D$4:$D$61,$C78,'Inhalation Exposure'!$E$4:$E$61,$E78)),IF($K78="Central Tendency",SUMIFS('Dermal Crosswalk'!$R$5:$R$32,'Dermal Crosswalk'!$A$5:$A$32,'Bridge Table'!$B78,'Dermal Crosswalk'!$C$5:$C$32,'Bridge Table'!$E78),SUMIFS('Dermal Crosswalk'!$M$5:$M$32,'Dermal Crosswalk'!$A$5:$A$32,'Bridge Table'!$B78,'Dermal Crosswalk'!$C$5:$C$32,'Bridge Table'!$E78))),"--")</f>
        <v>2.7032664910432041E-3</v>
      </c>
      <c r="P78" s="363">
        <f>L78*U78</f>
        <v>7.2275671329058682</v>
      </c>
      <c r="Q78" s="363">
        <f t="shared" ref="Q78" si="21">M78*V78</f>
        <v>5.2143917211503732</v>
      </c>
      <c r="R78" s="363">
        <f t="shared" ref="R78" si="22">N78*W78</f>
        <v>63.44176594066289</v>
      </c>
      <c r="S78" s="364">
        <f>O78/X78</f>
        <v>5.4065329820864082E-4</v>
      </c>
      <c r="U78" s="378">
        <v>5</v>
      </c>
      <c r="V78" s="379">
        <v>5</v>
      </c>
      <c r="W78" s="379">
        <v>5</v>
      </c>
      <c r="X78" s="380">
        <v>5</v>
      </c>
    </row>
    <row r="79" spans="1:24" ht="15" thickBot="1" x14ac:dyDescent="0.35">
      <c r="A79" s="372"/>
      <c r="B79" s="360" t="s">
        <v>124</v>
      </c>
      <c r="C79" s="361" t="s">
        <v>25</v>
      </c>
      <c r="D79" s="361" t="s">
        <v>16</v>
      </c>
      <c r="E79" s="362" t="s">
        <v>117</v>
      </c>
      <c r="F79" s="589"/>
      <c r="G79" s="587"/>
      <c r="H79" s="587"/>
      <c r="I79" s="587"/>
      <c r="J79" s="587"/>
      <c r="K79" s="585"/>
      <c r="L79" s="587"/>
      <c r="M79" s="587"/>
      <c r="N79" s="587"/>
      <c r="O79" s="587"/>
      <c r="P79" s="373" t="str">
        <f>CONCATENATE("(PF ",U78,")")</f>
        <v>(PF 5)</v>
      </c>
      <c r="Q79" s="373" t="str">
        <f>CONCATENATE("(PF ",V78,")")</f>
        <v>(PF 5)</v>
      </c>
      <c r="R79" s="373" t="str">
        <f>CONCATENATE("(PF ",W78,")")</f>
        <v>(PF 5)</v>
      </c>
      <c r="S79" s="373" t="str">
        <f>CONCATENATE("(PF ",X78,")")</f>
        <v>(PF 5)</v>
      </c>
      <c r="U79" s="384" t="s">
        <v>119</v>
      </c>
      <c r="V79" s="385" t="s">
        <v>119</v>
      </c>
      <c r="W79" s="385" t="s">
        <v>119</v>
      </c>
      <c r="X79" s="386" t="s">
        <v>119</v>
      </c>
    </row>
    <row r="80" spans="1:24" ht="15" customHeight="1" thickBot="1" x14ac:dyDescent="0.35">
      <c r="A80" s="372"/>
      <c r="B80" s="360">
        <v>3</v>
      </c>
      <c r="C80" s="361" t="s">
        <v>25</v>
      </c>
      <c r="D80" s="361" t="s">
        <v>111</v>
      </c>
      <c r="E80" s="362" t="s">
        <v>24</v>
      </c>
      <c r="F80" s="589"/>
      <c r="G80" s="586" t="s">
        <v>126</v>
      </c>
      <c r="H80" s="586" t="s">
        <v>127</v>
      </c>
      <c r="I80" s="586" t="s">
        <v>25</v>
      </c>
      <c r="J80" s="586" t="s">
        <v>115</v>
      </c>
      <c r="K80" s="584" t="s">
        <v>54</v>
      </c>
      <c r="L80" s="586">
        <f>IFERROR(IFERROR(VLOOKUP($D80,$Z$8:$AD$9,2,FALSE),0)/IF($D80="Inhalation",IF($K80="Central Tendency",SUMIFS('Inhalation Exposure'!$N$4:$N$61,'Inhalation Exposure'!$B$4:$B$61,$B80,'Inhalation Exposure'!$D$4:$D$61,$C80,'Inhalation Exposure'!$E$4:$E$61,$E80),SUMIFS('Inhalation Exposure'!$M$4:$M$61,'Inhalation Exposure'!$B$4:$B$61,$B80,'Inhalation Exposure'!$D$4:$D$61,$C80,'Inhalation Exposure'!$E$4:$E$61,$E80)),IF($K80="Central Tendency",SUMIFS('Dermal Crosswalk'!$P$5:$P$32,'Dermal Crosswalk'!$A$5:$A$32,'Bridge Table'!$B80,'Dermal Crosswalk'!$C$5:$C$32,'Bridge Table'!$E80),SUMIFS('Dermal Crosswalk'!$K$5:$K$32,'Dermal Crosswalk'!$A$5:$A$32,'Bridge Table'!$B80,'Dermal Crosswalk'!$C$5:$C$32,'Bridge Table'!$E80))),"--")</f>
        <v>1017.4849720183003</v>
      </c>
      <c r="M80" s="586">
        <f>IFERROR(IFERROR(VLOOKUP($D80,$Z$8:$AD$9,3,FALSE),0)/IF($D80="Inhalation",IF($K80="Central Tendency",SUMIFS('Inhalation Exposure'!$AB$4:$AB$61,'Inhalation Exposure'!$B$4:$B$61,$B80,'Inhalation Exposure'!$D$4:$D$61,$C80,'Inhalation Exposure'!$E$4:$E$61,$E80),SUMIFS('Inhalation Exposure'!$AA$4:$AA$61,'Inhalation Exposure'!$B$4:$B$61,$B80,'Inhalation Exposure'!$D$4:$D$61,$C80,'Inhalation Exposure'!$E$4:$E$61,$E80)),IF($K80="Central Tendency",SUMIFS('Dermal Crosswalk'!$S$5:$S$32,'Dermal Crosswalk'!$A$5:$A$32,'Bridge Table'!$B80,'Dermal Crosswalk'!$C$5:$C$32,'Bridge Table'!$E80),SUMIFS('Dermal Crosswalk'!$N$5:$N$32,'Dermal Crosswalk'!$A$5:$A$32,'Bridge Table'!$B80,'Dermal Crosswalk'!$C$5:$C$32,'Bridge Table'!$E80))),"--")</f>
        <v>6669.9905624705198</v>
      </c>
      <c r="N80" s="586">
        <f>IFERROR(IFERROR(VLOOKUP($D80,$Z$8:$AD$9,4,FALSE),0)/IF($D80="Inhalation",IF($K80="Central Tendency",SUMIFS('Inhalation Exposure'!$R$4:$R$61,'Inhalation Exposure'!$B$4:$B$61,$B80,'Inhalation Exposure'!$D$4:$D$61,$C80,'Inhalation Exposure'!$E$4:$E$61,$E80),SUMIFS('Inhalation Exposure'!$Q$4:$Q$61,'Inhalation Exposure'!$B$4:$B$61,$B80,'Inhalation Exposure'!$D$4:$D$61,$C80,'Inhalation Exposure'!$E$4:$E$61,$E80)),IF($K80="Central Tendency",SUMIFS('Dermal Crosswalk'!$Q$5:$Q$32,'Dermal Crosswalk'!$A$5:$A$32,'Bridge Table'!$B80,'Dermal Crosswalk'!$C$5:$C$32,'Bridge Table'!$E80),SUMIFS('Dermal Crosswalk'!$L$5:$L$32,'Dermal Crosswalk'!$A$5:$A$32,'Bridge Table'!$B80,'Dermal Crosswalk'!$C$5:$C$32,'Bridge Table'!$E80))),"--")</f>
        <v>81138.075732748242</v>
      </c>
      <c r="O80" s="586">
        <f>IFERROR(IFERROR(VLOOKUP($D80,$Z$8:$AD$9,5,FALSE),0)*IF($D80="Inhalation",IF($K80="Central Tendency",SUMIFS('Inhalation Exposure'!$V$4:$V$61,'Inhalation Exposure'!$B$4:$B$61,$B80,'Inhalation Exposure'!$D$4:$D$61,$C80,'Inhalation Exposure'!$E$4:$E$61,$E80),SUMIFS('Inhalation Exposure'!$U$4:$U$61,'Inhalation Exposure'!$B$4:$B$61,$B80,'Inhalation Exposure'!$D$4:$D$61,$C80,'Inhalation Exposure'!$E$4:$E$61,$E80)),IF($K80="Central Tendency",SUMIFS('Dermal Crosswalk'!$R$5:$R$32,'Dermal Crosswalk'!$A$5:$A$32,'Bridge Table'!$B80,'Dermal Crosswalk'!$C$5:$C$32,'Bridge Table'!$E80),SUMIFS('Dermal Crosswalk'!$M$5:$M$32,'Dermal Crosswalk'!$A$5:$A$32,'Bridge Table'!$B80,'Dermal Crosswalk'!$C$5:$C$32,'Bridge Table'!$E80))),"--")</f>
        <v>3.1182875279241047E-7</v>
      </c>
      <c r="P80" s="363">
        <f>IFERROR(L80*U80,"Not Assessed")</f>
        <v>10174.849720183003</v>
      </c>
      <c r="Q80" s="363">
        <f>IFERROR(M80*V80,"Not Assessed")</f>
        <v>66699.905624705192</v>
      </c>
      <c r="R80" s="363">
        <f>IFERROR(N80*W80,"Not Assessed")</f>
        <v>811380.75732748245</v>
      </c>
      <c r="S80" s="364">
        <f>IFERROR(O80/X80, "Not Assessed")</f>
        <v>3.1182875279241046E-8</v>
      </c>
      <c r="U80" s="365">
        <v>10</v>
      </c>
      <c r="V80" s="366">
        <v>10</v>
      </c>
      <c r="W80" s="366">
        <v>10</v>
      </c>
      <c r="X80" s="367">
        <v>10</v>
      </c>
    </row>
    <row r="81" spans="1:24" ht="15" thickBot="1" x14ac:dyDescent="0.35">
      <c r="A81" s="372"/>
      <c r="B81" s="360">
        <v>3</v>
      </c>
      <c r="C81" s="361" t="s">
        <v>25</v>
      </c>
      <c r="D81" s="361" t="s">
        <v>111</v>
      </c>
      <c r="E81" s="362" t="s">
        <v>24</v>
      </c>
      <c r="F81" s="589"/>
      <c r="G81" s="589"/>
      <c r="H81" s="589"/>
      <c r="I81" s="589"/>
      <c r="J81" s="589"/>
      <c r="K81" s="585"/>
      <c r="L81" s="587"/>
      <c r="M81" s="587"/>
      <c r="N81" s="587"/>
      <c r="O81" s="587"/>
      <c r="P81" s="373" t="str">
        <f>CONCATENATE("(APF ",U80,")")</f>
        <v>(APF 10)</v>
      </c>
      <c r="Q81" s="373" t="str">
        <f>CONCATENATE("(APF ",V80,")")</f>
        <v>(APF 10)</v>
      </c>
      <c r="R81" s="373" t="str">
        <f>CONCATENATE("(APF ",W80,")")</f>
        <v>(APF 10)</v>
      </c>
      <c r="S81" s="373" t="str">
        <f>CONCATENATE("(APF ",X80,")")</f>
        <v>(APF 10)</v>
      </c>
      <c r="U81" s="374" t="s">
        <v>116</v>
      </c>
      <c r="V81" s="375" t="s">
        <v>116</v>
      </c>
      <c r="W81" s="375" t="s">
        <v>116</v>
      </c>
      <c r="X81" s="376" t="s">
        <v>116</v>
      </c>
    </row>
    <row r="82" spans="1:24" ht="15.6" customHeight="1" thickBot="1" x14ac:dyDescent="0.35">
      <c r="A82" s="372"/>
      <c r="B82" s="360">
        <v>3</v>
      </c>
      <c r="C82" s="361" t="s">
        <v>25</v>
      </c>
      <c r="D82" s="361" t="s">
        <v>111</v>
      </c>
      <c r="E82" s="362" t="s">
        <v>24</v>
      </c>
      <c r="F82" s="589"/>
      <c r="G82" s="589"/>
      <c r="H82" s="589"/>
      <c r="I82" s="589"/>
      <c r="J82" s="589"/>
      <c r="K82" s="584" t="s">
        <v>88</v>
      </c>
      <c r="L82" s="586">
        <f>IFERROR(IFERROR(VLOOKUP($D82,$Z$8:$AD$9,2,FALSE),0)/IF($D82="Inhalation",IF($K82="Central Tendency",SUMIFS('Inhalation Exposure'!$N$4:$N$61,'Inhalation Exposure'!$B$4:$B$61,$B82,'Inhalation Exposure'!$D$4:$D$61,$C82,'Inhalation Exposure'!$E$4:$E$61,$E82),SUMIFS('Inhalation Exposure'!$M$4:$M$61,'Inhalation Exposure'!$B$4:$B$61,$B82,'Inhalation Exposure'!$D$4:$D$61,$C82,'Inhalation Exposure'!$E$4:$E$61,$E82)),IF($K82="Central Tendency",SUMIFS('Dermal Crosswalk'!$P$5:$P$32,'Dermal Crosswalk'!$A$5:$A$32,'Bridge Table'!$B82,'Dermal Crosswalk'!$C$5:$C$32,'Bridge Table'!$E82),SUMIFS('Dermal Crosswalk'!$K$5:$K$32,'Dermal Crosswalk'!$A$5:$A$32,'Bridge Table'!$B82,'Dermal Crosswalk'!$C$5:$C$32,'Bridge Table'!$E82))),"--")</f>
        <v>186.69559078575054</v>
      </c>
      <c r="M82" s="586">
        <f>IFERROR(IFERROR(VLOOKUP($D82,$Z$8:$AD$9,3,FALSE),0)/IF($D82="Inhalation",IF($K82="Central Tendency",SUMIFS('Inhalation Exposure'!$AB$4:$AB$61,'Inhalation Exposure'!$B$4:$B$61,$B82,'Inhalation Exposure'!$D$4:$D$61,$C82,'Inhalation Exposure'!$E$4:$E$61,$E82),SUMIFS('Inhalation Exposure'!$AA$4:$AA$61,'Inhalation Exposure'!$B$4:$B$61,$B82,'Inhalation Exposure'!$D$4:$D$61,$C82,'Inhalation Exposure'!$E$4:$E$61,$E82)),IF($K82="Central Tendency",SUMIFS('Dermal Crosswalk'!$S$5:$S$32,'Dermal Crosswalk'!$A$5:$A$32,'Bridge Table'!$B82,'Dermal Crosswalk'!$C$5:$C$32,'Bridge Table'!$E82),SUMIFS('Dermal Crosswalk'!$N$5:$N$32,'Dermal Crosswalk'!$A$5:$A$32,'Bridge Table'!$B82,'Dermal Crosswalk'!$C$5:$C$32,'Bridge Table'!$E82))),"--")</f>
        <v>1460.7477039241637</v>
      </c>
      <c r="N82" s="586">
        <f>IFERROR(IFERROR(VLOOKUP($D82,$Z$8:$AD$9,4,FALSE),0)/IF($D82="Inhalation",IF($K82="Central Tendency",SUMIFS('Inhalation Exposure'!$R$4:$R$61,'Inhalation Exposure'!$B$4:$B$61,$B82,'Inhalation Exposure'!$D$4:$D$61,$C82,'Inhalation Exposure'!$E$4:$E$61,$E82),SUMIFS('Inhalation Exposure'!$Q$4:$Q$61,'Inhalation Exposure'!$B$4:$B$61,$B82,'Inhalation Exposure'!$D$4:$D$61,$C82,'Inhalation Exposure'!$E$4:$E$61,$E82)),IF($K82="Central Tendency",SUMIFS('Dermal Crosswalk'!$Q$5:$Q$32,'Dermal Crosswalk'!$A$5:$A$32,'Bridge Table'!$B82,'Dermal Crosswalk'!$C$5:$C$32,'Bridge Table'!$E82),SUMIFS('Dermal Crosswalk'!$L$5:$L$32,'Dermal Crosswalk'!$A$5:$A$32,'Bridge Table'!$B82,'Dermal Crosswalk'!$C$5:$C$32,'Bridge Table'!$E82))),"--")</f>
        <v>17758.989477911331</v>
      </c>
      <c r="O82" s="586">
        <f>IFERROR(IFERROR(VLOOKUP($D82,$Z$8:$AD$9,5,FALSE),0)*IF($D82="Inhalation",IF($K82="Central Tendency",SUMIFS('Inhalation Exposure'!$V$4:$V$61,'Inhalation Exposure'!$B$4:$B$61,$B82,'Inhalation Exposure'!$D$4:$D$61,$C82,'Inhalation Exposure'!$E$4:$E$61,$E82),SUMIFS('Inhalation Exposure'!$U$4:$U$61,'Inhalation Exposure'!$B$4:$B$61,$B82,'Inhalation Exposure'!$D$4:$D$61,$C82,'Inhalation Exposure'!$E$4:$E$61,$E82)),IF($K82="Central Tendency",SUMIFS('Dermal Crosswalk'!$R$5:$R$32,'Dermal Crosswalk'!$A$5:$A$32,'Bridge Table'!$B82,'Dermal Crosswalk'!$C$5:$C$32,'Bridge Table'!$E82),SUMIFS('Dermal Crosswalk'!$M$5:$M$32,'Dermal Crosswalk'!$A$5:$A$32,'Bridge Table'!$B82,'Dermal Crosswalk'!$C$5:$C$32,'Bridge Table'!$E82))),"--")</f>
        <v>1.4897211781102763E-6</v>
      </c>
      <c r="P82" s="363">
        <f>IFERROR(L82*U82,"Not Assessed")</f>
        <v>1866.9559078575053</v>
      </c>
      <c r="Q82" s="363">
        <f>IFERROR(M82*V82,"Not Assessed")</f>
        <v>14607.477039241638</v>
      </c>
      <c r="R82" s="363">
        <f>IFERROR(N82*W82,"Not Assessed")</f>
        <v>177589.8947791133</v>
      </c>
      <c r="S82" s="364">
        <f>IFERROR(O82/X82, "Not Assessed")</f>
        <v>1.4897211781102763E-7</v>
      </c>
      <c r="U82" s="378">
        <v>10</v>
      </c>
      <c r="V82" s="379">
        <v>10</v>
      </c>
      <c r="W82" s="379">
        <v>10</v>
      </c>
      <c r="X82" s="380">
        <v>10</v>
      </c>
    </row>
    <row r="83" spans="1:24" ht="15" thickBot="1" x14ac:dyDescent="0.35">
      <c r="A83" s="372"/>
      <c r="B83" s="360">
        <v>3</v>
      </c>
      <c r="C83" s="361" t="s">
        <v>25</v>
      </c>
      <c r="D83" s="361" t="s">
        <v>111</v>
      </c>
      <c r="E83" s="362" t="s">
        <v>24</v>
      </c>
      <c r="F83" s="589"/>
      <c r="G83" s="589"/>
      <c r="H83" s="589"/>
      <c r="I83" s="590"/>
      <c r="J83" s="590"/>
      <c r="K83" s="588"/>
      <c r="L83" s="587"/>
      <c r="M83" s="587"/>
      <c r="N83" s="587"/>
      <c r="O83" s="587"/>
      <c r="P83" s="373" t="str">
        <f>CONCATENATE("(APF ",U82,")")</f>
        <v>(APF 10)</v>
      </c>
      <c r="Q83" s="373" t="str">
        <f>CONCATENATE("(APF ",V82,")")</f>
        <v>(APF 10)</v>
      </c>
      <c r="R83" s="373" t="str">
        <f>CONCATENATE("(APF ",W82,")")</f>
        <v>(APF 10)</v>
      </c>
      <c r="S83" s="373" t="str">
        <f>CONCATENATE("(APF ",X82,")")</f>
        <v>(APF 10)</v>
      </c>
      <c r="U83" s="374" t="s">
        <v>116</v>
      </c>
      <c r="V83" s="375" t="s">
        <v>116</v>
      </c>
      <c r="W83" s="375" t="s">
        <v>116</v>
      </c>
      <c r="X83" s="376" t="s">
        <v>116</v>
      </c>
    </row>
    <row r="84" spans="1:24" ht="15" customHeight="1" thickBot="1" x14ac:dyDescent="0.35">
      <c r="A84" s="372"/>
      <c r="B84" s="360">
        <v>3</v>
      </c>
      <c r="C84" s="361" t="s">
        <v>25</v>
      </c>
      <c r="D84" s="361" t="s">
        <v>111</v>
      </c>
      <c r="E84" s="362" t="s">
        <v>117</v>
      </c>
      <c r="F84" s="589"/>
      <c r="G84" s="589"/>
      <c r="H84" s="589"/>
      <c r="I84" s="589" t="s">
        <v>25</v>
      </c>
      <c r="J84" s="586" t="s">
        <v>115</v>
      </c>
      <c r="K84" s="584" t="s">
        <v>54</v>
      </c>
      <c r="L84" s="586">
        <f>IFERROR(IFERROR(VLOOKUP($D84,$Z$8:$AD$9,2,FALSE),0)/IF($D84="Inhalation",IF($K84="Central Tendency",SUMIFS('Inhalation Exposure'!$N$4:$N$61,'Inhalation Exposure'!$B$4:$B$61,$B84,'Inhalation Exposure'!$D$4:$D$61,$C84,'Inhalation Exposure'!$E$4:$E$61,$E84),SUMIFS('Inhalation Exposure'!$M$4:$M$61,'Inhalation Exposure'!$B$4:$B$61,$B84,'Inhalation Exposure'!$D$4:$D$61,$C84,'Inhalation Exposure'!$E$4:$E$61,$E84)),IF($K84="Central Tendency",SUMIFS('Dermal Crosswalk'!$P$5:$P$32,'Dermal Crosswalk'!$A$5:$A$32,'Bridge Table'!$B84,'Dermal Crosswalk'!$C$5:$C$32,'Bridge Table'!$E84),SUMIFS('Dermal Crosswalk'!$K$5:$K$32,'Dermal Crosswalk'!$A$5:$A$32,'Bridge Table'!$B84,'Dermal Crosswalk'!$C$5:$C$32,'Bridge Table'!$E84))),"--")</f>
        <v>801.95388806456799</v>
      </c>
      <c r="M84" s="586">
        <f>IFERROR(IFERROR(VLOOKUP($D84,$Z$8:$AD$9,3,FALSE),0)/IF($D84="Inhalation",IF($K84="Central Tendency",SUMIFS('Inhalation Exposure'!$AB$4:$AB$61,'Inhalation Exposure'!$B$4:$B$61,$B84,'Inhalation Exposure'!$D$4:$D$61,$C84,'Inhalation Exposure'!$E$4:$E$61,$E84),SUMIFS('Inhalation Exposure'!$AA$4:$AA$61,'Inhalation Exposure'!$B$4:$B$61,$B84,'Inhalation Exposure'!$D$4:$D$61,$C84,'Inhalation Exposure'!$E$4:$E$61,$E84)),IF($K84="Central Tendency",SUMIFS('Dermal Crosswalk'!$S$5:$S$32,'Dermal Crosswalk'!$A$5:$A$32,'Bridge Table'!$B84,'Dermal Crosswalk'!$C$5:$C$32,'Bridge Table'!$E84),SUMIFS('Dermal Crosswalk'!$N$5:$N$32,'Dermal Crosswalk'!$A$5:$A$32,'Bridge Table'!$B84,'Dermal Crosswalk'!$C$5:$C$32,'Bridge Table'!$E84))),"--")</f>
        <v>1222.6522105696888</v>
      </c>
      <c r="N84" s="586">
        <f>IFERROR(IFERROR(VLOOKUP($D84,$Z$8:$AD$9,4,FALSE),0)/IF($D84="Inhalation",IF($K84="Central Tendency",SUMIFS('Inhalation Exposure'!$R$4:$R$61,'Inhalation Exposure'!$B$4:$B$61,$B84,'Inhalation Exposure'!$D$4:$D$61,$C84,'Inhalation Exposure'!$E$4:$E$61,$E84),SUMIFS('Inhalation Exposure'!$Q$4:$Q$61,'Inhalation Exposure'!$B$4:$B$61,$B84,'Inhalation Exposure'!$D$4:$D$61,$C84,'Inhalation Exposure'!$E$4:$E$61,$E84)),IF($K84="Central Tendency",SUMIFS('Dermal Crosswalk'!$Q$5:$Q$32,'Dermal Crosswalk'!$A$5:$A$32,'Bridge Table'!$B84,'Dermal Crosswalk'!$C$5:$C$32,'Bridge Table'!$E84),SUMIFS('Dermal Crosswalk'!$L$5:$L$32,'Dermal Crosswalk'!$A$5:$A$32,'Bridge Table'!$B84,'Dermal Crosswalk'!$C$5:$C$32,'Bridge Table'!$E84))),"--")</f>
        <v>13282.778683686867</v>
      </c>
      <c r="O84" s="586">
        <f>IFERROR(IFERROR(VLOOKUP($D84,$Z$8:$AD$9,5,FALSE),0)*IF($D84="Inhalation",IF($K84="Central Tendency",SUMIFS('Inhalation Exposure'!$V$4:$V$61,'Inhalation Exposure'!$B$4:$B$61,$B84,'Inhalation Exposure'!$D$4:$D$61,$C84,'Inhalation Exposure'!$E$4:$E$61,$E84),SUMIFS('Inhalation Exposure'!$U$4:$U$61,'Inhalation Exposure'!$B$4:$B$61,$B84,'Inhalation Exposure'!$D$4:$D$61,$C84,'Inhalation Exposure'!$E$4:$E$61,$E84)),IF($K84="Central Tendency",SUMIFS('Dermal Crosswalk'!$R$5:$R$32,'Dermal Crosswalk'!$A$5:$A$32,'Bridge Table'!$B84,'Dermal Crosswalk'!$C$5:$C$32,'Bridge Table'!$E84),SUMIFS('Dermal Crosswalk'!$M$5:$M$32,'Dermal Crosswalk'!$A$5:$A$32,'Bridge Table'!$B84,'Dermal Crosswalk'!$C$5:$C$32,'Bridge Table'!$E84))),"--")</f>
        <v>1.9054013243761342E-6</v>
      </c>
      <c r="P84" s="363">
        <f>IFERROR(L84*U84,"Not Assessed")</f>
        <v>8019.5388806456795</v>
      </c>
      <c r="Q84" s="363">
        <f>IFERROR(M84*V84,"Not Assessed")</f>
        <v>12226.522105696888</v>
      </c>
      <c r="R84" s="363">
        <f>IFERROR(N84*W84,"Not Assessed")</f>
        <v>132827.78683686868</v>
      </c>
      <c r="S84" s="364">
        <f>IFERROR(O84/X84, "Not Assessed")</f>
        <v>1.9054013243761342E-7</v>
      </c>
      <c r="U84" s="378">
        <v>10</v>
      </c>
      <c r="V84" s="379">
        <v>10</v>
      </c>
      <c r="W84" s="379">
        <v>10</v>
      </c>
      <c r="X84" s="380">
        <v>10</v>
      </c>
    </row>
    <row r="85" spans="1:24" ht="15" thickBot="1" x14ac:dyDescent="0.35">
      <c r="A85" s="372"/>
      <c r="B85" s="360">
        <v>3</v>
      </c>
      <c r="C85" s="361" t="s">
        <v>25</v>
      </c>
      <c r="D85" s="361" t="s">
        <v>111</v>
      </c>
      <c r="E85" s="362" t="s">
        <v>117</v>
      </c>
      <c r="F85" s="589"/>
      <c r="G85" s="589"/>
      <c r="H85" s="589"/>
      <c r="I85" s="589"/>
      <c r="J85" s="589"/>
      <c r="K85" s="585"/>
      <c r="L85" s="587"/>
      <c r="M85" s="587"/>
      <c r="N85" s="587"/>
      <c r="O85" s="587"/>
      <c r="P85" s="373" t="str">
        <f>CONCATENATE("(APF ",U84,")")</f>
        <v>(APF 10)</v>
      </c>
      <c r="Q85" s="373" t="str">
        <f>CONCATENATE("(APF ",V84,")")</f>
        <v>(APF 10)</v>
      </c>
      <c r="R85" s="373" t="str">
        <f>CONCATENATE("(APF ",W84,")")</f>
        <v>(APF 10)</v>
      </c>
      <c r="S85" s="373" t="str">
        <f>CONCATENATE("(APF ",X84,")")</f>
        <v>(APF 10)</v>
      </c>
      <c r="U85" s="374" t="s">
        <v>116</v>
      </c>
      <c r="V85" s="375" t="s">
        <v>116</v>
      </c>
      <c r="W85" s="375" t="s">
        <v>116</v>
      </c>
      <c r="X85" s="376" t="s">
        <v>116</v>
      </c>
    </row>
    <row r="86" spans="1:24" ht="15" thickBot="1" x14ac:dyDescent="0.35">
      <c r="A86" s="372"/>
      <c r="B86" s="360">
        <v>3</v>
      </c>
      <c r="C86" s="361" t="s">
        <v>25</v>
      </c>
      <c r="D86" s="361" t="s">
        <v>111</v>
      </c>
      <c r="E86" s="362" t="s">
        <v>117</v>
      </c>
      <c r="F86" s="589"/>
      <c r="G86" s="589"/>
      <c r="H86" s="589"/>
      <c r="I86" s="589"/>
      <c r="J86" s="589"/>
      <c r="K86" s="584" t="s">
        <v>88</v>
      </c>
      <c r="L86" s="586">
        <f>IFERROR(IFERROR(VLOOKUP($D86,$Z$8:$AD$9,2,FALSE),0)/IF($D86="Inhalation",IF($K86="Central Tendency",SUMIFS('Inhalation Exposure'!$N$4:$N$61,'Inhalation Exposure'!$B$4:$B$61,$B86,'Inhalation Exposure'!$D$4:$D$61,$C86,'Inhalation Exposure'!$E$4:$E$61,$E86),SUMIFS('Inhalation Exposure'!$M$4:$M$61,'Inhalation Exposure'!$B$4:$B$61,$B86,'Inhalation Exposure'!$D$4:$D$61,$C86,'Inhalation Exposure'!$E$4:$E$61,$E86)),IF($K86="Central Tendency",SUMIFS('Dermal Crosswalk'!$P$5:$P$32,'Dermal Crosswalk'!$A$5:$A$32,'Bridge Table'!$B86,'Dermal Crosswalk'!$C$5:$C$32,'Bridge Table'!$E86),SUMIFS('Dermal Crosswalk'!$K$5:$K$32,'Dermal Crosswalk'!$A$5:$A$32,'Bridge Table'!$B86,'Dermal Crosswalk'!$C$5:$C$32,'Bridge Table'!$E86))),"--")</f>
        <v>144.46348196732694</v>
      </c>
      <c r="M86" s="586">
        <f>IFERROR(IFERROR(VLOOKUP($D86,$Z$8:$AD$9,3,FALSE),0)/IF($D86="Inhalation",IF($K86="Central Tendency",SUMIFS('Inhalation Exposure'!$AB$4:$AB$61,'Inhalation Exposure'!$B$4:$B$61,$B86,'Inhalation Exposure'!$D$4:$D$61,$C86,'Inhalation Exposure'!$E$4:$E$61,$E86),SUMIFS('Inhalation Exposure'!$AA$4:$AA$61,'Inhalation Exposure'!$B$4:$B$61,$B86,'Inhalation Exposure'!$D$4:$D$61,$C86,'Inhalation Exposure'!$E$4:$E$61,$E86)),IF($K86="Central Tendency",SUMIFS('Dermal Crosswalk'!$S$5:$S$32,'Dermal Crosswalk'!$A$5:$A$32,'Bridge Table'!$B86,'Dermal Crosswalk'!$C$5:$C$32,'Bridge Table'!$E86),SUMIFS('Dermal Crosswalk'!$N$5:$N$32,'Dermal Crosswalk'!$A$5:$A$32,'Bridge Table'!$B86,'Dermal Crosswalk'!$C$5:$C$32,'Bridge Table'!$E86))),"--")</f>
        <v>283.2926431887451</v>
      </c>
      <c r="N86" s="586">
        <f>IFERROR(IFERROR(VLOOKUP($D86,$Z$8:$AD$9,4,FALSE),0)/IF($D86="Inhalation",IF($K86="Central Tendency",SUMIFS('Inhalation Exposure'!$R$4:$R$61,'Inhalation Exposure'!$B$4:$B$61,$B86,'Inhalation Exposure'!$D$4:$D$61,$C86,'Inhalation Exposure'!$E$4:$E$61,$E86),SUMIFS('Inhalation Exposure'!$Q$4:$Q$61,'Inhalation Exposure'!$B$4:$B$61,$B86,'Inhalation Exposure'!$D$4:$D$61,$C86,'Inhalation Exposure'!$E$4:$E$61,$E86)),IF($K86="Central Tendency",SUMIFS('Dermal Crosswalk'!$Q$5:$Q$32,'Dermal Crosswalk'!$A$5:$A$32,'Bridge Table'!$B86,'Dermal Crosswalk'!$C$5:$C$32,'Bridge Table'!$E86),SUMIFS('Dermal Crosswalk'!$L$5:$L$32,'Dermal Crosswalk'!$A$5:$A$32,'Bridge Table'!$B86,'Dermal Crosswalk'!$C$5:$C$32,'Bridge Table'!$E86))),"--")</f>
        <v>3110.6247701875109</v>
      </c>
      <c r="O86" s="586">
        <f>IFERROR(IFERROR(VLOOKUP($D86,$Z$8:$AD$9,5,FALSE),0)*IF($D86="Inhalation",IF($K86="Central Tendency",SUMIFS('Inhalation Exposure'!$V$4:$V$61,'Inhalation Exposure'!$B$4:$B$61,$B86,'Inhalation Exposure'!$D$4:$D$61,$C86,'Inhalation Exposure'!$E$4:$E$61,$E86),SUMIFS('Inhalation Exposure'!$U$4:$U$61,'Inhalation Exposure'!$B$4:$B$61,$B86,'Inhalation Exposure'!$D$4:$D$61,$C86,'Inhalation Exposure'!$E$4:$E$61,$E86)),IF($K86="Central Tendency",SUMIFS('Dermal Crosswalk'!$R$5:$R$32,'Dermal Crosswalk'!$A$5:$A$32,'Bridge Table'!$B86,'Dermal Crosswalk'!$C$5:$C$32,'Bridge Table'!$E86),SUMIFS('Dermal Crosswalk'!$M$5:$M$32,'Dermal Crosswalk'!$A$5:$A$32,'Bridge Table'!$B86,'Dermal Crosswalk'!$C$5:$C$32,'Bridge Table'!$E86))),"--")</f>
        <v>8.5898867398520482E-6</v>
      </c>
      <c r="P86" s="363">
        <f>IFERROR(L86*U86,"Not Assessed")</f>
        <v>1444.6348196732695</v>
      </c>
      <c r="Q86" s="363">
        <f>IFERROR(M86*V86,"Not Assessed")</f>
        <v>2832.9264318874511</v>
      </c>
      <c r="R86" s="363">
        <f>IFERROR(N86*W86,"Not Assessed")</f>
        <v>31106.247701875109</v>
      </c>
      <c r="S86" s="364">
        <f>IFERROR(O86/X86, "Not Assessed")</f>
        <v>8.5898867398520482E-7</v>
      </c>
      <c r="U86" s="378">
        <v>10</v>
      </c>
      <c r="V86" s="379">
        <v>10</v>
      </c>
      <c r="W86" s="379">
        <v>10</v>
      </c>
      <c r="X86" s="380">
        <v>10</v>
      </c>
    </row>
    <row r="87" spans="1:24" ht="15" thickBot="1" x14ac:dyDescent="0.35">
      <c r="A87" s="372"/>
      <c r="B87" s="360">
        <v>3</v>
      </c>
      <c r="C87" s="361" t="s">
        <v>25</v>
      </c>
      <c r="D87" s="361" t="s">
        <v>111</v>
      </c>
      <c r="E87" s="362" t="s">
        <v>117</v>
      </c>
      <c r="F87" s="589"/>
      <c r="G87" s="589"/>
      <c r="H87" s="589"/>
      <c r="I87" s="590"/>
      <c r="J87" s="590"/>
      <c r="K87" s="588"/>
      <c r="L87" s="587"/>
      <c r="M87" s="587"/>
      <c r="N87" s="587"/>
      <c r="O87" s="587"/>
      <c r="P87" s="373" t="str">
        <f>CONCATENATE("(APF ",U86,")")</f>
        <v>(APF 10)</v>
      </c>
      <c r="Q87" s="373" t="str">
        <f>CONCATENATE("(APF ",V86,")")</f>
        <v>(APF 10)</v>
      </c>
      <c r="R87" s="373" t="str">
        <f>CONCATENATE("(APF ",W86,")")</f>
        <v>(APF 10)</v>
      </c>
      <c r="S87" s="373" t="str">
        <f>CONCATENATE("(APF ",X86,")")</f>
        <v>(APF 10)</v>
      </c>
      <c r="U87" s="374" t="s">
        <v>116</v>
      </c>
      <c r="V87" s="375" t="s">
        <v>116</v>
      </c>
      <c r="W87" s="375" t="s">
        <v>116</v>
      </c>
      <c r="X87" s="376" t="s">
        <v>116</v>
      </c>
    </row>
    <row r="88" spans="1:24" ht="15" customHeight="1" thickBot="1" x14ac:dyDescent="0.35">
      <c r="A88" s="372"/>
      <c r="B88" s="360">
        <v>3</v>
      </c>
      <c r="C88" s="361" t="s">
        <v>53</v>
      </c>
      <c r="D88" s="361" t="s">
        <v>111</v>
      </c>
      <c r="E88" s="362" t="s">
        <v>24</v>
      </c>
      <c r="F88" s="589"/>
      <c r="G88" s="589"/>
      <c r="H88" s="589"/>
      <c r="I88" s="589" t="s">
        <v>53</v>
      </c>
      <c r="J88" s="586" t="s">
        <v>115</v>
      </c>
      <c r="K88" s="584" t="s">
        <v>54</v>
      </c>
      <c r="L88" s="586" t="str">
        <f>IFERROR(IFERROR(VLOOKUP($D88,$Z$8:$AD$9,2,FALSE),0)/IF($D88="Inhalation",IF($K88="Central Tendency",SUMIFS('Inhalation Exposure'!$L$4:$L$60,'Inhalation Exposure'!$B$4:$B$60,$B88,'Inhalation Exposure'!$D$4:$D$60,$C88,'Inhalation Exposure'!$E$4:$E$60,$E88),SUMIFS('Inhalation Exposure'!$K$4:$K$60,'Inhalation Exposure'!$B$4:$B$60,$B88,'Inhalation Exposure'!$D$4:$D$60,$C88,'Inhalation Exposure'!$E$4:$E$60,$E88)),IF($K88="Central Tendency",SUMIFS('Dermal Crosswalk'!$P$5:$P$32,'Dermal Crosswalk'!$A$5:$A$32,'Bridge Table'!$B88,'Dermal Crosswalk'!$C$5:$C$32,'Bridge Table'!$E88),SUMIFS('Dermal Crosswalk'!$K$5:$K$32,'Dermal Crosswalk'!$A$5:$A$32,'Bridge Table'!$B88,'Dermal Crosswalk'!$C$5:$C$32,'Bridge Table'!$E88))),"--")</f>
        <v>--</v>
      </c>
      <c r="M88" s="586" t="str">
        <f>IFERROR(IFERROR(VLOOKUP($D88,$Z$8:$AD$9,3,FALSE),0)/IF($D88="Inhalation",IF($K88="Central Tendency",SUMIFS('Inhalation Exposure'!$AB$4:$AB$60,'Inhalation Exposure'!$B$4:$B$60,$B88,'Inhalation Exposure'!$D$4:$D$60,$C88,'Inhalation Exposure'!$E$4:$E$60,$E88),SUMIFS('Inhalation Exposure'!$AA$4:$AA$60,'Inhalation Exposure'!$B$4:$B$60,$B88,'Inhalation Exposure'!$D$4:$D$60,$C88,'Inhalation Exposure'!$E$4:$E$60,$E88)),IF($K88="Central Tendency",SUMIFS('Dermal Crosswalk'!$S$5:$S$32,'Dermal Crosswalk'!$A$5:$A$32,'Bridge Table'!$B88,'Dermal Crosswalk'!$C$5:$C$32,'Bridge Table'!$E88),SUMIFS('Dermal Crosswalk'!$N$5:$N$32,'Dermal Crosswalk'!$A$5:$A$32,'Bridge Table'!$B88,'Dermal Crosswalk'!$C$5:$C$32,'Bridge Table'!$E88))),"--")</f>
        <v>--</v>
      </c>
      <c r="N88" s="586" t="str">
        <f>IFERROR(IFERROR(VLOOKUP($D88,$Z$8:$AD$9,4,FALSE),0)/IF($D88="Inhalation",IF($K88="Central Tendency",SUMIFS('Inhalation Exposure'!$R$4:$R$60,'Inhalation Exposure'!$B$4:$B$60,$B88,'Inhalation Exposure'!$D$4:$D$60,$C88,'Inhalation Exposure'!$E$4:$E$60,$E88),SUMIFS('Inhalation Exposure'!$Q$4:$Q$60,'Inhalation Exposure'!$B$4:$B$60,$B88,'Inhalation Exposure'!$D$4:$D$60,$C88,'Inhalation Exposure'!$E$4:$E$60,$E88)),IF($K88="Central Tendency",SUMIFS('Dermal Crosswalk'!$Q$5:$Q$32,'Dermal Crosswalk'!$A$5:$A$32,'Bridge Table'!$B88,'Dermal Crosswalk'!$C$5:$C$32,'Bridge Table'!$E88),SUMIFS('Dermal Crosswalk'!$L$5:$L$32,'Dermal Crosswalk'!$A$5:$A$32,'Bridge Table'!$B88,'Dermal Crosswalk'!$C$5:$C$32,'Bridge Table'!$E88))),"--")</f>
        <v>--</v>
      </c>
      <c r="O88" s="586" t="str">
        <f>IF(IFERROR(VLOOKUP($D88,$Z$8:$AD$9,5,FALSE),0)*IF($D88="Inhalation",IF($K88="Central Tendency",SUMIFS('Inhalation Exposure'!$V$4:$V$60,'Inhalation Exposure'!$B$4:$B$60,$B88,'Inhalation Exposure'!$D$4:$D$60,$C88,'Inhalation Exposure'!$E$4:$E$60,$E88),SUMIFS('Inhalation Exposure'!$U$4:$U$60,'Inhalation Exposure'!$B$4:$B$60,$B88,'Inhalation Exposure'!$D$4:$D$60,$C88,'Inhalation Exposure'!$E$4:$E$60,$E88)),IF($K88="Central Tendency",SUMIFS('Dermal Crosswalk'!$R$5:$R$32,'Dermal Crosswalk'!$A$5:$A$32,'Bridge Table'!$B88,'Dermal Crosswalk'!$C$5:$C$32,'Bridge Table'!$E88),SUMIFS('Dermal Crosswalk'!$M$5:$M$32,'Dermal Crosswalk'!$A$5:$A$32,'Bridge Table'!$B88,'Dermal Crosswalk'!$C$5:$C$32,'Bridge Table'!$E88)))=0,"--",IFERROR(VLOOKUP($D88,$Z$8:$AD$9,5,FALSE),0)*IF($D88="Inhalation",IF($K88="Central Tendency",SUMIFS('Inhalation Exposure'!$V$4:$V$60,'Inhalation Exposure'!$B$4:$B$60,$B88,'Inhalation Exposure'!$D$4:$D$60,$C88,'Inhalation Exposure'!$E$4:$E$60,$E88),SUMIFS('Inhalation Exposure'!$U$4:$U$60,'Inhalation Exposure'!$B$4:$B$60,$B88,'Inhalation Exposure'!$D$4:$D$60,$C88,'Inhalation Exposure'!$E$4:$E$60,$E88)),IF($K88="Central Tendency",SUMIFS('Dermal Crosswalk'!$R$5:$R$32,'Dermal Crosswalk'!$A$5:$A$32,'Bridge Table'!$B88,'Dermal Crosswalk'!$C$5:$C$32,'Bridge Table'!$E88),SUMIFS('Dermal Crosswalk'!$M$5:$M$32,'Dermal Crosswalk'!$A$5:$A$32,'Bridge Table'!$B88,'Dermal Crosswalk'!$C$5:$C$32,'Bridge Table'!$E88))))</f>
        <v>--</v>
      </c>
      <c r="P88" s="610" t="s">
        <v>118</v>
      </c>
      <c r="Q88" s="610" t="s">
        <v>118</v>
      </c>
      <c r="R88" s="610" t="s">
        <v>118</v>
      </c>
      <c r="S88" s="610" t="s">
        <v>118</v>
      </c>
      <c r="U88" s="612" t="s">
        <v>118</v>
      </c>
      <c r="V88" s="614" t="s">
        <v>118</v>
      </c>
      <c r="W88" s="614" t="s">
        <v>118</v>
      </c>
      <c r="X88" s="616" t="s">
        <v>118</v>
      </c>
    </row>
    <row r="89" spans="1:24" ht="15" thickBot="1" x14ac:dyDescent="0.35">
      <c r="A89" s="372"/>
      <c r="B89" s="360">
        <v>3</v>
      </c>
      <c r="C89" s="361" t="s">
        <v>53</v>
      </c>
      <c r="D89" s="361" t="s">
        <v>111</v>
      </c>
      <c r="E89" s="362" t="s">
        <v>24</v>
      </c>
      <c r="F89" s="589"/>
      <c r="G89" s="589"/>
      <c r="H89" s="589"/>
      <c r="I89" s="589"/>
      <c r="J89" s="589"/>
      <c r="K89" s="585"/>
      <c r="L89" s="587"/>
      <c r="M89" s="587"/>
      <c r="N89" s="587"/>
      <c r="O89" s="587"/>
      <c r="P89" s="611"/>
      <c r="Q89" s="611"/>
      <c r="R89" s="611"/>
      <c r="S89" s="611"/>
      <c r="U89" s="613"/>
      <c r="V89" s="615"/>
      <c r="W89" s="615"/>
      <c r="X89" s="617"/>
    </row>
    <row r="90" spans="1:24" ht="15" thickBot="1" x14ac:dyDescent="0.35">
      <c r="A90" s="372"/>
      <c r="B90" s="360">
        <v>3</v>
      </c>
      <c r="C90" s="361" t="s">
        <v>53</v>
      </c>
      <c r="D90" s="361" t="s">
        <v>111</v>
      </c>
      <c r="E90" s="362" t="s">
        <v>24</v>
      </c>
      <c r="F90" s="589"/>
      <c r="G90" s="589"/>
      <c r="H90" s="589"/>
      <c r="I90" s="589"/>
      <c r="J90" s="589"/>
      <c r="K90" s="584" t="s">
        <v>88</v>
      </c>
      <c r="L90" s="586" t="str">
        <f>IFERROR(IFERROR(VLOOKUP($D90,$Z$8:$AD$9,2,FALSE),0)/IF($D90="Inhalation",IF($K90="Central Tendency",SUMIFS('Inhalation Exposure'!$L$4:$L$60,'Inhalation Exposure'!$B$4:$B$60,$B90,'Inhalation Exposure'!$D$4:$D$60,$C90,'Inhalation Exposure'!$E$4:$E$60,$E90),SUMIFS('Inhalation Exposure'!$K$4:$K$60,'Inhalation Exposure'!$B$4:$B$60,$B90,'Inhalation Exposure'!$D$4:$D$60,$C90,'Inhalation Exposure'!$E$4:$E$60,$E90)),IF($K90="Central Tendency",SUMIFS('Dermal Crosswalk'!$P$5:$P$32,'Dermal Crosswalk'!$A$5:$A$32,'Bridge Table'!$B90,'Dermal Crosswalk'!$C$5:$C$32,'Bridge Table'!$E90),SUMIFS('Dermal Crosswalk'!$K$5:$K$32,'Dermal Crosswalk'!$A$5:$A$32,'Bridge Table'!$B90,'Dermal Crosswalk'!$C$5:$C$32,'Bridge Table'!$E90))),"--")</f>
        <v>--</v>
      </c>
      <c r="M90" s="586" t="str">
        <f>IFERROR(IFERROR(VLOOKUP($D90,$Z$8:$AD$9,3,FALSE),0)/IF($D90="Inhalation",IF($K90="Central Tendency",SUMIFS('Inhalation Exposure'!$AB$4:$AB$60,'Inhalation Exposure'!$B$4:$B$60,$B90,'Inhalation Exposure'!$D$4:$D$60,$C90,'Inhalation Exposure'!$E$4:$E$60,$E90),SUMIFS('Inhalation Exposure'!$AA$4:$AA$60,'Inhalation Exposure'!$B$4:$B$60,$B90,'Inhalation Exposure'!$D$4:$D$60,$C90,'Inhalation Exposure'!$E$4:$E$60,$E90)),IF($K90="Central Tendency",SUMIFS('Dermal Crosswalk'!$S$5:$S$32,'Dermal Crosswalk'!$A$5:$A$32,'Bridge Table'!$B90,'Dermal Crosswalk'!$C$5:$C$32,'Bridge Table'!$E90),SUMIFS('Dermal Crosswalk'!$N$5:$N$32,'Dermal Crosswalk'!$A$5:$A$32,'Bridge Table'!$B90,'Dermal Crosswalk'!$C$5:$C$32,'Bridge Table'!$E90))),"--")</f>
        <v>--</v>
      </c>
      <c r="N90" s="586" t="str">
        <f>IFERROR(IFERROR(VLOOKUP($D90,$Z$8:$AD$9,4,FALSE),0)/IF($D90="Inhalation",IF($K90="Central Tendency",SUMIFS('Inhalation Exposure'!$R$4:$R$60,'Inhalation Exposure'!$B$4:$B$60,$B90,'Inhalation Exposure'!$D$4:$D$60,$C90,'Inhalation Exposure'!$E$4:$E$60,$E90),SUMIFS('Inhalation Exposure'!$Q$4:$Q$60,'Inhalation Exposure'!$B$4:$B$60,$B90,'Inhalation Exposure'!$D$4:$D$60,$C90,'Inhalation Exposure'!$E$4:$E$60,$E90)),IF($K90="Central Tendency",SUMIFS('Dermal Crosswalk'!$Q$5:$Q$32,'Dermal Crosswalk'!$A$5:$A$32,'Bridge Table'!$B90,'Dermal Crosswalk'!$C$5:$C$32,'Bridge Table'!$E90),SUMIFS('Dermal Crosswalk'!$L$5:$L$32,'Dermal Crosswalk'!$A$5:$A$32,'Bridge Table'!$B90,'Dermal Crosswalk'!$C$5:$C$32,'Bridge Table'!$E90))),"--")</f>
        <v>--</v>
      </c>
      <c r="O90" s="586" t="str">
        <f>IF(IFERROR(VLOOKUP($D90,$Z$8:$AD$9,5,FALSE),0)*IF($D90="Inhalation",IF($K90="Central Tendency",SUMIFS('Inhalation Exposure'!$V$4:$V$60,'Inhalation Exposure'!$B$4:$B$60,$B90,'Inhalation Exposure'!$D$4:$D$60,$C90,'Inhalation Exposure'!$E$4:$E$60,$E90),SUMIFS('Inhalation Exposure'!$U$4:$U$60,'Inhalation Exposure'!$B$4:$B$60,$B90,'Inhalation Exposure'!$D$4:$D$60,$C90,'Inhalation Exposure'!$E$4:$E$60,$E90)),IF($K90="Central Tendency",SUMIFS('Dermal Crosswalk'!$R$5:$R$32,'Dermal Crosswalk'!$A$5:$A$32,'Bridge Table'!$B90,'Dermal Crosswalk'!$C$5:$C$32,'Bridge Table'!$E90),SUMIFS('Dermal Crosswalk'!$M$5:$M$32,'Dermal Crosswalk'!$A$5:$A$32,'Bridge Table'!$B90,'Dermal Crosswalk'!$C$5:$C$32,'Bridge Table'!$E90)))=0,"--",IFERROR(VLOOKUP($D90,$Z$8:$AD$9,5,FALSE),0)*IF($D90="Inhalation",IF($K90="Central Tendency",SUMIFS('Inhalation Exposure'!$V$4:$V$60,'Inhalation Exposure'!$B$4:$B$60,$B90,'Inhalation Exposure'!$D$4:$D$60,$C90,'Inhalation Exposure'!$E$4:$E$60,$E90),SUMIFS('Inhalation Exposure'!$U$4:$U$60,'Inhalation Exposure'!$B$4:$B$60,$B90,'Inhalation Exposure'!$D$4:$D$60,$C90,'Inhalation Exposure'!$E$4:$E$60,$E90)),IF($K90="Central Tendency",SUMIFS('Dermal Crosswalk'!$R$5:$R$32,'Dermal Crosswalk'!$A$5:$A$32,'Bridge Table'!$B90,'Dermal Crosswalk'!$C$5:$C$32,'Bridge Table'!$E90),SUMIFS('Dermal Crosswalk'!$M$5:$M$32,'Dermal Crosswalk'!$A$5:$A$32,'Bridge Table'!$B90,'Dermal Crosswalk'!$C$5:$C$32,'Bridge Table'!$E90))))</f>
        <v>--</v>
      </c>
      <c r="P90" s="610" t="s">
        <v>118</v>
      </c>
      <c r="Q90" s="610" t="s">
        <v>118</v>
      </c>
      <c r="R90" s="610" t="s">
        <v>118</v>
      </c>
      <c r="S90" s="610" t="s">
        <v>118</v>
      </c>
      <c r="U90" s="612" t="s">
        <v>118</v>
      </c>
      <c r="V90" s="614" t="s">
        <v>118</v>
      </c>
      <c r="W90" s="614" t="s">
        <v>118</v>
      </c>
      <c r="X90" s="616" t="s">
        <v>118</v>
      </c>
    </row>
    <row r="91" spans="1:24" ht="15" thickBot="1" x14ac:dyDescent="0.35">
      <c r="A91" s="372"/>
      <c r="B91" s="360">
        <v>3</v>
      </c>
      <c r="C91" s="361" t="s">
        <v>53</v>
      </c>
      <c r="D91" s="361" t="s">
        <v>111</v>
      </c>
      <c r="E91" s="362" t="s">
        <v>24</v>
      </c>
      <c r="F91" s="589"/>
      <c r="G91" s="589"/>
      <c r="H91" s="589"/>
      <c r="I91" s="590"/>
      <c r="J91" s="590"/>
      <c r="K91" s="588"/>
      <c r="L91" s="587"/>
      <c r="M91" s="587"/>
      <c r="N91" s="587"/>
      <c r="O91" s="587"/>
      <c r="P91" s="611"/>
      <c r="Q91" s="611"/>
      <c r="R91" s="611"/>
      <c r="S91" s="611"/>
      <c r="U91" s="613"/>
      <c r="V91" s="615"/>
      <c r="W91" s="615"/>
      <c r="X91" s="617"/>
    </row>
    <row r="92" spans="1:24" ht="15" customHeight="1" thickBot="1" x14ac:dyDescent="0.35">
      <c r="A92" s="372"/>
      <c r="B92" s="360">
        <v>3</v>
      </c>
      <c r="C92" s="361" t="s">
        <v>53</v>
      </c>
      <c r="D92" s="361" t="s">
        <v>111</v>
      </c>
      <c r="E92" s="362" t="s">
        <v>117</v>
      </c>
      <c r="F92" s="589"/>
      <c r="G92" s="589"/>
      <c r="H92" s="589"/>
      <c r="I92" s="589" t="s">
        <v>53</v>
      </c>
      <c r="J92" s="586" t="s">
        <v>115</v>
      </c>
      <c r="K92" s="584" t="s">
        <v>54</v>
      </c>
      <c r="L92" s="586" t="str">
        <f>IFERROR(IFERROR(VLOOKUP($D92,$Z$8:$AD$9,2,FALSE),0)/IF($D92="Inhalation",IF($K92="Central Tendency",SUMIFS('Inhalation Exposure'!$L$4:$L$60,'Inhalation Exposure'!$B$4:$B$60,$B92,'Inhalation Exposure'!$D$4:$D$60,$C92,'Inhalation Exposure'!$E$4:$E$60,$E92),SUMIFS('Inhalation Exposure'!$K$4:$K$60,'Inhalation Exposure'!$B$4:$B$60,$B92,'Inhalation Exposure'!$D$4:$D$60,$C92,'Inhalation Exposure'!$E$4:$E$60,$E92)),IF($K92="Central Tendency",SUMIFS('Dermal Crosswalk'!$P$5:$P$32,'Dermal Crosswalk'!$A$5:$A$32,'Bridge Table'!$B92,'Dermal Crosswalk'!$C$5:$C$32,'Bridge Table'!$E92),SUMIFS('Dermal Crosswalk'!$K$5:$K$32,'Dermal Crosswalk'!$A$5:$A$32,'Bridge Table'!$B92,'Dermal Crosswalk'!$C$5:$C$32,'Bridge Table'!$E92))),"--")</f>
        <v>--</v>
      </c>
      <c r="M92" s="586" t="str">
        <f>IFERROR(IFERROR(VLOOKUP($D92,$Z$8:$AD$9,3,FALSE),0)/IF($D92="Inhalation",IF($K92="Central Tendency",SUMIFS('Inhalation Exposure'!$AB$4:$AB$60,'Inhalation Exposure'!$B$4:$B$60,$B92,'Inhalation Exposure'!$D$4:$D$60,$C92,'Inhalation Exposure'!$E$4:$E$60,$E92),SUMIFS('Inhalation Exposure'!$AA$4:$AA$60,'Inhalation Exposure'!$B$4:$B$60,$B92,'Inhalation Exposure'!$D$4:$D$60,$C92,'Inhalation Exposure'!$E$4:$E$60,$E92)),IF($K92="Central Tendency",SUMIFS('Dermal Crosswalk'!$S$5:$S$32,'Dermal Crosswalk'!$A$5:$A$32,'Bridge Table'!$B92,'Dermal Crosswalk'!$C$5:$C$32,'Bridge Table'!$E92),SUMIFS('Dermal Crosswalk'!$N$5:$N$32,'Dermal Crosswalk'!$A$5:$A$32,'Bridge Table'!$B92,'Dermal Crosswalk'!$C$5:$C$32,'Bridge Table'!$E92))),"--")</f>
        <v>--</v>
      </c>
      <c r="N92" s="586" t="str">
        <f>IFERROR(IFERROR(VLOOKUP($D92,$Z$8:$AD$9,4,FALSE),0)/IF($D92="Inhalation",IF($K92="Central Tendency",SUMIFS('Inhalation Exposure'!$R$4:$R$60,'Inhalation Exposure'!$B$4:$B$60,$B92,'Inhalation Exposure'!$D$4:$D$60,$C92,'Inhalation Exposure'!$E$4:$E$60,$E92),SUMIFS('Inhalation Exposure'!$Q$4:$Q$60,'Inhalation Exposure'!$B$4:$B$60,$B92,'Inhalation Exposure'!$D$4:$D$60,$C92,'Inhalation Exposure'!$E$4:$E$60,$E92)),IF($K92="Central Tendency",SUMIFS('Dermal Crosswalk'!$Q$5:$Q$32,'Dermal Crosswalk'!$A$5:$A$32,'Bridge Table'!$B92,'Dermal Crosswalk'!$C$5:$C$32,'Bridge Table'!$E92),SUMIFS('Dermal Crosswalk'!$L$5:$L$32,'Dermal Crosswalk'!$A$5:$A$32,'Bridge Table'!$B92,'Dermal Crosswalk'!$C$5:$C$32,'Bridge Table'!$E92))),"--")</f>
        <v>--</v>
      </c>
      <c r="O92" s="586" t="str">
        <f>IF(IFERROR(VLOOKUP($D92,$Z$8:$AD$9,5,FALSE),0)*IF($D92="Inhalation",IF($K92="Central Tendency",SUMIFS('Inhalation Exposure'!$V$4:$V$60,'Inhalation Exposure'!$B$4:$B$60,$B92,'Inhalation Exposure'!$D$4:$D$60,$C92,'Inhalation Exposure'!$E$4:$E$60,$E92),SUMIFS('Inhalation Exposure'!$U$4:$U$60,'Inhalation Exposure'!$B$4:$B$60,$B92,'Inhalation Exposure'!$D$4:$D$60,$C92,'Inhalation Exposure'!$E$4:$E$60,$E92)),IF($K92="Central Tendency",SUMIFS('Dermal Crosswalk'!$R$5:$R$32,'Dermal Crosswalk'!$A$5:$A$32,'Bridge Table'!$B92,'Dermal Crosswalk'!$C$5:$C$32,'Bridge Table'!$E92),SUMIFS('Dermal Crosswalk'!$M$5:$M$32,'Dermal Crosswalk'!$A$5:$A$32,'Bridge Table'!$B92,'Dermal Crosswalk'!$C$5:$C$32,'Bridge Table'!$E92)))=0,"--",IFERROR(VLOOKUP($D92,$Z$8:$AD$9,5,FALSE),0)*IF($D92="Inhalation",IF($K92="Central Tendency",SUMIFS('Inhalation Exposure'!$V$4:$V$60,'Inhalation Exposure'!$B$4:$B$60,$B92,'Inhalation Exposure'!$D$4:$D$60,$C92,'Inhalation Exposure'!$E$4:$E$60,$E92),SUMIFS('Inhalation Exposure'!$U$4:$U$60,'Inhalation Exposure'!$B$4:$B$60,$B92,'Inhalation Exposure'!$D$4:$D$60,$C92,'Inhalation Exposure'!$E$4:$E$60,$E92)),IF($K92="Central Tendency",SUMIFS('Dermal Crosswalk'!$R$5:$R$32,'Dermal Crosswalk'!$A$5:$A$32,'Bridge Table'!$B92,'Dermal Crosswalk'!$C$5:$C$32,'Bridge Table'!$E92),SUMIFS('Dermal Crosswalk'!$M$5:$M$32,'Dermal Crosswalk'!$A$5:$A$32,'Bridge Table'!$B92,'Dermal Crosswalk'!$C$5:$C$32,'Bridge Table'!$E92))))</f>
        <v>--</v>
      </c>
      <c r="P92" s="610" t="s">
        <v>118</v>
      </c>
      <c r="Q92" s="610" t="s">
        <v>118</v>
      </c>
      <c r="R92" s="610" t="s">
        <v>118</v>
      </c>
      <c r="S92" s="610" t="s">
        <v>118</v>
      </c>
      <c r="U92" s="612" t="s">
        <v>118</v>
      </c>
      <c r="V92" s="614" t="s">
        <v>118</v>
      </c>
      <c r="W92" s="614" t="s">
        <v>118</v>
      </c>
      <c r="X92" s="616" t="s">
        <v>118</v>
      </c>
    </row>
    <row r="93" spans="1:24" ht="15" thickBot="1" x14ac:dyDescent="0.35">
      <c r="A93" s="372"/>
      <c r="B93" s="360">
        <v>3</v>
      </c>
      <c r="C93" s="361" t="s">
        <v>53</v>
      </c>
      <c r="D93" s="361" t="s">
        <v>111</v>
      </c>
      <c r="E93" s="362" t="s">
        <v>117</v>
      </c>
      <c r="F93" s="589"/>
      <c r="G93" s="589"/>
      <c r="H93" s="589"/>
      <c r="I93" s="589"/>
      <c r="J93" s="589"/>
      <c r="K93" s="585"/>
      <c r="L93" s="587"/>
      <c r="M93" s="587"/>
      <c r="N93" s="587"/>
      <c r="O93" s="587"/>
      <c r="P93" s="611"/>
      <c r="Q93" s="611"/>
      <c r="R93" s="611"/>
      <c r="S93" s="611"/>
      <c r="U93" s="613"/>
      <c r="V93" s="615"/>
      <c r="W93" s="615"/>
      <c r="X93" s="617"/>
    </row>
    <row r="94" spans="1:24" ht="15" thickBot="1" x14ac:dyDescent="0.35">
      <c r="A94" s="372"/>
      <c r="B94" s="360">
        <v>3</v>
      </c>
      <c r="C94" s="361" t="s">
        <v>53</v>
      </c>
      <c r="D94" s="361" t="s">
        <v>111</v>
      </c>
      <c r="E94" s="362" t="s">
        <v>117</v>
      </c>
      <c r="F94" s="589"/>
      <c r="G94" s="589"/>
      <c r="H94" s="589"/>
      <c r="I94" s="589"/>
      <c r="J94" s="589"/>
      <c r="K94" s="584" t="s">
        <v>88</v>
      </c>
      <c r="L94" s="586" t="str">
        <f>IFERROR(IFERROR(VLOOKUP($D94,$Z$8:$AD$9,2,FALSE),0)/IF($D94="Inhalation",IF($K94="Central Tendency",SUMIFS('Inhalation Exposure'!$L$4:$L$60,'Inhalation Exposure'!$B$4:$B$60,$B94,'Inhalation Exposure'!$D$4:$D$60,$C94,'Inhalation Exposure'!$E$4:$E$60,$E94),SUMIFS('Inhalation Exposure'!$K$4:$K$60,'Inhalation Exposure'!$B$4:$B$60,$B94,'Inhalation Exposure'!$D$4:$D$60,$C94,'Inhalation Exposure'!$E$4:$E$60,$E94)),IF($K94="Central Tendency",SUMIFS('Dermal Crosswalk'!$P$5:$P$32,'Dermal Crosswalk'!$A$5:$A$32,'Bridge Table'!$B94,'Dermal Crosswalk'!$C$5:$C$32,'Bridge Table'!$E94),SUMIFS('Dermal Crosswalk'!$K$5:$K$32,'Dermal Crosswalk'!$A$5:$A$32,'Bridge Table'!$B94,'Dermal Crosswalk'!$C$5:$C$32,'Bridge Table'!$E94))),"--")</f>
        <v>--</v>
      </c>
      <c r="M94" s="586" t="str">
        <f>IFERROR(IFERROR(VLOOKUP($D94,$Z$8:$AD$9,3,FALSE),0)/IF($D94="Inhalation",IF($K94="Central Tendency",SUMIFS('Inhalation Exposure'!$AB$4:$AB$60,'Inhalation Exposure'!$B$4:$B$60,$B94,'Inhalation Exposure'!$D$4:$D$60,$C94,'Inhalation Exposure'!$E$4:$E$60,$E94),SUMIFS('Inhalation Exposure'!$AA$4:$AA$60,'Inhalation Exposure'!$B$4:$B$60,$B94,'Inhalation Exposure'!$D$4:$D$60,$C94,'Inhalation Exposure'!$E$4:$E$60,$E94)),IF($K94="Central Tendency",SUMIFS('Dermal Crosswalk'!$S$5:$S$32,'Dermal Crosswalk'!$A$5:$A$32,'Bridge Table'!$B94,'Dermal Crosswalk'!$C$5:$C$32,'Bridge Table'!$E94),SUMIFS('Dermal Crosswalk'!$N$5:$N$32,'Dermal Crosswalk'!$A$5:$A$32,'Bridge Table'!$B94,'Dermal Crosswalk'!$C$5:$C$32,'Bridge Table'!$E94))),"--")</f>
        <v>--</v>
      </c>
      <c r="N94" s="586" t="str">
        <f>IFERROR(IFERROR(VLOOKUP($D94,$Z$8:$AD$9,4,FALSE),0)/IF($D94="Inhalation",IF($K94="Central Tendency",SUMIFS('Inhalation Exposure'!$R$4:$R$60,'Inhalation Exposure'!$B$4:$B$60,$B94,'Inhalation Exposure'!$D$4:$D$60,$C94,'Inhalation Exposure'!$E$4:$E$60,$E94),SUMIFS('Inhalation Exposure'!$Q$4:$Q$60,'Inhalation Exposure'!$B$4:$B$60,$B94,'Inhalation Exposure'!$D$4:$D$60,$C94,'Inhalation Exposure'!$E$4:$E$60,$E94)),IF($K94="Central Tendency",SUMIFS('Dermal Crosswalk'!$Q$5:$Q$32,'Dermal Crosswalk'!$A$5:$A$32,'Bridge Table'!$B94,'Dermal Crosswalk'!$C$5:$C$32,'Bridge Table'!$E94),SUMIFS('Dermal Crosswalk'!$L$5:$L$32,'Dermal Crosswalk'!$A$5:$A$32,'Bridge Table'!$B94,'Dermal Crosswalk'!$C$5:$C$32,'Bridge Table'!$E94))),"--")</f>
        <v>--</v>
      </c>
      <c r="O94" s="586" t="str">
        <f>IF(IFERROR(VLOOKUP($D94,$Z$8:$AD$9,5,FALSE),0)*IF($D94="Inhalation",IF($K94="Central Tendency",SUMIFS('Inhalation Exposure'!$V$4:$V$60,'Inhalation Exposure'!$B$4:$B$60,$B94,'Inhalation Exposure'!$D$4:$D$60,$C94,'Inhalation Exposure'!$E$4:$E$60,$E94),SUMIFS('Inhalation Exposure'!$U$4:$U$60,'Inhalation Exposure'!$B$4:$B$60,$B94,'Inhalation Exposure'!$D$4:$D$60,$C94,'Inhalation Exposure'!$E$4:$E$60,$E94)),IF($K94="Central Tendency",SUMIFS('Dermal Crosswalk'!$R$5:$R$32,'Dermal Crosswalk'!$A$5:$A$32,'Bridge Table'!$B94,'Dermal Crosswalk'!$C$5:$C$32,'Bridge Table'!$E94),SUMIFS('Dermal Crosswalk'!$M$5:$M$32,'Dermal Crosswalk'!$A$5:$A$32,'Bridge Table'!$B94,'Dermal Crosswalk'!$C$5:$C$32,'Bridge Table'!$E94)))=0,"--",IFERROR(VLOOKUP($D94,$Z$8:$AD$9,5,FALSE),0)*IF($D94="Inhalation",IF($K94="Central Tendency",SUMIFS('Inhalation Exposure'!$V$4:$V$60,'Inhalation Exposure'!$B$4:$B$60,$B94,'Inhalation Exposure'!$D$4:$D$60,$C94,'Inhalation Exposure'!$E$4:$E$60,$E94),SUMIFS('Inhalation Exposure'!$U$4:$U$60,'Inhalation Exposure'!$B$4:$B$60,$B94,'Inhalation Exposure'!$D$4:$D$60,$C94,'Inhalation Exposure'!$E$4:$E$60,$E94)),IF($K94="Central Tendency",SUMIFS('Dermal Crosswalk'!$R$5:$R$32,'Dermal Crosswalk'!$A$5:$A$32,'Bridge Table'!$B94,'Dermal Crosswalk'!$C$5:$C$32,'Bridge Table'!$E94),SUMIFS('Dermal Crosswalk'!$M$5:$M$32,'Dermal Crosswalk'!$A$5:$A$32,'Bridge Table'!$B94,'Dermal Crosswalk'!$C$5:$C$32,'Bridge Table'!$E94))))</f>
        <v>--</v>
      </c>
      <c r="P94" s="610" t="s">
        <v>118</v>
      </c>
      <c r="Q94" s="610" t="s">
        <v>118</v>
      </c>
      <c r="R94" s="610" t="s">
        <v>118</v>
      </c>
      <c r="S94" s="610" t="s">
        <v>118</v>
      </c>
      <c r="U94" s="612" t="s">
        <v>118</v>
      </c>
      <c r="V94" s="614" t="s">
        <v>118</v>
      </c>
      <c r="W94" s="614" t="s">
        <v>118</v>
      </c>
      <c r="X94" s="616" t="s">
        <v>118</v>
      </c>
    </row>
    <row r="95" spans="1:24" ht="15" thickBot="1" x14ac:dyDescent="0.35">
      <c r="A95" s="372"/>
      <c r="B95" s="360">
        <v>3</v>
      </c>
      <c r="C95" s="361" t="s">
        <v>53</v>
      </c>
      <c r="D95" s="361" t="s">
        <v>111</v>
      </c>
      <c r="E95" s="362" t="s">
        <v>117</v>
      </c>
      <c r="F95" s="589"/>
      <c r="G95" s="589"/>
      <c r="H95" s="589"/>
      <c r="I95" s="590"/>
      <c r="J95" s="590"/>
      <c r="K95" s="588"/>
      <c r="L95" s="587"/>
      <c r="M95" s="587"/>
      <c r="N95" s="587"/>
      <c r="O95" s="587"/>
      <c r="P95" s="611"/>
      <c r="Q95" s="611"/>
      <c r="R95" s="611"/>
      <c r="S95" s="611"/>
      <c r="U95" s="613"/>
      <c r="V95" s="615"/>
      <c r="W95" s="615"/>
      <c r="X95" s="617"/>
    </row>
    <row r="96" spans="1:24" ht="15" customHeight="1" thickTop="1" thickBot="1" x14ac:dyDescent="0.35">
      <c r="A96" s="372"/>
      <c r="B96" s="360">
        <v>3</v>
      </c>
      <c r="C96" s="361" t="s">
        <v>25</v>
      </c>
      <c r="D96" s="361" t="s">
        <v>16</v>
      </c>
      <c r="E96" s="362" t="s">
        <v>24</v>
      </c>
      <c r="F96" s="589"/>
      <c r="G96" s="589"/>
      <c r="H96" s="589"/>
      <c r="I96" s="589" t="s">
        <v>25</v>
      </c>
      <c r="J96" s="609" t="s">
        <v>16</v>
      </c>
      <c r="K96" s="607" t="s">
        <v>54</v>
      </c>
      <c r="L96" s="586">
        <f>IFERROR(IFERROR(VLOOKUP($D96,$Z$8:$AD$9,2,FALSE),0)/IF($D96="Inhalation",IF($K96="Central Tendency",SUMIFS('Inhalation Exposure'!$N$4:$N$61,'Inhalation Exposure'!$B$4:$B$61,$B96,'Inhalation Exposure'!$D$4:$D$61,$C96,'Inhalation Exposure'!$E$4:$E$61,$E96),SUMIFS('Inhalation Exposure'!$M$4:$M$61,'Inhalation Exposure'!$B$4:$B$61,$B96,'Inhalation Exposure'!$D$4:$D$61,$C96,'Inhalation Exposure'!$E$4:$E$61,$E96)),IF($K96="Central Tendency",SUMIFS('Dermal Crosswalk'!$P$5:$P$32,'Dermal Crosswalk'!$A$5:$A$32,'Bridge Table'!$B96,'Dermal Crosswalk'!$C$5:$C$32,'Bridge Table'!$E96),SUMIFS('Dermal Crosswalk'!$K$5:$K$32,'Dermal Crosswalk'!$A$5:$A$32,'Bridge Table'!$B96,'Dermal Crosswalk'!$C$5:$C$32,'Bridge Table'!$E96))),"--")</f>
        <v>4.3365402797435211</v>
      </c>
      <c r="M96" s="586">
        <f>IFERROR(IFERROR(VLOOKUP($D96,$Z$8:$AD$9,3,FALSE),0)/IF($D96="Inhalation",IF($K96="Central Tendency",SUMIFS('Inhalation Exposure'!$AB$4:$AB$61,'Inhalation Exposure'!$B$4:$B$61,$B96,'Inhalation Exposure'!$D$4:$D$61,$C96,'Inhalation Exposure'!$E$4:$E$61,$E96),SUMIFS('Inhalation Exposure'!$AA$4:$AA$61,'Inhalation Exposure'!$B$4:$B$61,$B96,'Inhalation Exposure'!$D$4:$D$61,$C96,'Inhalation Exposure'!$E$4:$E$61,$E96)),IF($K96="Central Tendency",SUMIFS('Dermal Crosswalk'!$S$5:$S$32,'Dermal Crosswalk'!$A$5:$A$32,'Bridge Table'!$B96,'Dermal Crosswalk'!$C$5:$C$32,'Bridge Table'!$E96),SUMIFS('Dermal Crosswalk'!$N$5:$N$32,'Dermal Crosswalk'!$A$5:$A$32,'Bridge Table'!$B96,'Dermal Crosswalk'!$C$5:$C$32,'Bridge Table'!$E96))),"--")</f>
        <v>37.543620392282705</v>
      </c>
      <c r="N96" s="586">
        <f>IFERROR(IFERROR(VLOOKUP($D96,$Z$8:$AD$9,4,FALSE),0)/IF($D96="Inhalation",IF($K96="Central Tendency",SUMIFS('Inhalation Exposure'!$R$4:$R$61,'Inhalation Exposure'!$B$4:$B$61,$B96,'Inhalation Exposure'!$D$4:$D$61,$C96,'Inhalation Exposure'!$E$4:$E$61,$E96),SUMIFS('Inhalation Exposure'!$Q$4:$Q$61,'Inhalation Exposure'!$B$4:$B$61,$B96,'Inhalation Exposure'!$D$4:$D$61,$C96,'Inhalation Exposure'!$E$4:$E$61,$E96)),IF($K96="Central Tendency",SUMIFS('Dermal Crosswalk'!$Q$5:$Q$32,'Dermal Crosswalk'!$A$5:$A$32,'Bridge Table'!$B96,'Dermal Crosswalk'!$C$5:$C$32,'Bridge Table'!$E96),SUMIFS('Dermal Crosswalk'!$L$5:$L$32,'Dermal Crosswalk'!$A$5:$A$32,'Bridge Table'!$B96,'Dermal Crosswalk'!$C$5:$C$32,'Bridge Table'!$E96))),"--")</f>
        <v>456.78071477277285</v>
      </c>
      <c r="O96" s="586">
        <f>IFERROR(IFERROR(VLOOKUP($D96,$Z$8:$AD$9,5,FALSE),0)*IF($D96="Inhalation",IF($K96="Central Tendency",SUMIFS('Inhalation Exposure'!$V$4:$V$61,'Inhalation Exposure'!$B$4:$B$61,$B96,'Inhalation Exposure'!$D$4:$D$61,$C96,'Inhalation Exposure'!$E$4:$E$61,$E96),SUMIFS('Inhalation Exposure'!$U$4:$U$61,'Inhalation Exposure'!$B$4:$B$61,$B96,'Inhalation Exposure'!$D$4:$D$61,$C96,'Inhalation Exposure'!$E$4:$E$61,$E96)),IF($K96="Central Tendency",SUMIFS('Dermal Crosswalk'!$R$5:$R$32,'Dermal Crosswalk'!$A$5:$A$32,'Bridge Table'!$B96,'Dermal Crosswalk'!$C$5:$C$32,'Bridge Table'!$E96),SUMIFS('Dermal Crosswalk'!$M$5:$M$32,'Dermal Crosswalk'!$A$5:$A$32,'Bridge Table'!$B96,'Dermal Crosswalk'!$C$5:$C$32,'Bridge Table'!$E96))),"--")</f>
        <v>5.8195320293291185E-5</v>
      </c>
      <c r="P96" s="382">
        <f>L96*U96</f>
        <v>21.682701398717604</v>
      </c>
      <c r="Q96" s="382">
        <f t="shared" ref="Q96" si="23">M96*V96</f>
        <v>187.71810196141354</v>
      </c>
      <c r="R96" s="382">
        <f t="shared" ref="R96" si="24">N96*W96</f>
        <v>2283.903573863864</v>
      </c>
      <c r="S96" s="383">
        <f>O96/X96</f>
        <v>1.1639064058658238E-5</v>
      </c>
      <c r="U96" s="378">
        <v>5</v>
      </c>
      <c r="V96" s="379">
        <v>5</v>
      </c>
      <c r="W96" s="379">
        <v>5</v>
      </c>
      <c r="X96" s="380">
        <v>5</v>
      </c>
    </row>
    <row r="97" spans="1:24" ht="15" thickBot="1" x14ac:dyDescent="0.35">
      <c r="A97" s="372"/>
      <c r="B97" s="360">
        <v>3</v>
      </c>
      <c r="C97" s="361" t="s">
        <v>25</v>
      </c>
      <c r="D97" s="361" t="s">
        <v>16</v>
      </c>
      <c r="E97" s="362" t="s">
        <v>24</v>
      </c>
      <c r="F97" s="589"/>
      <c r="G97" s="589"/>
      <c r="H97" s="589"/>
      <c r="I97" s="589"/>
      <c r="J97" s="589"/>
      <c r="K97" s="608"/>
      <c r="L97" s="587"/>
      <c r="M97" s="587"/>
      <c r="N97" s="587"/>
      <c r="O97" s="587"/>
      <c r="P97" s="373" t="str">
        <f>CONCATENATE("(PF ",U96,")")</f>
        <v>(PF 5)</v>
      </c>
      <c r="Q97" s="373" t="str">
        <f>CONCATENATE("(PF ",V96,")")</f>
        <v>(PF 5)</v>
      </c>
      <c r="R97" s="373" t="str">
        <f>CONCATENATE("(PF ",W96,")")</f>
        <v>(PF 5)</v>
      </c>
      <c r="S97" s="373" t="str">
        <f>CONCATENATE("(PF ",X96,")")</f>
        <v>(PF 5)</v>
      </c>
      <c r="U97" s="374" t="s">
        <v>119</v>
      </c>
      <c r="V97" s="375" t="s">
        <v>119</v>
      </c>
      <c r="W97" s="375" t="s">
        <v>119</v>
      </c>
      <c r="X97" s="376" t="s">
        <v>119</v>
      </c>
    </row>
    <row r="98" spans="1:24" ht="15" thickBot="1" x14ac:dyDescent="0.35">
      <c r="A98" s="372"/>
      <c r="B98" s="360">
        <v>3</v>
      </c>
      <c r="C98" s="361" t="s">
        <v>25</v>
      </c>
      <c r="D98" s="361" t="s">
        <v>16</v>
      </c>
      <c r="E98" s="362" t="s">
        <v>24</v>
      </c>
      <c r="F98" s="589"/>
      <c r="G98" s="589"/>
      <c r="H98" s="589"/>
      <c r="I98" s="589"/>
      <c r="J98" s="589"/>
      <c r="K98" s="584" t="s">
        <v>88</v>
      </c>
      <c r="L98" s="586">
        <f>IFERROR(IFERROR(VLOOKUP($D98,$Z$8:$AD$9,2,FALSE),0)/IF($D98="Inhalation",IF($K98="Central Tendency",SUMIFS('Inhalation Exposure'!$N$4:$N$61,'Inhalation Exposure'!$B$4:$B$61,$B98,'Inhalation Exposure'!$D$4:$D$61,$C98,'Inhalation Exposure'!$E$4:$E$61,$E98),SUMIFS('Inhalation Exposure'!$M$4:$M$61,'Inhalation Exposure'!$B$4:$B$61,$B98,'Inhalation Exposure'!$D$4:$D$61,$C98,'Inhalation Exposure'!$E$4:$E$61,$E98)),IF($K98="Central Tendency",SUMIFS('Dermal Crosswalk'!$P$5:$P$32,'Dermal Crosswalk'!$A$5:$A$32,'Bridge Table'!$B98,'Dermal Crosswalk'!$C$5:$C$32,'Bridge Table'!$E98),SUMIFS('Dermal Crosswalk'!$K$5:$K$32,'Dermal Crosswalk'!$A$5:$A$32,'Bridge Table'!$B98,'Dermal Crosswalk'!$C$5:$C$32,'Bridge Table'!$E98))),"--")</f>
        <v>1.4455134265811735</v>
      </c>
      <c r="M98" s="586">
        <f>IFERROR(IFERROR(VLOOKUP($D98,$Z$8:$AD$9,3,FALSE),0)/IF($D98="Inhalation",IF($K98="Central Tendency",SUMIFS('Inhalation Exposure'!$AB$4:$AB$61,'Inhalation Exposure'!$B$4:$B$61,$B98,'Inhalation Exposure'!$D$4:$D$61,$C98,'Inhalation Exposure'!$E$4:$E$61,$E98),SUMIFS('Inhalation Exposure'!$AA$4:$AA$61,'Inhalation Exposure'!$B$4:$B$61,$B98,'Inhalation Exposure'!$D$4:$D$61,$C98,'Inhalation Exposure'!$E$4:$E$61,$E98)),IF($K98="Central Tendency",SUMIFS('Dermal Crosswalk'!$S$5:$S$32,'Dermal Crosswalk'!$A$5:$A$32,'Bridge Table'!$B98,'Dermal Crosswalk'!$C$5:$C$32,'Bridge Table'!$E98),SUMIFS('Dermal Crosswalk'!$N$5:$N$32,'Dermal Crosswalk'!$A$5:$A$32,'Bridge Table'!$B98,'Dermal Crosswalk'!$C$5:$C$32,'Bridge Table'!$E98))),"--")</f>
        <v>2.0857566884601493</v>
      </c>
      <c r="N98" s="586">
        <f>IFERROR(IFERROR(VLOOKUP($D98,$Z$8:$AD$9,4,FALSE),0)/IF($D98="Inhalation",IF($K98="Central Tendency",SUMIFS('Inhalation Exposure'!$R$4:$R$61,'Inhalation Exposure'!$B$4:$B$61,$B98,'Inhalation Exposure'!$D$4:$D$61,$C98,'Inhalation Exposure'!$E$4:$E$61,$E98),SUMIFS('Inhalation Exposure'!$Q$4:$Q$61,'Inhalation Exposure'!$B$4:$B$61,$B98,'Inhalation Exposure'!$D$4:$D$61,$C98,'Inhalation Exposure'!$E$4:$E$61,$E98)),IF($K98="Central Tendency",SUMIFS('Dermal Crosswalk'!$Q$5:$Q$32,'Dermal Crosswalk'!$A$5:$A$32,'Bridge Table'!$B98,'Dermal Crosswalk'!$C$5:$C$32,'Bridge Table'!$E98),SUMIFS('Dermal Crosswalk'!$L$5:$L$32,'Dermal Crosswalk'!$A$5:$A$32,'Bridge Table'!$B98,'Dermal Crosswalk'!$C$5:$C$32,'Bridge Table'!$E98))),"--")</f>
        <v>25.376706376265155</v>
      </c>
      <c r="O98" s="586">
        <f>IFERROR(IFERROR(VLOOKUP($D98,$Z$8:$AD$9,5,FALSE),0)*IF($D98="Inhalation",IF($K98="Central Tendency",SUMIFS('Inhalation Exposure'!$V$4:$V$61,'Inhalation Exposure'!$B$4:$B$61,$B98,'Inhalation Exposure'!$D$4:$D$61,$C98,'Inhalation Exposure'!$E$4:$E$61,$E98),SUMIFS('Inhalation Exposure'!$U$4:$U$61,'Inhalation Exposure'!$B$4:$B$61,$B98,'Inhalation Exposure'!$D$4:$D$61,$C98,'Inhalation Exposure'!$E$4:$E$61,$E98)),IF($K98="Central Tendency",SUMIFS('Dermal Crosswalk'!$R$5:$R$32,'Dermal Crosswalk'!$A$5:$A$32,'Bridge Table'!$B98,'Dermal Crosswalk'!$C$5:$C$32,'Bridge Table'!$E98),SUMIFS('Dermal Crosswalk'!$M$5:$M$32,'Dermal Crosswalk'!$A$5:$A$32,'Bridge Table'!$B98,'Dermal Crosswalk'!$C$5:$C$32,'Bridge Table'!$E98))),"--")</f>
        <v>1.3516332455216021E-3</v>
      </c>
      <c r="P98" s="382">
        <f>L98*U98</f>
        <v>7.2275671329058682</v>
      </c>
      <c r="Q98" s="382">
        <f t="shared" ref="Q98" si="25">M98*V98</f>
        <v>10.428783442300746</v>
      </c>
      <c r="R98" s="382">
        <f t="shared" ref="R98" si="26">N98*W98</f>
        <v>126.88353188132578</v>
      </c>
      <c r="S98" s="383">
        <f>O98/X98</f>
        <v>2.7032664910432041E-4</v>
      </c>
      <c r="U98" s="378">
        <v>5</v>
      </c>
      <c r="V98" s="379">
        <v>5</v>
      </c>
      <c r="W98" s="379">
        <v>5</v>
      </c>
      <c r="X98" s="380">
        <v>5</v>
      </c>
    </row>
    <row r="99" spans="1:24" ht="15" thickBot="1" x14ac:dyDescent="0.35">
      <c r="A99" s="372"/>
      <c r="B99" s="360">
        <v>3</v>
      </c>
      <c r="C99" s="361" t="s">
        <v>25</v>
      </c>
      <c r="D99" s="361" t="s">
        <v>16</v>
      </c>
      <c r="E99" s="362" t="s">
        <v>24</v>
      </c>
      <c r="F99" s="589"/>
      <c r="G99" s="589"/>
      <c r="H99" s="589"/>
      <c r="I99" s="590"/>
      <c r="J99" s="590"/>
      <c r="K99" s="588"/>
      <c r="L99" s="587"/>
      <c r="M99" s="587"/>
      <c r="N99" s="587"/>
      <c r="O99" s="587"/>
      <c r="P99" s="373" t="str">
        <f>CONCATENATE("(PF ",U98,")")</f>
        <v>(PF 5)</v>
      </c>
      <c r="Q99" s="373" t="str">
        <f>CONCATENATE("(PF ",V98,")")</f>
        <v>(PF 5)</v>
      </c>
      <c r="R99" s="373" t="str">
        <f>CONCATENATE("(PF ",W98,")")</f>
        <v>(PF 5)</v>
      </c>
      <c r="S99" s="373" t="str">
        <f>CONCATENATE("(PF ",X98,")")</f>
        <v>(PF 5)</v>
      </c>
      <c r="U99" s="374" t="s">
        <v>119</v>
      </c>
      <c r="V99" s="375" t="s">
        <v>119</v>
      </c>
      <c r="W99" s="375" t="s">
        <v>119</v>
      </c>
      <c r="X99" s="376" t="s">
        <v>119</v>
      </c>
    </row>
    <row r="100" spans="1:24" ht="15.6" customHeight="1" thickTop="1" thickBot="1" x14ac:dyDescent="0.35">
      <c r="A100" s="372"/>
      <c r="B100" s="360">
        <v>3</v>
      </c>
      <c r="C100" s="361" t="s">
        <v>25</v>
      </c>
      <c r="D100" s="361" t="s">
        <v>16</v>
      </c>
      <c r="E100" s="362" t="s">
        <v>117</v>
      </c>
      <c r="F100" s="589"/>
      <c r="G100" s="589"/>
      <c r="H100" s="589"/>
      <c r="I100" s="609" t="s">
        <v>25</v>
      </c>
      <c r="J100" s="609" t="s">
        <v>16</v>
      </c>
      <c r="K100" s="607" t="s">
        <v>54</v>
      </c>
      <c r="L100" s="586">
        <f>IFERROR(IFERROR(VLOOKUP($D100,$Z$8:$AD$9,2,FALSE),0)/IF($D100="Inhalation",IF($K100="Central Tendency",SUMIFS('Inhalation Exposure'!$N$4:$N$61,'Inhalation Exposure'!$B$4:$B$61,$B100,'Inhalation Exposure'!$D$4:$D$61,$C100,'Inhalation Exposure'!$E$4:$E$61,$E100),SUMIFS('Inhalation Exposure'!$M$4:$M$61,'Inhalation Exposure'!$B$4:$B$61,$B100,'Inhalation Exposure'!$D$4:$D$61,$C100,'Inhalation Exposure'!$E$4:$E$61,$E100)),IF($K100="Central Tendency",SUMIFS('Dermal Crosswalk'!$P$5:$P$32,'Dermal Crosswalk'!$A$5:$A$32,'Bridge Table'!$B100,'Dermal Crosswalk'!$C$5:$C$32,'Bridge Table'!$E100),SUMIFS('Dermal Crosswalk'!$K$5:$K$32,'Dermal Crosswalk'!$A$5:$A$32,'Bridge Table'!$B100,'Dermal Crosswalk'!$C$5:$C$32,'Bridge Table'!$E100))),"--")</f>
        <v>4.3365402797435211</v>
      </c>
      <c r="M100" s="586">
        <f>IFERROR(IFERROR(VLOOKUP($D100,$Z$8:$AD$9,3,FALSE),0)/IF($D100="Inhalation",IF($K100="Central Tendency",SUMIFS('Inhalation Exposure'!$AB$4:$AB$61,'Inhalation Exposure'!$B$4:$B$61,$B100,'Inhalation Exposure'!$D$4:$D$61,$C100,'Inhalation Exposure'!$E$4:$E$61,$E100),SUMIFS('Inhalation Exposure'!$AA$4:$AA$61,'Inhalation Exposure'!$B$4:$B$61,$B100,'Inhalation Exposure'!$D$4:$D$61,$C100,'Inhalation Exposure'!$E$4:$E$61,$E100)),IF($K100="Central Tendency",SUMIFS('Dermal Crosswalk'!$S$5:$S$32,'Dermal Crosswalk'!$A$5:$A$32,'Bridge Table'!$B100,'Dermal Crosswalk'!$C$5:$C$32,'Bridge Table'!$E100),SUMIFS('Dermal Crosswalk'!$N$5:$N$32,'Dermal Crosswalk'!$A$5:$A$32,'Bridge Table'!$B100,'Dermal Crosswalk'!$C$5:$C$32,'Bridge Table'!$E100))),"--")</f>
        <v>6.2572700653804514</v>
      </c>
      <c r="N100" s="586">
        <f>IFERROR(IFERROR(VLOOKUP($D100,$Z$8:$AD$9,4,FALSE),0)/IF($D100="Inhalation",IF($K100="Central Tendency",SUMIFS('Inhalation Exposure'!$R$4:$R$61,'Inhalation Exposure'!$B$4:$B$61,$B100,'Inhalation Exposure'!$D$4:$D$61,$C100,'Inhalation Exposure'!$E$4:$E$61,$E100),SUMIFS('Inhalation Exposure'!$Q$4:$Q$61,'Inhalation Exposure'!$B$4:$B$61,$B100,'Inhalation Exposure'!$D$4:$D$61,$C100,'Inhalation Exposure'!$E$4:$E$61,$E100)),IF($K100="Central Tendency",SUMIFS('Dermal Crosswalk'!$Q$5:$Q$32,'Dermal Crosswalk'!$A$5:$A$32,'Bridge Table'!$B100,'Dermal Crosswalk'!$C$5:$C$32,'Bridge Table'!$E100),SUMIFS('Dermal Crosswalk'!$L$5:$L$32,'Dermal Crosswalk'!$A$5:$A$32,'Bridge Table'!$B100,'Dermal Crosswalk'!$C$5:$C$32,'Bridge Table'!$E100))),"--")</f>
        <v>76.130119128795485</v>
      </c>
      <c r="O100" s="586">
        <f>IFERROR(IFERROR(VLOOKUP($D100,$Z$8:$AD$9,5,FALSE),0)*IF($D100="Inhalation",IF($K100="Central Tendency",SUMIFS('Inhalation Exposure'!$V$4:$V$61,'Inhalation Exposure'!$B$4:$B$61,$B100,'Inhalation Exposure'!$D$4:$D$61,$C100,'Inhalation Exposure'!$E$4:$E$61,$E100),SUMIFS('Inhalation Exposure'!$U$4:$U$61,'Inhalation Exposure'!$B$4:$B$61,$B100,'Inhalation Exposure'!$D$4:$D$61,$C100,'Inhalation Exposure'!$E$4:$E$61,$E100)),IF($K100="Central Tendency",SUMIFS('Dermal Crosswalk'!$R$5:$R$32,'Dermal Crosswalk'!$A$5:$A$32,'Bridge Table'!$B100,'Dermal Crosswalk'!$C$5:$C$32,'Bridge Table'!$E100),SUMIFS('Dermal Crosswalk'!$M$5:$M$32,'Dermal Crosswalk'!$A$5:$A$32,'Bridge Table'!$B100,'Dermal Crosswalk'!$C$5:$C$32,'Bridge Table'!$E100))),"--")</f>
        <v>3.4917192175974704E-4</v>
      </c>
      <c r="P100" s="382">
        <f>L100*U100</f>
        <v>21.682701398717604</v>
      </c>
      <c r="Q100" s="382">
        <f t="shared" ref="Q100" si="27">M100*V100</f>
        <v>31.286350326902259</v>
      </c>
      <c r="R100" s="382">
        <f t="shared" ref="R100" si="28">N100*W100</f>
        <v>380.65059564397745</v>
      </c>
      <c r="S100" s="383">
        <f>O100/X100</f>
        <v>6.9834384351949406E-5</v>
      </c>
      <c r="U100" s="378">
        <v>5</v>
      </c>
      <c r="V100" s="379">
        <v>5</v>
      </c>
      <c r="W100" s="379">
        <v>5</v>
      </c>
      <c r="X100" s="380">
        <v>5</v>
      </c>
    </row>
    <row r="101" spans="1:24" ht="15" thickBot="1" x14ac:dyDescent="0.35">
      <c r="A101" s="372"/>
      <c r="B101" s="360">
        <v>3</v>
      </c>
      <c r="C101" s="361" t="s">
        <v>25</v>
      </c>
      <c r="D101" s="361" t="s">
        <v>16</v>
      </c>
      <c r="E101" s="362" t="s">
        <v>117</v>
      </c>
      <c r="F101" s="589"/>
      <c r="G101" s="589"/>
      <c r="H101" s="589"/>
      <c r="I101" s="589"/>
      <c r="J101" s="589"/>
      <c r="K101" s="608"/>
      <c r="L101" s="587"/>
      <c r="M101" s="587"/>
      <c r="N101" s="587"/>
      <c r="O101" s="587"/>
      <c r="P101" s="373" t="str">
        <f>CONCATENATE("(PF ",U100,")")</f>
        <v>(PF 5)</v>
      </c>
      <c r="Q101" s="373" t="str">
        <f>CONCATENATE("(PF ",V100,")")</f>
        <v>(PF 5)</v>
      </c>
      <c r="R101" s="373" t="str">
        <f>CONCATENATE("(PF ",W100,")")</f>
        <v>(PF 5)</v>
      </c>
      <c r="S101" s="373" t="str">
        <f>CONCATENATE("(PF ",X100,")")</f>
        <v>(PF 5)</v>
      </c>
      <c r="U101" s="374" t="s">
        <v>119</v>
      </c>
      <c r="V101" s="375" t="s">
        <v>119</v>
      </c>
      <c r="W101" s="375" t="s">
        <v>119</v>
      </c>
      <c r="X101" s="376" t="s">
        <v>119</v>
      </c>
    </row>
    <row r="102" spans="1:24" ht="15" thickBot="1" x14ac:dyDescent="0.35">
      <c r="A102" s="372"/>
      <c r="B102" s="360">
        <v>3</v>
      </c>
      <c r="C102" s="361" t="s">
        <v>25</v>
      </c>
      <c r="D102" s="361" t="s">
        <v>16</v>
      </c>
      <c r="E102" s="362" t="s">
        <v>117</v>
      </c>
      <c r="F102" s="589"/>
      <c r="G102" s="589"/>
      <c r="H102" s="589"/>
      <c r="I102" s="589"/>
      <c r="J102" s="589"/>
      <c r="K102" s="584" t="s">
        <v>88</v>
      </c>
      <c r="L102" s="586">
        <f>IFERROR(IFERROR(VLOOKUP($D102,$Z$8:$AD$9,2,FALSE),0)/IF($D102="Inhalation",IF($K102="Central Tendency",SUMIFS('Inhalation Exposure'!$N$4:$N$61,'Inhalation Exposure'!$B$4:$B$61,$B102,'Inhalation Exposure'!$D$4:$D$61,$C102,'Inhalation Exposure'!$E$4:$E$61,$E102),SUMIFS('Inhalation Exposure'!$M$4:$M$61,'Inhalation Exposure'!$B$4:$B$61,$B102,'Inhalation Exposure'!$D$4:$D$61,$C102,'Inhalation Exposure'!$E$4:$E$61,$E102)),IF($K102="Central Tendency",SUMIFS('Dermal Crosswalk'!$P$5:$P$32,'Dermal Crosswalk'!$A$5:$A$32,'Bridge Table'!$B102,'Dermal Crosswalk'!$C$5:$C$32,'Bridge Table'!$E102),SUMIFS('Dermal Crosswalk'!$K$5:$K$32,'Dermal Crosswalk'!$A$5:$A$32,'Bridge Table'!$B102,'Dermal Crosswalk'!$C$5:$C$32,'Bridge Table'!$E102))),"--")</f>
        <v>1.4455134265811735</v>
      </c>
      <c r="M102" s="586">
        <f>IFERROR(IFERROR(VLOOKUP($D102,$Z$8:$AD$9,3,FALSE),0)/IF($D102="Inhalation",IF($K102="Central Tendency",SUMIFS('Inhalation Exposure'!$AB$4:$AB$61,'Inhalation Exposure'!$B$4:$B$61,$B102,'Inhalation Exposure'!$D$4:$D$61,$C102,'Inhalation Exposure'!$E$4:$E$61,$E102),SUMIFS('Inhalation Exposure'!$AA$4:$AA$61,'Inhalation Exposure'!$B$4:$B$61,$B102,'Inhalation Exposure'!$D$4:$D$61,$C102,'Inhalation Exposure'!$E$4:$E$61,$E102)),IF($K102="Central Tendency",SUMIFS('Dermal Crosswalk'!$S$5:$S$32,'Dermal Crosswalk'!$A$5:$A$32,'Bridge Table'!$B102,'Dermal Crosswalk'!$C$5:$C$32,'Bridge Table'!$E102),SUMIFS('Dermal Crosswalk'!$N$5:$N$32,'Dermal Crosswalk'!$A$5:$A$32,'Bridge Table'!$B102,'Dermal Crosswalk'!$C$5:$C$32,'Bridge Table'!$E102))),"--")</f>
        <v>0.56884273321640455</v>
      </c>
      <c r="N102" s="586">
        <f>IFERROR(IFERROR(VLOOKUP($D102,$Z$8:$AD$9,4,FALSE),0)/IF($D102="Inhalation",IF($K102="Central Tendency",SUMIFS('Inhalation Exposure'!$R$4:$R$61,'Inhalation Exposure'!$B$4:$B$61,$B102,'Inhalation Exposure'!$D$4:$D$61,$C102,'Inhalation Exposure'!$E$4:$E$61,$E102),SUMIFS('Inhalation Exposure'!$Q$4:$Q$61,'Inhalation Exposure'!$B$4:$B$61,$B102,'Inhalation Exposure'!$D$4:$D$61,$C102,'Inhalation Exposure'!$E$4:$E$61,$E102)),IF($K102="Central Tendency",SUMIFS('Dermal Crosswalk'!$Q$5:$Q$32,'Dermal Crosswalk'!$A$5:$A$32,'Bridge Table'!$B102,'Dermal Crosswalk'!$C$5:$C$32,'Bridge Table'!$E102),SUMIFS('Dermal Crosswalk'!$L$5:$L$32,'Dermal Crosswalk'!$A$5:$A$32,'Bridge Table'!$B102,'Dermal Crosswalk'!$C$5:$C$32,'Bridge Table'!$E102))),"--")</f>
        <v>2.7189328260284094</v>
      </c>
      <c r="O102" s="586">
        <f>IFERROR(IFERROR(VLOOKUP($D102,$Z$8:$AD$9,5,FALSE),0)*IF($D102="Inhalation",IF($K102="Central Tendency",SUMIFS('Inhalation Exposure'!$V$4:$V$61,'Inhalation Exposure'!$B$4:$B$61,$B102,'Inhalation Exposure'!$D$4:$D$61,$C102,'Inhalation Exposure'!$E$4:$E$61,$E102),SUMIFS('Inhalation Exposure'!$U$4:$U$61,'Inhalation Exposure'!$B$4:$B$61,$B102,'Inhalation Exposure'!$D$4:$D$61,$C102,'Inhalation Exposure'!$E$4:$E$61,$E102)),IF($K102="Central Tendency",SUMIFS('Dermal Crosswalk'!$R$5:$R$32,'Dermal Crosswalk'!$A$5:$A$32,'Bridge Table'!$B102,'Dermal Crosswalk'!$C$5:$C$32,'Bridge Table'!$E102),SUMIFS('Dermal Crosswalk'!$M$5:$M$32,'Dermal Crosswalk'!$A$5:$A$32,'Bridge Table'!$B102,'Dermal Crosswalk'!$C$5:$C$32,'Bridge Table'!$E102))),"--")</f>
        <v>1.2615243624868287E-2</v>
      </c>
      <c r="P102" s="363">
        <f>L102*U102</f>
        <v>7.2275671329058682</v>
      </c>
      <c r="Q102" s="363">
        <f t="shared" ref="Q102" si="29">M102*V102</f>
        <v>2.8442136660820228</v>
      </c>
      <c r="R102" s="363">
        <f t="shared" ref="R102" si="30">N102*W102</f>
        <v>13.594664130142046</v>
      </c>
      <c r="S102" s="364">
        <f>O102/X102</f>
        <v>2.5230487249736575E-3</v>
      </c>
      <c r="U102" s="378">
        <v>5</v>
      </c>
      <c r="V102" s="379">
        <v>5</v>
      </c>
      <c r="W102" s="379">
        <v>5</v>
      </c>
      <c r="X102" s="380">
        <v>5</v>
      </c>
    </row>
    <row r="103" spans="1:24" ht="15" thickBot="1" x14ac:dyDescent="0.35">
      <c r="A103" s="372"/>
      <c r="B103" s="360">
        <v>3</v>
      </c>
      <c r="C103" s="361" t="s">
        <v>25</v>
      </c>
      <c r="D103" s="361" t="s">
        <v>16</v>
      </c>
      <c r="E103" s="362" t="s">
        <v>117</v>
      </c>
      <c r="F103" s="587"/>
      <c r="G103" s="587"/>
      <c r="H103" s="587"/>
      <c r="I103" s="587"/>
      <c r="J103" s="587"/>
      <c r="K103" s="585"/>
      <c r="L103" s="587"/>
      <c r="M103" s="587"/>
      <c r="N103" s="587"/>
      <c r="O103" s="587"/>
      <c r="P103" s="373" t="str">
        <f>CONCATENATE("(PF ",U102,")")</f>
        <v>(PF 5)</v>
      </c>
      <c r="Q103" s="373" t="str">
        <f>CONCATENATE("(PF ",V102,")")</f>
        <v>(PF 5)</v>
      </c>
      <c r="R103" s="373" t="str">
        <f>CONCATENATE("(PF ",W102,")")</f>
        <v>(PF 5)</v>
      </c>
      <c r="S103" s="373" t="str">
        <f>CONCATENATE("(PF ",X102,")")</f>
        <v>(PF 5)</v>
      </c>
      <c r="U103" s="384" t="s">
        <v>119</v>
      </c>
      <c r="V103" s="385" t="s">
        <v>119</v>
      </c>
      <c r="W103" s="385" t="s">
        <v>119</v>
      </c>
      <c r="X103" s="386" t="s">
        <v>119</v>
      </c>
    </row>
    <row r="104" spans="1:24" ht="15" customHeight="1" thickBot="1" x14ac:dyDescent="0.35">
      <c r="A104" s="372"/>
      <c r="B104" s="360">
        <v>4</v>
      </c>
      <c r="C104" s="361" t="s">
        <v>25</v>
      </c>
      <c r="D104" s="361" t="s">
        <v>111</v>
      </c>
      <c r="E104" s="362" t="s">
        <v>24</v>
      </c>
      <c r="F104" s="586" t="s">
        <v>128</v>
      </c>
      <c r="G104" s="586" t="s">
        <v>129</v>
      </c>
      <c r="H104" s="586" t="s">
        <v>130</v>
      </c>
      <c r="I104" s="586" t="s">
        <v>25</v>
      </c>
      <c r="J104" s="586" t="s">
        <v>115</v>
      </c>
      <c r="K104" s="584" t="s">
        <v>54</v>
      </c>
      <c r="L104" s="586">
        <f>IFERROR(IFERROR(VLOOKUP($D104,$Z$8:$AD$9,2,FALSE),0)/IF($D104="Inhalation",IF($K104="Central Tendency",SUMIFS('Inhalation Exposure'!$N$4:$N$61,'Inhalation Exposure'!$B$4:$B$61,$B104,'Inhalation Exposure'!$D$4:$D$61,$C104,'Inhalation Exposure'!$E$4:$E$61,$E104),SUMIFS('Inhalation Exposure'!$M$4:$M$61,'Inhalation Exposure'!$B$4:$B$61,$B104,'Inhalation Exposure'!$D$4:$D$61,$C104,'Inhalation Exposure'!$E$4:$E$61,$E104)),IF($K104="Central Tendency",SUMIFS('Dermal Crosswalk'!$P$5:$P$32,'Dermal Crosswalk'!$A$5:$A$32,'Bridge Table'!$B104,'Dermal Crosswalk'!$C$5:$C$32,'Bridge Table'!$E104),SUMIFS('Dermal Crosswalk'!$K$5:$K$32,'Dermal Crosswalk'!$A$5:$A$32,'Bridge Table'!$B104,'Dermal Crosswalk'!$C$5:$C$32,'Bridge Table'!$E104))),"--")</f>
        <v>22120.172711570947</v>
      </c>
      <c r="M104" s="586">
        <f>IFERROR(IFERROR(VLOOKUP($D104,$Z$8:$AD$9,3,FALSE),0)/IF($D104="Inhalation",IF($K104="Central Tendency",SUMIFS('Inhalation Exposure'!$AB$4:$AB$61,'Inhalation Exposure'!$B$4:$B$61,$B104,'Inhalation Exposure'!$D$4:$D$61,$C104,'Inhalation Exposure'!$E$4:$E$61,$E104),SUMIFS('Inhalation Exposure'!$AA$4:$AA$61,'Inhalation Exposure'!$B$4:$B$61,$B104,'Inhalation Exposure'!$D$4:$D$61,$C104,'Inhalation Exposure'!$E$4:$E$61,$E104)),IF($K104="Central Tendency",SUMIFS('Dermal Crosswalk'!$S$5:$S$32,'Dermal Crosswalk'!$A$5:$A$32,'Bridge Table'!$B104,'Dermal Crosswalk'!$C$5:$C$32,'Bridge Table'!$E104),SUMIFS('Dermal Crosswalk'!$N$5:$N$32,'Dermal Crosswalk'!$A$5:$A$32,'Bridge Table'!$B104,'Dermal Crosswalk'!$C$5:$C$32,'Bridge Table'!$E104))),"--")</f>
        <v>9048.395280140674</v>
      </c>
      <c r="N104" s="586">
        <f>IFERROR(IFERROR(VLOOKUP($D104,$Z$8:$AD$9,4,FALSE),0)/IF($D104="Inhalation",IF($K104="Central Tendency",SUMIFS('Inhalation Exposure'!$R$4:$R$61,'Inhalation Exposure'!$B$4:$B$61,$B104,'Inhalation Exposure'!$D$4:$D$61,$C104,'Inhalation Exposure'!$E$4:$E$61,$E104),SUMIFS('Inhalation Exposure'!$Q$4:$Q$61,'Inhalation Exposure'!$B$4:$B$61,$B104,'Inhalation Exposure'!$D$4:$D$61,$C104,'Inhalation Exposure'!$E$4:$E$61,$E104)),IF($K104="Central Tendency",SUMIFS('Dermal Crosswalk'!$Q$5:$Q$32,'Dermal Crosswalk'!$A$5:$A$32,'Bridge Table'!$B104,'Dermal Crosswalk'!$C$5:$C$32,'Bridge Table'!$E104),SUMIFS('Dermal Crosswalk'!$L$5:$L$32,'Dermal Crosswalk'!$A$5:$A$32,'Bridge Table'!$B104,'Dermal Crosswalk'!$C$5:$C$32,'Bridge Table'!$E104))),"--")</f>
        <v>38313.448940507275</v>
      </c>
      <c r="O104" s="586">
        <f>IFERROR(IFERROR(VLOOKUP($D104,$Z$8:$AD$9,5,FALSE),0)*IF($D104="Inhalation",IF($K104="Central Tendency",SUMIFS('Inhalation Exposure'!$V$4:$V$61,'Inhalation Exposure'!$B$4:$B$61,$B104,'Inhalation Exposure'!$D$4:$D$61,$C104,'Inhalation Exposure'!$E$4:$E$61,$E104),SUMIFS('Inhalation Exposure'!$U$4:$U$61,'Inhalation Exposure'!$B$4:$B$61,$B104,'Inhalation Exposure'!$D$4:$D$61,$C104,'Inhalation Exposure'!$E$4:$E$61,$E104)),IF($K104="Central Tendency",SUMIFS('Dermal Crosswalk'!$R$5:$R$32,'Dermal Crosswalk'!$A$5:$A$32,'Bridge Table'!$B104,'Dermal Crosswalk'!$C$5:$C$32,'Bridge Table'!$E104),SUMIFS('Dermal Crosswalk'!$M$5:$M$32,'Dermal Crosswalk'!$A$5:$A$32,'Bridge Table'!$B104,'Dermal Crosswalk'!$C$5:$C$32,'Bridge Table'!$E104))),"--")</f>
        <v>6.6044096488576163E-7</v>
      </c>
      <c r="P104" s="363">
        <f>IFERROR(L104*U104,"Not Assessed")</f>
        <v>221201.72711570948</v>
      </c>
      <c r="Q104" s="363">
        <f>IFERROR(M104*V104,"Not Assessed")</f>
        <v>90483.952801406733</v>
      </c>
      <c r="R104" s="363">
        <f>IFERROR(N104*W104,"Not Assessed")</f>
        <v>383134.48940507276</v>
      </c>
      <c r="S104" s="364">
        <f>IFERROR(O104/X104, "Not Assessed")</f>
        <v>6.6044096488576158E-8</v>
      </c>
      <c r="U104" s="365">
        <v>10</v>
      </c>
      <c r="V104" s="366">
        <v>10</v>
      </c>
      <c r="W104" s="366">
        <v>10</v>
      </c>
      <c r="X104" s="367">
        <v>10</v>
      </c>
    </row>
    <row r="105" spans="1:24" ht="15" thickBot="1" x14ac:dyDescent="0.35">
      <c r="A105" s="372"/>
      <c r="B105" s="360">
        <v>4</v>
      </c>
      <c r="C105" s="361" t="s">
        <v>25</v>
      </c>
      <c r="D105" s="361" t="s">
        <v>111</v>
      </c>
      <c r="E105" s="362" t="s">
        <v>24</v>
      </c>
      <c r="F105" s="589"/>
      <c r="G105" s="589"/>
      <c r="H105" s="589"/>
      <c r="I105" s="589"/>
      <c r="J105" s="589"/>
      <c r="K105" s="585"/>
      <c r="L105" s="587"/>
      <c r="M105" s="587"/>
      <c r="N105" s="587"/>
      <c r="O105" s="587"/>
      <c r="P105" s="373" t="str">
        <f>CONCATENATE("(APF ",U104,")")</f>
        <v>(APF 10)</v>
      </c>
      <c r="Q105" s="373" t="str">
        <f>CONCATENATE("(APF ",V104,")")</f>
        <v>(APF 10)</v>
      </c>
      <c r="R105" s="373" t="str">
        <f>CONCATENATE("(APF ",W104,")")</f>
        <v>(APF 10)</v>
      </c>
      <c r="S105" s="373" t="str">
        <f>CONCATENATE("(APF ",X104,")")</f>
        <v>(APF 10)</v>
      </c>
      <c r="U105" s="374" t="s">
        <v>116</v>
      </c>
      <c r="V105" s="375" t="s">
        <v>116</v>
      </c>
      <c r="W105" s="375" t="s">
        <v>116</v>
      </c>
      <c r="X105" s="376" t="s">
        <v>116</v>
      </c>
    </row>
    <row r="106" spans="1:24" ht="15" customHeight="1" thickBot="1" x14ac:dyDescent="0.35">
      <c r="A106" s="372"/>
      <c r="B106" s="360">
        <v>4</v>
      </c>
      <c r="C106" s="361" t="s">
        <v>25</v>
      </c>
      <c r="D106" s="361" t="s">
        <v>111</v>
      </c>
      <c r="E106" s="362" t="s">
        <v>24</v>
      </c>
      <c r="F106" s="589"/>
      <c r="G106" s="589"/>
      <c r="H106" s="589"/>
      <c r="I106" s="589"/>
      <c r="J106" s="589"/>
      <c r="K106" s="584" t="s">
        <v>88</v>
      </c>
      <c r="L106" s="586">
        <f>IFERROR(IFERROR(VLOOKUP($D106,$Z$8:$AD$9,2,FALSE),0)/IF($D106="Inhalation",IF($K106="Central Tendency",SUMIFS('Inhalation Exposure'!$N$4:$N$61,'Inhalation Exposure'!$B$4:$B$61,$B106,'Inhalation Exposure'!$D$4:$D$61,$C106,'Inhalation Exposure'!$E$4:$E$61,$E106),SUMIFS('Inhalation Exposure'!$M$4:$M$61,'Inhalation Exposure'!$B$4:$B$61,$B106,'Inhalation Exposure'!$D$4:$D$61,$C106,'Inhalation Exposure'!$E$4:$E$61,$E106)),IF($K106="Central Tendency",SUMIFS('Dermal Crosswalk'!$P$5:$P$32,'Dermal Crosswalk'!$A$5:$A$32,'Bridge Table'!$B106,'Dermal Crosswalk'!$C$5:$C$32,'Bridge Table'!$E106),SUMIFS('Dermal Crosswalk'!$K$5:$K$32,'Dermal Crosswalk'!$A$5:$A$32,'Bridge Table'!$B106,'Dermal Crosswalk'!$C$5:$C$32,'Bridge Table'!$E106))),"--")</f>
        <v>4248.3449958699994</v>
      </c>
      <c r="M106" s="586">
        <f>IFERROR(IFERROR(VLOOKUP($D106,$Z$8:$AD$9,3,FALSE),0)/IF($D106="Inhalation",IF($K106="Central Tendency",SUMIFS('Inhalation Exposure'!$AB$4:$AB$61,'Inhalation Exposure'!$B$4:$B$61,$B106,'Inhalation Exposure'!$D$4:$D$61,$C106,'Inhalation Exposure'!$E$4:$E$61,$E106),SUMIFS('Inhalation Exposure'!$AA$4:$AA$61,'Inhalation Exposure'!$B$4:$B$61,$B106,'Inhalation Exposure'!$D$4:$D$61,$C106,'Inhalation Exposure'!$E$4:$E$61,$E106)),IF($K106="Central Tendency",SUMIFS('Dermal Crosswalk'!$S$5:$S$32,'Dermal Crosswalk'!$A$5:$A$32,'Bridge Table'!$B106,'Dermal Crosswalk'!$C$5:$C$32,'Bridge Table'!$E106),SUMIFS('Dermal Crosswalk'!$N$5:$N$32,'Dermal Crosswalk'!$A$5:$A$32,'Bridge Table'!$B106,'Dermal Crosswalk'!$C$5:$C$32,'Bridge Table'!$E106))),"--")</f>
        <v>1834.843090325295</v>
      </c>
      <c r="N106" s="586">
        <f>IFERROR(IFERROR(VLOOKUP($D106,$Z$8:$AD$9,4,FALSE),0)/IF($D106="Inhalation",IF($K106="Central Tendency",SUMIFS('Inhalation Exposure'!$R$4:$R$61,'Inhalation Exposure'!$B$4:$B$61,$B106,'Inhalation Exposure'!$D$4:$D$61,$C106,'Inhalation Exposure'!$E$4:$E$61,$E106),SUMIFS('Inhalation Exposure'!$Q$4:$Q$61,'Inhalation Exposure'!$B$4:$B$61,$B106,'Inhalation Exposure'!$D$4:$D$61,$C106,'Inhalation Exposure'!$E$4:$E$61,$E106)),IF($K106="Central Tendency",SUMIFS('Dermal Crosswalk'!$Q$5:$Q$32,'Dermal Crosswalk'!$A$5:$A$32,'Bridge Table'!$B106,'Dermal Crosswalk'!$C$5:$C$32,'Bridge Table'!$E106),SUMIFS('Dermal Crosswalk'!$L$5:$L$32,'Dermal Crosswalk'!$A$5:$A$32,'Bridge Table'!$B106,'Dermal Crosswalk'!$C$5:$C$32,'Bridge Table'!$E106))),"--")</f>
        <v>6340.9942279177731</v>
      </c>
      <c r="O106" s="586">
        <f>IFERROR(IFERROR(VLOOKUP($D106,$Z$8:$AD$9,5,FALSE),0)*IF($D106="Inhalation",IF($K106="Central Tendency",SUMIFS('Inhalation Exposure'!$V$4:$V$61,'Inhalation Exposure'!$B$4:$B$61,$B106,'Inhalation Exposure'!$D$4:$D$61,$C106,'Inhalation Exposure'!$E$4:$E$61,$E106),SUMIFS('Inhalation Exposure'!$U$4:$U$61,'Inhalation Exposure'!$B$4:$B$61,$B106,'Inhalation Exposure'!$D$4:$D$61,$C106,'Inhalation Exposure'!$E$4:$E$61,$E106)),IF($K106="Central Tendency",SUMIFS('Dermal Crosswalk'!$R$5:$R$32,'Dermal Crosswalk'!$A$5:$A$32,'Bridge Table'!$B106,'Dermal Crosswalk'!$C$5:$C$32,'Bridge Table'!$E106),SUMIFS('Dermal Crosswalk'!$M$5:$M$32,'Dermal Crosswalk'!$A$5:$A$32,'Bridge Table'!$B106,'Dermal Crosswalk'!$C$5:$C$32,'Bridge Table'!$E106))),"--")</f>
        <v>4.140047438987059E-6</v>
      </c>
      <c r="P106" s="363">
        <f>IFERROR(L106*U106,"Not Assessed")</f>
        <v>42483.449958699995</v>
      </c>
      <c r="Q106" s="363">
        <f>IFERROR(M106*V106,"Not Assessed")</f>
        <v>18348.430903252949</v>
      </c>
      <c r="R106" s="363">
        <f>IFERROR(N106*W106,"Not Assessed")</f>
        <v>63409.942279177732</v>
      </c>
      <c r="S106" s="364">
        <f>IFERROR(O106/X106, "Not Assessed")</f>
        <v>4.140047438987059E-7</v>
      </c>
      <c r="U106" s="378">
        <v>10</v>
      </c>
      <c r="V106" s="379">
        <v>10</v>
      </c>
      <c r="W106" s="379">
        <v>10</v>
      </c>
      <c r="X106" s="380">
        <v>10</v>
      </c>
    </row>
    <row r="107" spans="1:24" ht="15" thickBot="1" x14ac:dyDescent="0.35">
      <c r="A107" s="372"/>
      <c r="B107" s="360">
        <v>4</v>
      </c>
      <c r="C107" s="361" t="s">
        <v>25</v>
      </c>
      <c r="D107" s="361" t="s">
        <v>111</v>
      </c>
      <c r="E107" s="362" t="s">
        <v>24</v>
      </c>
      <c r="F107" s="589"/>
      <c r="G107" s="589"/>
      <c r="H107" s="589"/>
      <c r="I107" s="590"/>
      <c r="J107" s="590"/>
      <c r="K107" s="588"/>
      <c r="L107" s="587"/>
      <c r="M107" s="587"/>
      <c r="N107" s="587"/>
      <c r="O107" s="587"/>
      <c r="P107" s="373" t="str">
        <f>CONCATENATE("(APF ",U106,")")</f>
        <v>(APF 10)</v>
      </c>
      <c r="Q107" s="373" t="str">
        <f>CONCATENATE("(APF ",V106,")")</f>
        <v>(APF 10)</v>
      </c>
      <c r="R107" s="373" t="str">
        <f>CONCATENATE("(APF ",W106,")")</f>
        <v>(APF 10)</v>
      </c>
      <c r="S107" s="373" t="str">
        <f>CONCATENATE("(APF ",X106,")")</f>
        <v>(APF 10)</v>
      </c>
      <c r="U107" s="374" t="s">
        <v>116</v>
      </c>
      <c r="V107" s="375" t="s">
        <v>116</v>
      </c>
      <c r="W107" s="375" t="s">
        <v>116</v>
      </c>
      <c r="X107" s="376" t="s">
        <v>116</v>
      </c>
    </row>
    <row r="108" spans="1:24" ht="15" customHeight="1" thickBot="1" x14ac:dyDescent="0.35">
      <c r="A108" s="372"/>
      <c r="B108" s="360">
        <v>4</v>
      </c>
      <c r="C108" s="361" t="s">
        <v>25</v>
      </c>
      <c r="D108" s="361" t="s">
        <v>111</v>
      </c>
      <c r="E108" s="362" t="s">
        <v>117</v>
      </c>
      <c r="F108" s="589"/>
      <c r="G108" s="589"/>
      <c r="H108" s="589"/>
      <c r="I108" s="589" t="s">
        <v>25</v>
      </c>
      <c r="J108" s="586" t="s">
        <v>115</v>
      </c>
      <c r="K108" s="584" t="s">
        <v>54</v>
      </c>
      <c r="L108" s="586">
        <f>IFERROR(IFERROR(VLOOKUP($D108,$Z$8:$AD$9,2,FALSE),0)/IF($D108="Inhalation",IF($K108="Central Tendency",SUMIFS('Inhalation Exposure'!$N$4:$N$61,'Inhalation Exposure'!$B$4:$B$61,$B108,'Inhalation Exposure'!$D$4:$D$61,$C108,'Inhalation Exposure'!$E$4:$E$61,$E108),SUMIFS('Inhalation Exposure'!$M$4:$M$61,'Inhalation Exposure'!$B$4:$B$61,$B108,'Inhalation Exposure'!$D$4:$D$61,$C108,'Inhalation Exposure'!$E$4:$E$61,$E108)),IF($K108="Central Tendency",SUMIFS('Dermal Crosswalk'!$P$5:$P$32,'Dermal Crosswalk'!$A$5:$A$32,'Bridge Table'!$B108,'Dermal Crosswalk'!$C$5:$C$32,'Bridge Table'!$E108),SUMIFS('Dermal Crosswalk'!$K$5:$K$32,'Dermal Crosswalk'!$A$5:$A$32,'Bridge Table'!$B108,'Dermal Crosswalk'!$C$5:$C$32,'Bridge Table'!$E108))),"--")</f>
        <v>19056.358206641944</v>
      </c>
      <c r="M108" s="586">
        <f>IFERROR(IFERROR(VLOOKUP($D108,$Z$8:$AD$9,3,FALSE),0)/IF($D108="Inhalation",IF($K108="Central Tendency",SUMIFS('Inhalation Exposure'!$AB$4:$AB$61,'Inhalation Exposure'!$B$4:$B$61,$B108,'Inhalation Exposure'!$D$4:$D$61,$C108,'Inhalation Exposure'!$E$4:$E$61,$E108),SUMIFS('Inhalation Exposure'!$AA$4:$AA$61,'Inhalation Exposure'!$B$4:$B$61,$B108,'Inhalation Exposure'!$D$4:$D$61,$C108,'Inhalation Exposure'!$E$4:$E$61,$E108)),IF($K108="Central Tendency",SUMIFS('Dermal Crosswalk'!$S$5:$S$32,'Dermal Crosswalk'!$A$5:$A$32,'Bridge Table'!$B108,'Dermal Crosswalk'!$C$5:$C$32,'Bridge Table'!$E108),SUMIFS('Dermal Crosswalk'!$N$5:$N$32,'Dermal Crosswalk'!$A$5:$A$32,'Bridge Table'!$B108,'Dermal Crosswalk'!$C$5:$C$32,'Bridge Table'!$E108))),"--")</f>
        <v>7518.2631230087818</v>
      </c>
      <c r="N108" s="586">
        <f>IFERROR(IFERROR(VLOOKUP($D108,$Z$8:$AD$9,4,FALSE),0)/IF($D108="Inhalation",IF($K108="Central Tendency",SUMIFS('Inhalation Exposure'!$R$4:$R$61,'Inhalation Exposure'!$B$4:$B$61,$B108,'Inhalation Exposure'!$D$4:$D$61,$C108,'Inhalation Exposure'!$E$4:$E$61,$E108),SUMIFS('Inhalation Exposure'!$Q$4:$Q$61,'Inhalation Exposure'!$B$4:$B$61,$B108,'Inhalation Exposure'!$D$4:$D$61,$C108,'Inhalation Exposure'!$E$4:$E$61,$E108)),IF($K108="Central Tendency",SUMIFS('Dermal Crosswalk'!$Q$5:$Q$32,'Dermal Crosswalk'!$A$5:$A$32,'Bridge Table'!$B108,'Dermal Crosswalk'!$C$5:$C$32,'Bridge Table'!$E108),SUMIFS('Dermal Crosswalk'!$L$5:$L$32,'Dermal Crosswalk'!$A$5:$A$32,'Bridge Table'!$B108,'Dermal Crosswalk'!$C$5:$C$32,'Bridge Table'!$E108))),"--")</f>
        <v>8577.9075725196908</v>
      </c>
      <c r="O108" s="586">
        <f>IFERROR(IFERROR(VLOOKUP($D108,$Z$8:$AD$9,5,FALSE),0)*IF($D108="Inhalation",IF($K108="Central Tendency",SUMIFS('Inhalation Exposure'!$V$4:$V$61,'Inhalation Exposure'!$B$4:$B$61,$B108,'Inhalation Exposure'!$D$4:$D$61,$C108,'Inhalation Exposure'!$E$4:$E$61,$E108),SUMIFS('Inhalation Exposure'!$U$4:$U$61,'Inhalation Exposure'!$B$4:$B$61,$B108,'Inhalation Exposure'!$D$4:$D$61,$C108,'Inhalation Exposure'!$E$4:$E$61,$E108)),IF($K108="Central Tendency",SUMIFS('Dermal Crosswalk'!$R$5:$R$32,'Dermal Crosswalk'!$A$5:$A$32,'Bridge Table'!$B108,'Dermal Crosswalk'!$C$5:$C$32,'Bridge Table'!$E108),SUMIFS('Dermal Crosswalk'!$M$5:$M$32,'Dermal Crosswalk'!$A$5:$A$32,'Bridge Table'!$B108,'Dermal Crosswalk'!$C$5:$C$32,'Bridge Table'!$E108))),"--")</f>
        <v>2.9394005770145101E-6</v>
      </c>
      <c r="P108" s="363">
        <f>IFERROR(L108*U108,"Not Assessed")</f>
        <v>190563.58206641945</v>
      </c>
      <c r="Q108" s="363">
        <f>IFERROR(M108*V108,"Not Assessed")</f>
        <v>75182.63123008782</v>
      </c>
      <c r="R108" s="363">
        <f>IFERROR(N108*W108,"Not Assessed")</f>
        <v>85779.075725196904</v>
      </c>
      <c r="S108" s="364">
        <f>IFERROR(O108/X108, "Not Assessed")</f>
        <v>2.93940057701451E-7</v>
      </c>
      <c r="U108" s="378">
        <v>10</v>
      </c>
      <c r="V108" s="379">
        <v>10</v>
      </c>
      <c r="W108" s="379">
        <v>10</v>
      </c>
      <c r="X108" s="380">
        <v>10</v>
      </c>
    </row>
    <row r="109" spans="1:24" ht="15" thickBot="1" x14ac:dyDescent="0.35">
      <c r="A109" s="372"/>
      <c r="B109" s="360">
        <v>4</v>
      </c>
      <c r="C109" s="361" t="s">
        <v>25</v>
      </c>
      <c r="D109" s="361" t="s">
        <v>111</v>
      </c>
      <c r="E109" s="362" t="s">
        <v>117</v>
      </c>
      <c r="F109" s="589"/>
      <c r="G109" s="589"/>
      <c r="H109" s="589"/>
      <c r="I109" s="589"/>
      <c r="J109" s="589"/>
      <c r="K109" s="585"/>
      <c r="L109" s="587"/>
      <c r="M109" s="587"/>
      <c r="N109" s="587"/>
      <c r="O109" s="587"/>
      <c r="P109" s="373" t="str">
        <f>CONCATENATE("(APF ",U108,")")</f>
        <v>(APF 10)</v>
      </c>
      <c r="Q109" s="373" t="str">
        <f>CONCATENATE("(APF ",V108,")")</f>
        <v>(APF 10)</v>
      </c>
      <c r="R109" s="373" t="str">
        <f>CONCATENATE("(APF ",W108,")")</f>
        <v>(APF 10)</v>
      </c>
      <c r="S109" s="373" t="str">
        <f>CONCATENATE("(APF ",X108,")")</f>
        <v>(APF 10)</v>
      </c>
      <c r="U109" s="374" t="s">
        <v>116</v>
      </c>
      <c r="V109" s="375" t="s">
        <v>116</v>
      </c>
      <c r="W109" s="375" t="s">
        <v>116</v>
      </c>
      <c r="X109" s="376" t="s">
        <v>116</v>
      </c>
    </row>
    <row r="110" spans="1:24" ht="15.6" customHeight="1" thickBot="1" x14ac:dyDescent="0.35">
      <c r="A110" s="372"/>
      <c r="B110" s="360">
        <v>4</v>
      </c>
      <c r="C110" s="361" t="s">
        <v>25</v>
      </c>
      <c r="D110" s="361" t="s">
        <v>111</v>
      </c>
      <c r="E110" s="362" t="s">
        <v>117</v>
      </c>
      <c r="F110" s="589"/>
      <c r="G110" s="589"/>
      <c r="H110" s="589"/>
      <c r="I110" s="589"/>
      <c r="J110" s="589"/>
      <c r="K110" s="584" t="s">
        <v>88</v>
      </c>
      <c r="L110" s="586">
        <f>IFERROR(IFERROR(VLOOKUP($D110,$Z$8:$AD$9,2,FALSE),0)/IF($D110="Inhalation",IF($K110="Central Tendency",SUMIFS('Inhalation Exposure'!$N$4:$N$61,'Inhalation Exposure'!$B$4:$B$61,$B110,'Inhalation Exposure'!$D$4:$D$61,$C110,'Inhalation Exposure'!$E$4:$E$61,$E110),SUMIFS('Inhalation Exposure'!$M$4:$M$61,'Inhalation Exposure'!$B$4:$B$61,$B110,'Inhalation Exposure'!$D$4:$D$61,$C110,'Inhalation Exposure'!$E$4:$E$61,$E110)),IF($K110="Central Tendency",SUMIFS('Dermal Crosswalk'!$P$5:$P$32,'Dermal Crosswalk'!$A$5:$A$32,'Bridge Table'!$B110,'Dermal Crosswalk'!$C$5:$C$32,'Bridge Table'!$E110),SUMIFS('Dermal Crosswalk'!$K$5:$K$32,'Dermal Crosswalk'!$A$5:$A$32,'Bridge Table'!$B110,'Dermal Crosswalk'!$C$5:$C$32,'Bridge Table'!$E110))),"--")</f>
        <v>4005.6389626908067</v>
      </c>
      <c r="M110" s="586">
        <f>IFERROR(IFERROR(VLOOKUP($D110,$Z$8:$AD$9,3,FALSE),0)/IF($D110="Inhalation",IF($K110="Central Tendency",SUMIFS('Inhalation Exposure'!$AB$4:$AB$61,'Inhalation Exposure'!$B$4:$B$61,$B110,'Inhalation Exposure'!$D$4:$D$61,$C110,'Inhalation Exposure'!$E$4:$E$61,$E110),SUMIFS('Inhalation Exposure'!$AA$4:$AA$61,'Inhalation Exposure'!$B$4:$B$61,$B110,'Inhalation Exposure'!$D$4:$D$61,$C110,'Inhalation Exposure'!$E$4:$E$61,$E110)),IF($K110="Central Tendency",SUMIFS('Dermal Crosswalk'!$S$5:$S$32,'Dermal Crosswalk'!$A$5:$A$32,'Bridge Table'!$B110,'Dermal Crosswalk'!$C$5:$C$32,'Bridge Table'!$E110),SUMIFS('Dermal Crosswalk'!$N$5:$N$32,'Dermal Crosswalk'!$A$5:$A$32,'Bridge Table'!$B110,'Dermal Crosswalk'!$C$5:$C$32,'Bridge Table'!$E110))),"--")</f>
        <v>1580.3359367367966</v>
      </c>
      <c r="N110" s="586">
        <f>IFERROR(IFERROR(VLOOKUP($D110,$Z$8:$AD$9,4,FALSE),0)/IF($D110="Inhalation",IF($K110="Central Tendency",SUMIFS('Inhalation Exposure'!$R$4:$R$61,'Inhalation Exposure'!$B$4:$B$61,$B110,'Inhalation Exposure'!$D$4:$D$61,$C110,'Inhalation Exposure'!$E$4:$E$61,$E110),SUMIFS('Inhalation Exposure'!$Q$4:$Q$61,'Inhalation Exposure'!$B$4:$B$61,$B110,'Inhalation Exposure'!$D$4:$D$61,$C110,'Inhalation Exposure'!$E$4:$E$61,$E110)),IF($K110="Central Tendency",SUMIFS('Dermal Crosswalk'!$Q$5:$Q$32,'Dermal Crosswalk'!$A$5:$A$32,'Bridge Table'!$B110,'Dermal Crosswalk'!$C$5:$C$32,'Bridge Table'!$E110),SUMIFS('Dermal Crosswalk'!$L$5:$L$32,'Dermal Crosswalk'!$A$5:$A$32,'Bridge Table'!$B110,'Dermal Crosswalk'!$C$5:$C$32,'Bridge Table'!$E110))),"--")</f>
        <v>1902.2579067907955</v>
      </c>
      <c r="O110" s="586">
        <f>IFERROR(IFERROR(VLOOKUP($D110,$Z$8:$AD$9,5,FALSE),0)*IF($D110="Inhalation",IF($K110="Central Tendency",SUMIFS('Inhalation Exposure'!$V$4:$V$61,'Inhalation Exposure'!$B$4:$B$61,$B110,'Inhalation Exposure'!$D$4:$D$61,$C110,'Inhalation Exposure'!$E$4:$E$61,$E110),SUMIFS('Inhalation Exposure'!$U$4:$U$61,'Inhalation Exposure'!$B$4:$B$61,$B110,'Inhalation Exposure'!$D$4:$D$61,$C110,'Inhalation Exposure'!$E$4:$E$61,$E110)),IF($K110="Central Tendency",SUMIFS('Dermal Crosswalk'!$R$5:$R$32,'Dermal Crosswalk'!$A$5:$A$32,'Bridge Table'!$B110,'Dermal Crosswalk'!$C$5:$C$32,'Bridge Table'!$E110),SUMIFS('Dermal Crosswalk'!$M$5:$M$32,'Dermal Crosswalk'!$A$5:$A$32,'Bridge Table'!$B110,'Dermal Crosswalk'!$C$5:$C$32,'Bridge Table'!$E110))),"--")</f>
        <v>1.3918317258175588E-5</v>
      </c>
      <c r="P110" s="363">
        <f>IFERROR(L110*U110,"Not Assessed")</f>
        <v>40056.389626908065</v>
      </c>
      <c r="Q110" s="363">
        <f>IFERROR(M110*V110,"Not Assessed")</f>
        <v>15803.359367367966</v>
      </c>
      <c r="R110" s="363">
        <f>IFERROR(N110*W110,"Not Assessed")</f>
        <v>19022.579067907955</v>
      </c>
      <c r="S110" s="364">
        <f>IFERROR(O110/X110, "Not Assessed")</f>
        <v>1.3918317258175589E-6</v>
      </c>
      <c r="U110" s="378">
        <v>10</v>
      </c>
      <c r="V110" s="379">
        <v>10</v>
      </c>
      <c r="W110" s="379">
        <v>10</v>
      </c>
      <c r="X110" s="380">
        <v>10</v>
      </c>
    </row>
    <row r="111" spans="1:24" ht="15" thickBot="1" x14ac:dyDescent="0.35">
      <c r="A111" s="372"/>
      <c r="B111" s="360">
        <v>4</v>
      </c>
      <c r="C111" s="361" t="s">
        <v>25</v>
      </c>
      <c r="D111" s="361" t="s">
        <v>111</v>
      </c>
      <c r="E111" s="362" t="s">
        <v>117</v>
      </c>
      <c r="F111" s="589"/>
      <c r="G111" s="589"/>
      <c r="H111" s="589"/>
      <c r="I111" s="590"/>
      <c r="J111" s="590"/>
      <c r="K111" s="588"/>
      <c r="L111" s="587"/>
      <c r="M111" s="587"/>
      <c r="N111" s="587"/>
      <c r="O111" s="587"/>
      <c r="P111" s="373" t="str">
        <f>CONCATENATE("(APF ",U110,")")</f>
        <v>(APF 10)</v>
      </c>
      <c r="Q111" s="373" t="str">
        <f>CONCATENATE("(APF ",V110,")")</f>
        <v>(APF 10)</v>
      </c>
      <c r="R111" s="373" t="str">
        <f>CONCATENATE("(APF ",W110,")")</f>
        <v>(APF 10)</v>
      </c>
      <c r="S111" s="373" t="str">
        <f>CONCATENATE("(APF ",X110,")")</f>
        <v>(APF 10)</v>
      </c>
      <c r="U111" s="374" t="s">
        <v>116</v>
      </c>
      <c r="V111" s="375" t="s">
        <v>116</v>
      </c>
      <c r="W111" s="375" t="s">
        <v>116</v>
      </c>
      <c r="X111" s="376" t="s">
        <v>116</v>
      </c>
    </row>
    <row r="112" spans="1:24" ht="15" customHeight="1" thickBot="1" x14ac:dyDescent="0.35">
      <c r="A112" s="372"/>
      <c r="B112" s="360">
        <v>4</v>
      </c>
      <c r="C112" s="361" t="s">
        <v>53</v>
      </c>
      <c r="D112" s="361" t="s">
        <v>111</v>
      </c>
      <c r="E112" s="362" t="s">
        <v>24</v>
      </c>
      <c r="F112" s="589"/>
      <c r="G112" s="589"/>
      <c r="H112" s="589"/>
      <c r="I112" s="589" t="s">
        <v>53</v>
      </c>
      <c r="J112" s="586" t="s">
        <v>115</v>
      </c>
      <c r="K112" s="584" t="s">
        <v>54</v>
      </c>
      <c r="L112" s="586" t="str">
        <f>IFERROR(IFERROR(VLOOKUP($D112,$Z$8:$AD$9,2,FALSE),0)/IF($D112="Inhalation",IF($K112="Central Tendency",SUMIFS('Inhalation Exposure'!$L$4:$L$60,'Inhalation Exposure'!$B$4:$B$60,$B112,'Inhalation Exposure'!$D$4:$D$60,$C112,'Inhalation Exposure'!$E$4:$E$60,$E112),SUMIFS('Inhalation Exposure'!$K$4:$K$60,'Inhalation Exposure'!$B$4:$B$60,$B112,'Inhalation Exposure'!$D$4:$D$60,$C112,'Inhalation Exposure'!$E$4:$E$60,$E112)),IF($K112="Central Tendency",SUMIFS('Dermal Crosswalk'!$P$5:$P$32,'Dermal Crosswalk'!$A$5:$A$32,'Bridge Table'!$B112,'Dermal Crosswalk'!$C$5:$C$32,'Bridge Table'!$E112),SUMIFS('Dermal Crosswalk'!$K$5:$K$32,'Dermal Crosswalk'!$A$5:$A$32,'Bridge Table'!$B112,'Dermal Crosswalk'!$C$5:$C$32,'Bridge Table'!$E112))),"--")</f>
        <v>--</v>
      </c>
      <c r="M112" s="586" t="str">
        <f>IFERROR(IFERROR(VLOOKUP($D112,$Z$8:$AD$9,3,FALSE),0)/IF($D112="Inhalation",IF($K112="Central Tendency",SUMIFS('Inhalation Exposure'!$AB$4:$AB$60,'Inhalation Exposure'!$B$4:$B$60,$B112,'Inhalation Exposure'!$D$4:$D$60,$C112,'Inhalation Exposure'!$E$4:$E$60,$E112),SUMIFS('Inhalation Exposure'!$AA$4:$AA$60,'Inhalation Exposure'!$B$4:$B$60,$B112,'Inhalation Exposure'!$D$4:$D$60,$C112,'Inhalation Exposure'!$E$4:$E$60,$E112)),IF($K112="Central Tendency",SUMIFS('Dermal Crosswalk'!$S$5:$S$32,'Dermal Crosswalk'!$A$5:$A$32,'Bridge Table'!$B112,'Dermal Crosswalk'!$C$5:$C$32,'Bridge Table'!$E112),SUMIFS('Dermal Crosswalk'!$N$5:$N$32,'Dermal Crosswalk'!$A$5:$A$32,'Bridge Table'!$B112,'Dermal Crosswalk'!$C$5:$C$32,'Bridge Table'!$E112))),"--")</f>
        <v>--</v>
      </c>
      <c r="N112" s="586" t="str">
        <f>IFERROR(IFERROR(VLOOKUP($D112,$Z$8:$AD$9,4,FALSE),0)/IF($D112="Inhalation",IF($K112="Central Tendency",SUMIFS('Inhalation Exposure'!$R$4:$R$60,'Inhalation Exposure'!$B$4:$B$60,$B112,'Inhalation Exposure'!$D$4:$D$60,$C112,'Inhalation Exposure'!$E$4:$E$60,$E112),SUMIFS('Inhalation Exposure'!$Q$4:$Q$60,'Inhalation Exposure'!$B$4:$B$60,$B112,'Inhalation Exposure'!$D$4:$D$60,$C112,'Inhalation Exposure'!$E$4:$E$60,$E112)),IF($K112="Central Tendency",SUMIFS('Dermal Crosswalk'!$Q$5:$Q$32,'Dermal Crosswalk'!$A$5:$A$32,'Bridge Table'!$B112,'Dermal Crosswalk'!$C$5:$C$32,'Bridge Table'!$E112),SUMIFS('Dermal Crosswalk'!$L$5:$L$32,'Dermal Crosswalk'!$A$5:$A$32,'Bridge Table'!$B112,'Dermal Crosswalk'!$C$5:$C$32,'Bridge Table'!$E112))),"--")</f>
        <v>--</v>
      </c>
      <c r="O112" s="586" t="str">
        <f>IF(IFERROR(VLOOKUP($D112,$Z$8:$AD$9,5,FALSE),0)*IF($D112="Inhalation",IF($K112="Central Tendency",SUMIFS('Inhalation Exposure'!$V$4:$V$60,'Inhalation Exposure'!$B$4:$B$60,$B112,'Inhalation Exposure'!$D$4:$D$60,$C112,'Inhalation Exposure'!$E$4:$E$60,$E112),SUMIFS('Inhalation Exposure'!$U$4:$U$60,'Inhalation Exposure'!$B$4:$B$60,$B112,'Inhalation Exposure'!$D$4:$D$60,$C112,'Inhalation Exposure'!$E$4:$E$60,$E112)),IF($K112="Central Tendency",SUMIFS('Dermal Crosswalk'!$R$5:$R$32,'Dermal Crosswalk'!$A$5:$A$32,'Bridge Table'!$B112,'Dermal Crosswalk'!$C$5:$C$32,'Bridge Table'!$E112),SUMIFS('Dermal Crosswalk'!$M$5:$M$32,'Dermal Crosswalk'!$A$5:$A$32,'Bridge Table'!$B112,'Dermal Crosswalk'!$C$5:$C$32,'Bridge Table'!$E112)))=0,"--",IFERROR(VLOOKUP($D112,$Z$8:$AD$9,5,FALSE),0)*IF($D112="Inhalation",IF($K112="Central Tendency",SUMIFS('Inhalation Exposure'!$V$4:$V$60,'Inhalation Exposure'!$B$4:$B$60,$B112,'Inhalation Exposure'!$D$4:$D$60,$C112,'Inhalation Exposure'!$E$4:$E$60,$E112),SUMIFS('Inhalation Exposure'!$U$4:$U$60,'Inhalation Exposure'!$B$4:$B$60,$B112,'Inhalation Exposure'!$D$4:$D$60,$C112,'Inhalation Exposure'!$E$4:$E$60,$E112)),IF($K112="Central Tendency",SUMIFS('Dermal Crosswalk'!$R$5:$R$32,'Dermal Crosswalk'!$A$5:$A$32,'Bridge Table'!$B112,'Dermal Crosswalk'!$C$5:$C$32,'Bridge Table'!$E112),SUMIFS('Dermal Crosswalk'!$M$5:$M$32,'Dermal Crosswalk'!$A$5:$A$32,'Bridge Table'!$B112,'Dermal Crosswalk'!$C$5:$C$32,'Bridge Table'!$E112))))</f>
        <v>--</v>
      </c>
      <c r="P112" s="610" t="s">
        <v>118</v>
      </c>
      <c r="Q112" s="610" t="s">
        <v>118</v>
      </c>
      <c r="R112" s="610" t="s">
        <v>118</v>
      </c>
      <c r="S112" s="610" t="s">
        <v>118</v>
      </c>
      <c r="U112" s="612" t="s">
        <v>118</v>
      </c>
      <c r="V112" s="614" t="s">
        <v>118</v>
      </c>
      <c r="W112" s="614" t="s">
        <v>118</v>
      </c>
      <c r="X112" s="616" t="s">
        <v>118</v>
      </c>
    </row>
    <row r="113" spans="1:24" ht="15" thickBot="1" x14ac:dyDescent="0.35">
      <c r="A113" s="372"/>
      <c r="B113" s="360">
        <v>4</v>
      </c>
      <c r="C113" s="361" t="s">
        <v>53</v>
      </c>
      <c r="D113" s="361" t="s">
        <v>111</v>
      </c>
      <c r="E113" s="362" t="s">
        <v>24</v>
      </c>
      <c r="F113" s="589"/>
      <c r="G113" s="589"/>
      <c r="H113" s="589"/>
      <c r="I113" s="589"/>
      <c r="J113" s="589"/>
      <c r="K113" s="585"/>
      <c r="L113" s="587"/>
      <c r="M113" s="587"/>
      <c r="N113" s="587"/>
      <c r="O113" s="587"/>
      <c r="P113" s="611"/>
      <c r="Q113" s="611"/>
      <c r="R113" s="611"/>
      <c r="S113" s="611"/>
      <c r="U113" s="613"/>
      <c r="V113" s="615"/>
      <c r="W113" s="615"/>
      <c r="X113" s="617"/>
    </row>
    <row r="114" spans="1:24" ht="15" thickBot="1" x14ac:dyDescent="0.35">
      <c r="A114" s="372"/>
      <c r="B114" s="360">
        <v>4</v>
      </c>
      <c r="C114" s="361" t="s">
        <v>53</v>
      </c>
      <c r="D114" s="361" t="s">
        <v>111</v>
      </c>
      <c r="E114" s="362" t="s">
        <v>24</v>
      </c>
      <c r="F114" s="589"/>
      <c r="G114" s="589"/>
      <c r="H114" s="589"/>
      <c r="I114" s="589"/>
      <c r="J114" s="589"/>
      <c r="K114" s="584" t="s">
        <v>88</v>
      </c>
      <c r="L114" s="586" t="str">
        <f>IFERROR(IFERROR(VLOOKUP($D114,$Z$8:$AD$9,2,FALSE),0)/IF($D114="Inhalation",IF($K114="Central Tendency",SUMIFS('Inhalation Exposure'!$L$4:$L$60,'Inhalation Exposure'!$B$4:$B$60,$B114,'Inhalation Exposure'!$D$4:$D$60,$C114,'Inhalation Exposure'!$E$4:$E$60,$E114),SUMIFS('Inhalation Exposure'!$K$4:$K$60,'Inhalation Exposure'!$B$4:$B$60,$B114,'Inhalation Exposure'!$D$4:$D$60,$C114,'Inhalation Exposure'!$E$4:$E$60,$E114)),IF($K114="Central Tendency",SUMIFS('Dermal Crosswalk'!$P$5:$P$32,'Dermal Crosswalk'!$A$5:$A$32,'Bridge Table'!$B114,'Dermal Crosswalk'!$C$5:$C$32,'Bridge Table'!$E114),SUMIFS('Dermal Crosswalk'!$K$5:$K$32,'Dermal Crosswalk'!$A$5:$A$32,'Bridge Table'!$B114,'Dermal Crosswalk'!$C$5:$C$32,'Bridge Table'!$E114))),"--")</f>
        <v>--</v>
      </c>
      <c r="M114" s="586" t="str">
        <f>IFERROR(IFERROR(VLOOKUP($D114,$Z$8:$AD$9,3,FALSE),0)/IF($D114="Inhalation",IF($K114="Central Tendency",SUMIFS('Inhalation Exposure'!$AB$4:$AB$60,'Inhalation Exposure'!$B$4:$B$60,$B114,'Inhalation Exposure'!$D$4:$D$60,$C114,'Inhalation Exposure'!$E$4:$E$60,$E114),SUMIFS('Inhalation Exposure'!$AA$4:$AA$60,'Inhalation Exposure'!$B$4:$B$60,$B114,'Inhalation Exposure'!$D$4:$D$60,$C114,'Inhalation Exposure'!$E$4:$E$60,$E114)),IF($K114="Central Tendency",SUMIFS('Dermal Crosswalk'!$S$5:$S$32,'Dermal Crosswalk'!$A$5:$A$32,'Bridge Table'!$B114,'Dermal Crosswalk'!$C$5:$C$32,'Bridge Table'!$E114),SUMIFS('Dermal Crosswalk'!$N$5:$N$32,'Dermal Crosswalk'!$A$5:$A$32,'Bridge Table'!$B114,'Dermal Crosswalk'!$C$5:$C$32,'Bridge Table'!$E114))),"--")</f>
        <v>--</v>
      </c>
      <c r="N114" s="586" t="str">
        <f>IFERROR(IFERROR(VLOOKUP($D114,$Z$8:$AD$9,4,FALSE),0)/IF($D114="Inhalation",IF($K114="Central Tendency",SUMIFS('Inhalation Exposure'!$R$4:$R$60,'Inhalation Exposure'!$B$4:$B$60,$B114,'Inhalation Exposure'!$D$4:$D$60,$C114,'Inhalation Exposure'!$E$4:$E$60,$E114),SUMIFS('Inhalation Exposure'!$Q$4:$Q$60,'Inhalation Exposure'!$B$4:$B$60,$B114,'Inhalation Exposure'!$D$4:$D$60,$C114,'Inhalation Exposure'!$E$4:$E$60,$E114)),IF($K114="Central Tendency",SUMIFS('Dermal Crosswalk'!$Q$5:$Q$32,'Dermal Crosswalk'!$A$5:$A$32,'Bridge Table'!$B114,'Dermal Crosswalk'!$C$5:$C$32,'Bridge Table'!$E114),SUMIFS('Dermal Crosswalk'!$L$5:$L$32,'Dermal Crosswalk'!$A$5:$A$32,'Bridge Table'!$B114,'Dermal Crosswalk'!$C$5:$C$32,'Bridge Table'!$E114))),"--")</f>
        <v>--</v>
      </c>
      <c r="O114" s="586" t="str">
        <f>IF(IFERROR(VLOOKUP($D114,$Z$8:$AD$9,5,FALSE),0)*IF($D114="Inhalation",IF($K114="Central Tendency",SUMIFS('Inhalation Exposure'!$V$4:$V$60,'Inhalation Exposure'!$B$4:$B$60,$B114,'Inhalation Exposure'!$D$4:$D$60,$C114,'Inhalation Exposure'!$E$4:$E$60,$E114),SUMIFS('Inhalation Exposure'!$U$4:$U$60,'Inhalation Exposure'!$B$4:$B$60,$B114,'Inhalation Exposure'!$D$4:$D$60,$C114,'Inhalation Exposure'!$E$4:$E$60,$E114)),IF($K114="Central Tendency",SUMIFS('Dermal Crosswalk'!$R$5:$R$32,'Dermal Crosswalk'!$A$5:$A$32,'Bridge Table'!$B114,'Dermal Crosswalk'!$C$5:$C$32,'Bridge Table'!$E114),SUMIFS('Dermal Crosswalk'!$M$5:$M$32,'Dermal Crosswalk'!$A$5:$A$32,'Bridge Table'!$B114,'Dermal Crosswalk'!$C$5:$C$32,'Bridge Table'!$E114)))=0,"--",IFERROR(VLOOKUP($D114,$Z$8:$AD$9,5,FALSE),0)*IF($D114="Inhalation",IF($K114="Central Tendency",SUMIFS('Inhalation Exposure'!$V$4:$V$60,'Inhalation Exposure'!$B$4:$B$60,$B114,'Inhalation Exposure'!$D$4:$D$60,$C114,'Inhalation Exposure'!$E$4:$E$60,$E114),SUMIFS('Inhalation Exposure'!$U$4:$U$60,'Inhalation Exposure'!$B$4:$B$60,$B114,'Inhalation Exposure'!$D$4:$D$60,$C114,'Inhalation Exposure'!$E$4:$E$60,$E114)),IF($K114="Central Tendency",SUMIFS('Dermal Crosswalk'!$R$5:$R$32,'Dermal Crosswalk'!$A$5:$A$32,'Bridge Table'!$B114,'Dermal Crosswalk'!$C$5:$C$32,'Bridge Table'!$E114),SUMIFS('Dermal Crosswalk'!$M$5:$M$32,'Dermal Crosswalk'!$A$5:$A$32,'Bridge Table'!$B114,'Dermal Crosswalk'!$C$5:$C$32,'Bridge Table'!$E114))))</f>
        <v>--</v>
      </c>
      <c r="P114" s="610" t="s">
        <v>118</v>
      </c>
      <c r="Q114" s="610" t="s">
        <v>118</v>
      </c>
      <c r="R114" s="610" t="s">
        <v>118</v>
      </c>
      <c r="S114" s="610" t="s">
        <v>118</v>
      </c>
      <c r="U114" s="612" t="s">
        <v>118</v>
      </c>
      <c r="V114" s="614" t="s">
        <v>118</v>
      </c>
      <c r="W114" s="614" t="s">
        <v>118</v>
      </c>
      <c r="X114" s="616" t="s">
        <v>118</v>
      </c>
    </row>
    <row r="115" spans="1:24" ht="15" thickBot="1" x14ac:dyDescent="0.35">
      <c r="A115" s="372"/>
      <c r="B115" s="360">
        <v>4</v>
      </c>
      <c r="C115" s="361" t="s">
        <v>53</v>
      </c>
      <c r="D115" s="361" t="s">
        <v>111</v>
      </c>
      <c r="E115" s="362" t="s">
        <v>24</v>
      </c>
      <c r="F115" s="589"/>
      <c r="G115" s="589"/>
      <c r="H115" s="589"/>
      <c r="I115" s="590"/>
      <c r="J115" s="590"/>
      <c r="K115" s="588"/>
      <c r="L115" s="587"/>
      <c r="M115" s="587"/>
      <c r="N115" s="587"/>
      <c r="O115" s="587"/>
      <c r="P115" s="611"/>
      <c r="Q115" s="611"/>
      <c r="R115" s="611"/>
      <c r="S115" s="611"/>
      <c r="U115" s="613"/>
      <c r="V115" s="615"/>
      <c r="W115" s="615"/>
      <c r="X115" s="617"/>
    </row>
    <row r="116" spans="1:24" ht="15" customHeight="1" thickBot="1" x14ac:dyDescent="0.35">
      <c r="A116" s="372"/>
      <c r="B116" s="360">
        <v>4</v>
      </c>
      <c r="C116" s="361" t="s">
        <v>53</v>
      </c>
      <c r="D116" s="361" t="s">
        <v>111</v>
      </c>
      <c r="E116" s="362" t="s">
        <v>117</v>
      </c>
      <c r="F116" s="589"/>
      <c r="G116" s="589"/>
      <c r="H116" s="589"/>
      <c r="I116" s="589" t="s">
        <v>53</v>
      </c>
      <c r="J116" s="586" t="s">
        <v>115</v>
      </c>
      <c r="K116" s="584" t="s">
        <v>54</v>
      </c>
      <c r="L116" s="586" t="str">
        <f>IFERROR(IFERROR(VLOOKUP($D116,$Z$8:$AD$9,2,FALSE),0)/IF($D116="Inhalation",IF($K116="Central Tendency",SUMIFS('Inhalation Exposure'!$L$4:$L$60,'Inhalation Exposure'!$B$4:$B$60,$B116,'Inhalation Exposure'!$D$4:$D$60,$C116,'Inhalation Exposure'!$E$4:$E$60,$E116),SUMIFS('Inhalation Exposure'!$K$4:$K$60,'Inhalation Exposure'!$B$4:$B$60,$B116,'Inhalation Exposure'!$D$4:$D$60,$C116,'Inhalation Exposure'!$E$4:$E$60,$E116)),IF($K116="Central Tendency",SUMIFS('Dermal Crosswalk'!$P$5:$P$32,'Dermal Crosswalk'!$A$5:$A$32,'Bridge Table'!$B116,'Dermal Crosswalk'!$C$5:$C$32,'Bridge Table'!$E116),SUMIFS('Dermal Crosswalk'!$K$5:$K$32,'Dermal Crosswalk'!$A$5:$A$32,'Bridge Table'!$B116,'Dermal Crosswalk'!$C$5:$C$32,'Bridge Table'!$E116))),"--")</f>
        <v>--</v>
      </c>
      <c r="M116" s="586" t="str">
        <f>IFERROR(IFERROR(VLOOKUP($D116,$Z$8:$AD$9,3,FALSE),0)/IF($D116="Inhalation",IF($K116="Central Tendency",SUMIFS('Inhalation Exposure'!$AB$4:$AB$60,'Inhalation Exposure'!$B$4:$B$60,$B116,'Inhalation Exposure'!$D$4:$D$60,$C116,'Inhalation Exposure'!$E$4:$E$60,$E116),SUMIFS('Inhalation Exposure'!$AA$4:$AA$60,'Inhalation Exposure'!$B$4:$B$60,$B116,'Inhalation Exposure'!$D$4:$D$60,$C116,'Inhalation Exposure'!$E$4:$E$60,$E116)),IF($K116="Central Tendency",SUMIFS('Dermal Crosswalk'!$S$5:$S$32,'Dermal Crosswalk'!$A$5:$A$32,'Bridge Table'!$B116,'Dermal Crosswalk'!$C$5:$C$32,'Bridge Table'!$E116),SUMIFS('Dermal Crosswalk'!$N$5:$N$32,'Dermal Crosswalk'!$A$5:$A$32,'Bridge Table'!$B116,'Dermal Crosswalk'!$C$5:$C$32,'Bridge Table'!$E116))),"--")</f>
        <v>--</v>
      </c>
      <c r="N116" s="586" t="str">
        <f>IFERROR(IFERROR(VLOOKUP($D116,$Z$8:$AD$9,4,FALSE),0)/IF($D116="Inhalation",IF($K116="Central Tendency",SUMIFS('Inhalation Exposure'!$R$4:$R$60,'Inhalation Exposure'!$B$4:$B$60,$B116,'Inhalation Exposure'!$D$4:$D$60,$C116,'Inhalation Exposure'!$E$4:$E$60,$E116),SUMIFS('Inhalation Exposure'!$Q$4:$Q$60,'Inhalation Exposure'!$B$4:$B$60,$B116,'Inhalation Exposure'!$D$4:$D$60,$C116,'Inhalation Exposure'!$E$4:$E$60,$E116)),IF($K116="Central Tendency",SUMIFS('Dermal Crosswalk'!$Q$5:$Q$32,'Dermal Crosswalk'!$A$5:$A$32,'Bridge Table'!$B116,'Dermal Crosswalk'!$C$5:$C$32,'Bridge Table'!$E116),SUMIFS('Dermal Crosswalk'!$L$5:$L$32,'Dermal Crosswalk'!$A$5:$A$32,'Bridge Table'!$B116,'Dermal Crosswalk'!$C$5:$C$32,'Bridge Table'!$E116))),"--")</f>
        <v>--</v>
      </c>
      <c r="O116" s="586" t="str">
        <f>IF(IFERROR(VLOOKUP($D116,$Z$8:$AD$9,5,FALSE),0)*IF($D116="Inhalation",IF($K116="Central Tendency",SUMIFS('Inhalation Exposure'!$V$4:$V$60,'Inhalation Exposure'!$B$4:$B$60,$B116,'Inhalation Exposure'!$D$4:$D$60,$C116,'Inhalation Exposure'!$E$4:$E$60,$E116),SUMIFS('Inhalation Exposure'!$U$4:$U$60,'Inhalation Exposure'!$B$4:$B$60,$B116,'Inhalation Exposure'!$D$4:$D$60,$C116,'Inhalation Exposure'!$E$4:$E$60,$E116)),IF($K116="Central Tendency",SUMIFS('Dermal Crosswalk'!$R$5:$R$32,'Dermal Crosswalk'!$A$5:$A$32,'Bridge Table'!$B116,'Dermal Crosswalk'!$C$5:$C$32,'Bridge Table'!$E116),SUMIFS('Dermal Crosswalk'!$M$5:$M$32,'Dermal Crosswalk'!$A$5:$A$32,'Bridge Table'!$B116,'Dermal Crosswalk'!$C$5:$C$32,'Bridge Table'!$E116)))=0,"--",IFERROR(VLOOKUP($D116,$Z$8:$AD$9,5,FALSE),0)*IF($D116="Inhalation",IF($K116="Central Tendency",SUMIFS('Inhalation Exposure'!$V$4:$V$60,'Inhalation Exposure'!$B$4:$B$60,$B116,'Inhalation Exposure'!$D$4:$D$60,$C116,'Inhalation Exposure'!$E$4:$E$60,$E116),SUMIFS('Inhalation Exposure'!$U$4:$U$60,'Inhalation Exposure'!$B$4:$B$60,$B116,'Inhalation Exposure'!$D$4:$D$60,$C116,'Inhalation Exposure'!$E$4:$E$60,$E116)),IF($K116="Central Tendency",SUMIFS('Dermal Crosswalk'!$R$5:$R$32,'Dermal Crosswalk'!$A$5:$A$32,'Bridge Table'!$B116,'Dermal Crosswalk'!$C$5:$C$32,'Bridge Table'!$E116),SUMIFS('Dermal Crosswalk'!$M$5:$M$32,'Dermal Crosswalk'!$A$5:$A$32,'Bridge Table'!$B116,'Dermal Crosswalk'!$C$5:$C$32,'Bridge Table'!$E116))))</f>
        <v>--</v>
      </c>
      <c r="P116" s="610" t="s">
        <v>118</v>
      </c>
      <c r="Q116" s="610" t="s">
        <v>118</v>
      </c>
      <c r="R116" s="610" t="s">
        <v>118</v>
      </c>
      <c r="S116" s="610" t="s">
        <v>118</v>
      </c>
      <c r="U116" s="612" t="s">
        <v>118</v>
      </c>
      <c r="V116" s="614" t="s">
        <v>118</v>
      </c>
      <c r="W116" s="614" t="s">
        <v>118</v>
      </c>
      <c r="X116" s="616" t="s">
        <v>118</v>
      </c>
    </row>
    <row r="117" spans="1:24" ht="15" thickBot="1" x14ac:dyDescent="0.35">
      <c r="A117" s="372"/>
      <c r="B117" s="360">
        <v>4</v>
      </c>
      <c r="C117" s="361" t="s">
        <v>53</v>
      </c>
      <c r="D117" s="361" t="s">
        <v>111</v>
      </c>
      <c r="E117" s="362" t="s">
        <v>117</v>
      </c>
      <c r="F117" s="589"/>
      <c r="G117" s="589"/>
      <c r="H117" s="589"/>
      <c r="I117" s="589"/>
      <c r="J117" s="589"/>
      <c r="K117" s="585"/>
      <c r="L117" s="587"/>
      <c r="M117" s="587"/>
      <c r="N117" s="587"/>
      <c r="O117" s="587"/>
      <c r="P117" s="611"/>
      <c r="Q117" s="611"/>
      <c r="R117" s="611"/>
      <c r="S117" s="611"/>
      <c r="U117" s="613"/>
      <c r="V117" s="615"/>
      <c r="W117" s="615"/>
      <c r="X117" s="617"/>
    </row>
    <row r="118" spans="1:24" ht="15" thickBot="1" x14ac:dyDescent="0.35">
      <c r="A118" s="372"/>
      <c r="B118" s="360">
        <v>4</v>
      </c>
      <c r="C118" s="361" t="s">
        <v>53</v>
      </c>
      <c r="D118" s="361" t="s">
        <v>111</v>
      </c>
      <c r="E118" s="362" t="s">
        <v>117</v>
      </c>
      <c r="F118" s="589"/>
      <c r="G118" s="589"/>
      <c r="H118" s="589"/>
      <c r="I118" s="589"/>
      <c r="J118" s="589"/>
      <c r="K118" s="584" t="s">
        <v>88</v>
      </c>
      <c r="L118" s="586" t="str">
        <f>IFERROR(IFERROR(VLOOKUP($D118,$Z$8:$AD$9,2,FALSE),0)/IF($D118="Inhalation",IF($K118="Central Tendency",SUMIFS('Inhalation Exposure'!$L$4:$L$60,'Inhalation Exposure'!$B$4:$B$60,$B118,'Inhalation Exposure'!$D$4:$D$60,$C118,'Inhalation Exposure'!$E$4:$E$60,$E118),SUMIFS('Inhalation Exposure'!$K$4:$K$60,'Inhalation Exposure'!$B$4:$B$60,$B118,'Inhalation Exposure'!$D$4:$D$60,$C118,'Inhalation Exposure'!$E$4:$E$60,$E118)),IF($K118="Central Tendency",SUMIFS('Dermal Crosswalk'!$P$5:$P$32,'Dermal Crosswalk'!$A$5:$A$32,'Bridge Table'!$B118,'Dermal Crosswalk'!$C$5:$C$32,'Bridge Table'!$E118),SUMIFS('Dermal Crosswalk'!$K$5:$K$32,'Dermal Crosswalk'!$A$5:$A$32,'Bridge Table'!$B118,'Dermal Crosswalk'!$C$5:$C$32,'Bridge Table'!$E118))),"--")</f>
        <v>--</v>
      </c>
      <c r="M118" s="586" t="str">
        <f>IFERROR(IFERROR(VLOOKUP($D118,$Z$8:$AD$9,3,FALSE),0)/IF($D118="Inhalation",IF($K118="Central Tendency",SUMIFS('Inhalation Exposure'!$AB$4:$AB$60,'Inhalation Exposure'!$B$4:$B$60,$B118,'Inhalation Exposure'!$D$4:$D$60,$C118,'Inhalation Exposure'!$E$4:$E$60,$E118),SUMIFS('Inhalation Exposure'!$AA$4:$AA$60,'Inhalation Exposure'!$B$4:$B$60,$B118,'Inhalation Exposure'!$D$4:$D$60,$C118,'Inhalation Exposure'!$E$4:$E$60,$E118)),IF($K118="Central Tendency",SUMIFS('Dermal Crosswalk'!$S$5:$S$32,'Dermal Crosswalk'!$A$5:$A$32,'Bridge Table'!$B118,'Dermal Crosswalk'!$C$5:$C$32,'Bridge Table'!$E118),SUMIFS('Dermal Crosswalk'!$N$5:$N$32,'Dermal Crosswalk'!$A$5:$A$32,'Bridge Table'!$B118,'Dermal Crosswalk'!$C$5:$C$32,'Bridge Table'!$E118))),"--")</f>
        <v>--</v>
      </c>
      <c r="N118" s="586" t="str">
        <f>IFERROR(IFERROR(VLOOKUP($D118,$Z$8:$AD$9,4,FALSE),0)/IF($D118="Inhalation",IF($K118="Central Tendency",SUMIFS('Inhalation Exposure'!$R$4:$R$60,'Inhalation Exposure'!$B$4:$B$60,$B118,'Inhalation Exposure'!$D$4:$D$60,$C118,'Inhalation Exposure'!$E$4:$E$60,$E118),SUMIFS('Inhalation Exposure'!$Q$4:$Q$60,'Inhalation Exposure'!$B$4:$B$60,$B118,'Inhalation Exposure'!$D$4:$D$60,$C118,'Inhalation Exposure'!$E$4:$E$60,$E118)),IF($K118="Central Tendency",SUMIFS('Dermal Crosswalk'!$Q$5:$Q$32,'Dermal Crosswalk'!$A$5:$A$32,'Bridge Table'!$B118,'Dermal Crosswalk'!$C$5:$C$32,'Bridge Table'!$E118),SUMIFS('Dermal Crosswalk'!$L$5:$L$32,'Dermal Crosswalk'!$A$5:$A$32,'Bridge Table'!$B118,'Dermal Crosswalk'!$C$5:$C$32,'Bridge Table'!$E118))),"--")</f>
        <v>--</v>
      </c>
      <c r="O118" s="586" t="str">
        <f>IF(IFERROR(VLOOKUP($D118,$Z$8:$AD$9,5,FALSE),0)*IF($D118="Inhalation",IF($K118="Central Tendency",SUMIFS('Inhalation Exposure'!$V$4:$V$60,'Inhalation Exposure'!$B$4:$B$60,$B118,'Inhalation Exposure'!$D$4:$D$60,$C118,'Inhalation Exposure'!$E$4:$E$60,$E118),SUMIFS('Inhalation Exposure'!$U$4:$U$60,'Inhalation Exposure'!$B$4:$B$60,$B118,'Inhalation Exposure'!$D$4:$D$60,$C118,'Inhalation Exposure'!$E$4:$E$60,$E118)),IF($K118="Central Tendency",SUMIFS('Dermal Crosswalk'!$R$5:$R$32,'Dermal Crosswalk'!$A$5:$A$32,'Bridge Table'!$B118,'Dermal Crosswalk'!$C$5:$C$32,'Bridge Table'!$E118),SUMIFS('Dermal Crosswalk'!$M$5:$M$32,'Dermal Crosswalk'!$A$5:$A$32,'Bridge Table'!$B118,'Dermal Crosswalk'!$C$5:$C$32,'Bridge Table'!$E118)))=0,"--",IFERROR(VLOOKUP($D118,$Z$8:$AD$9,5,FALSE),0)*IF($D118="Inhalation",IF($K118="Central Tendency",SUMIFS('Inhalation Exposure'!$V$4:$V$60,'Inhalation Exposure'!$B$4:$B$60,$B118,'Inhalation Exposure'!$D$4:$D$60,$C118,'Inhalation Exposure'!$E$4:$E$60,$E118),SUMIFS('Inhalation Exposure'!$U$4:$U$60,'Inhalation Exposure'!$B$4:$B$60,$B118,'Inhalation Exposure'!$D$4:$D$60,$C118,'Inhalation Exposure'!$E$4:$E$60,$E118)),IF($K118="Central Tendency",SUMIFS('Dermal Crosswalk'!$R$5:$R$32,'Dermal Crosswalk'!$A$5:$A$32,'Bridge Table'!$B118,'Dermal Crosswalk'!$C$5:$C$32,'Bridge Table'!$E118),SUMIFS('Dermal Crosswalk'!$M$5:$M$32,'Dermal Crosswalk'!$A$5:$A$32,'Bridge Table'!$B118,'Dermal Crosswalk'!$C$5:$C$32,'Bridge Table'!$E118))))</f>
        <v>--</v>
      </c>
      <c r="P118" s="610" t="s">
        <v>118</v>
      </c>
      <c r="Q118" s="610" t="s">
        <v>118</v>
      </c>
      <c r="R118" s="610" t="s">
        <v>118</v>
      </c>
      <c r="S118" s="610" t="s">
        <v>118</v>
      </c>
      <c r="U118" s="612" t="s">
        <v>118</v>
      </c>
      <c r="V118" s="614" t="s">
        <v>118</v>
      </c>
      <c r="W118" s="614" t="s">
        <v>118</v>
      </c>
      <c r="X118" s="616" t="s">
        <v>118</v>
      </c>
    </row>
    <row r="119" spans="1:24" ht="15" thickBot="1" x14ac:dyDescent="0.35">
      <c r="A119" s="372"/>
      <c r="B119" s="360">
        <v>4</v>
      </c>
      <c r="C119" s="361" t="s">
        <v>53</v>
      </c>
      <c r="D119" s="361" t="s">
        <v>111</v>
      </c>
      <c r="E119" s="362" t="s">
        <v>117</v>
      </c>
      <c r="F119" s="589"/>
      <c r="G119" s="589"/>
      <c r="H119" s="589"/>
      <c r="I119" s="590"/>
      <c r="J119" s="590"/>
      <c r="K119" s="588"/>
      <c r="L119" s="587"/>
      <c r="M119" s="587"/>
      <c r="N119" s="587"/>
      <c r="O119" s="587"/>
      <c r="P119" s="611"/>
      <c r="Q119" s="611"/>
      <c r="R119" s="611"/>
      <c r="S119" s="611"/>
      <c r="U119" s="613"/>
      <c r="V119" s="615"/>
      <c r="W119" s="615"/>
      <c r="X119" s="617"/>
    </row>
    <row r="120" spans="1:24" ht="15.6" customHeight="1" thickTop="1" thickBot="1" x14ac:dyDescent="0.35">
      <c r="A120" s="372"/>
      <c r="B120" s="360">
        <v>4</v>
      </c>
      <c r="C120" s="361" t="s">
        <v>25</v>
      </c>
      <c r="D120" s="361" t="s">
        <v>16</v>
      </c>
      <c r="E120" s="362" t="s">
        <v>24</v>
      </c>
      <c r="F120" s="589"/>
      <c r="G120" s="589"/>
      <c r="H120" s="589"/>
      <c r="I120" s="589" t="s">
        <v>25</v>
      </c>
      <c r="J120" s="609" t="s">
        <v>16</v>
      </c>
      <c r="K120" s="607" t="s">
        <v>54</v>
      </c>
      <c r="L120" s="586">
        <f>IFERROR(IFERROR(VLOOKUP($D120,$Z$8:$AD$9,2,FALSE),0)/IF($D120="Inhalation",IF($K120="Central Tendency",SUMIFS('Inhalation Exposure'!$N$4:$N$61,'Inhalation Exposure'!$B$4:$B$61,$B120,'Inhalation Exposure'!$D$4:$D$61,$C120,'Inhalation Exposure'!$E$4:$E$61,$E120),SUMIFS('Inhalation Exposure'!$M$4:$M$61,'Inhalation Exposure'!$B$4:$B$61,$B120,'Inhalation Exposure'!$D$4:$D$61,$C120,'Inhalation Exposure'!$E$4:$E$61,$E120)),IF($K120="Central Tendency",SUMIFS('Dermal Crosswalk'!$P$5:$P$32,'Dermal Crosswalk'!$A$5:$A$32,'Bridge Table'!$B120,'Dermal Crosswalk'!$C$5:$C$32,'Bridge Table'!$E120),SUMIFS('Dermal Crosswalk'!$K$5:$K$32,'Dermal Crosswalk'!$A$5:$A$32,'Bridge Table'!$B120,'Dermal Crosswalk'!$C$5:$C$32,'Bridge Table'!$E120))),"--")</f>
        <v>10.841350699358804</v>
      </c>
      <c r="M120" s="586">
        <f>IFERROR(IFERROR(VLOOKUP($D120,$Z$8:$AD$9,3,FALSE),0)/IF($D120="Inhalation",IF($K120="Central Tendency",SUMIFS('Inhalation Exposure'!$AB$4:$AB$61,'Inhalation Exposure'!$B$4:$B$61,$B120,'Inhalation Exposure'!$D$4:$D$61,$C120,'Inhalation Exposure'!$E$4:$E$61,$E120),SUMIFS('Inhalation Exposure'!$AA$4:$AA$61,'Inhalation Exposure'!$B$4:$B$61,$B120,'Inhalation Exposure'!$D$4:$D$61,$C120,'Inhalation Exposure'!$E$4:$E$61,$E120)),IF($K120="Central Tendency",SUMIFS('Dermal Crosswalk'!$S$5:$S$32,'Dermal Crosswalk'!$A$5:$A$32,'Bridge Table'!$B120,'Dermal Crosswalk'!$C$5:$C$32,'Bridge Table'!$E120),SUMIFS('Dermal Crosswalk'!$N$5:$N$32,'Dermal Crosswalk'!$A$5:$A$32,'Bridge Table'!$B120,'Dermal Crosswalk'!$C$5:$C$32,'Bridge Table'!$E120))),"--")</f>
        <v>4.2663204991230348</v>
      </c>
      <c r="N120" s="586">
        <f>IFERROR(IFERROR(VLOOKUP($D120,$Z$8:$AD$9,4,FALSE),0)/IF($D120="Inhalation",IF($K120="Central Tendency",SUMIFS('Inhalation Exposure'!$R$4:$R$61,'Inhalation Exposure'!$B$4:$B$61,$B120,'Inhalation Exposure'!$D$4:$D$61,$C120,'Inhalation Exposure'!$E$4:$E$61,$E120),SUMIFS('Inhalation Exposure'!$Q$4:$Q$61,'Inhalation Exposure'!$B$4:$B$61,$B120,'Inhalation Exposure'!$D$4:$D$61,$C120,'Inhalation Exposure'!$E$4:$E$61,$E120)),IF($K120="Central Tendency",SUMIFS('Dermal Crosswalk'!$Q$5:$Q$32,'Dermal Crosswalk'!$A$5:$A$32,'Bridge Table'!$B120,'Dermal Crosswalk'!$C$5:$C$32,'Bridge Table'!$E120),SUMIFS('Dermal Crosswalk'!$L$5:$L$32,'Dermal Crosswalk'!$A$5:$A$32,'Bridge Table'!$B120,'Dermal Crosswalk'!$C$5:$C$32,'Bridge Table'!$E120))),"--")</f>
        <v>15.860441485165726</v>
      </c>
      <c r="O120" s="586">
        <f>IFERROR(IFERROR(VLOOKUP($D120,$Z$8:$AD$9,5,FALSE),0)*IF($D120="Inhalation",IF($K120="Central Tendency",SUMIFS('Inhalation Exposure'!$V$4:$V$61,'Inhalation Exposure'!$B$4:$B$61,$B120,'Inhalation Exposure'!$D$4:$D$61,$C120,'Inhalation Exposure'!$E$4:$E$61,$E120),SUMIFS('Inhalation Exposure'!$U$4:$U$61,'Inhalation Exposure'!$B$4:$B$61,$B120,'Inhalation Exposure'!$D$4:$D$61,$C120,'Inhalation Exposure'!$E$4:$E$61,$E120)),IF($K120="Central Tendency",SUMIFS('Dermal Crosswalk'!$R$5:$R$32,'Dermal Crosswalk'!$A$5:$A$32,'Bridge Table'!$B120,'Dermal Crosswalk'!$C$5:$C$32,'Bridge Table'!$E120),SUMIFS('Dermal Crosswalk'!$M$5:$M$32,'Dermal Crosswalk'!$A$5:$A$32,'Bridge Table'!$B120,'Dermal Crosswalk'!$C$5:$C$32,'Bridge Table'!$E120))),"--")</f>
        <v>1.6760252244467861E-3</v>
      </c>
      <c r="P120" s="382">
        <f>L120*U120</f>
        <v>54.206753496794022</v>
      </c>
      <c r="Q120" s="382">
        <f t="shared" ref="Q120" si="31">M120*V120</f>
        <v>21.331602495615172</v>
      </c>
      <c r="R120" s="382">
        <f t="shared" ref="R120" si="32">N120*W120</f>
        <v>79.302207425828627</v>
      </c>
      <c r="S120" s="383">
        <f>O120/X120</f>
        <v>3.3520504488935719E-4</v>
      </c>
      <c r="U120" s="378">
        <v>5</v>
      </c>
      <c r="V120" s="379">
        <v>5</v>
      </c>
      <c r="W120" s="379">
        <v>5</v>
      </c>
      <c r="X120" s="380">
        <v>5</v>
      </c>
    </row>
    <row r="121" spans="1:24" ht="15" thickBot="1" x14ac:dyDescent="0.35">
      <c r="A121" s="372"/>
      <c r="B121" s="360">
        <v>4</v>
      </c>
      <c r="C121" s="361" t="s">
        <v>25</v>
      </c>
      <c r="D121" s="361" t="s">
        <v>16</v>
      </c>
      <c r="E121" s="362" t="s">
        <v>24</v>
      </c>
      <c r="F121" s="589"/>
      <c r="G121" s="589"/>
      <c r="H121" s="589"/>
      <c r="I121" s="589"/>
      <c r="J121" s="589"/>
      <c r="K121" s="608"/>
      <c r="L121" s="587"/>
      <c r="M121" s="587"/>
      <c r="N121" s="587"/>
      <c r="O121" s="587"/>
      <c r="P121" s="373" t="str">
        <f>CONCATENATE("(PF ",U120,")")</f>
        <v>(PF 5)</v>
      </c>
      <c r="Q121" s="373" t="str">
        <f>CONCATENATE("(PF ",V120,")")</f>
        <v>(PF 5)</v>
      </c>
      <c r="R121" s="373" t="str">
        <f>CONCATENATE("(PF ",W120,")")</f>
        <v>(PF 5)</v>
      </c>
      <c r="S121" s="373" t="str">
        <f>CONCATENATE("(PF ",X120,")")</f>
        <v>(PF 5)</v>
      </c>
      <c r="U121" s="374" t="s">
        <v>119</v>
      </c>
      <c r="V121" s="375" t="s">
        <v>119</v>
      </c>
      <c r="W121" s="375" t="s">
        <v>119</v>
      </c>
      <c r="X121" s="376" t="s">
        <v>119</v>
      </c>
    </row>
    <row r="122" spans="1:24" ht="15" thickBot="1" x14ac:dyDescent="0.35">
      <c r="A122" s="372"/>
      <c r="B122" s="360">
        <v>4</v>
      </c>
      <c r="C122" s="361" t="s">
        <v>25</v>
      </c>
      <c r="D122" s="361" t="s">
        <v>16</v>
      </c>
      <c r="E122" s="362" t="s">
        <v>24</v>
      </c>
      <c r="F122" s="589"/>
      <c r="G122" s="589"/>
      <c r="H122" s="589"/>
      <c r="I122" s="589"/>
      <c r="J122" s="589"/>
      <c r="K122" s="584" t="s">
        <v>88</v>
      </c>
      <c r="L122" s="586">
        <f>IFERROR(IFERROR(VLOOKUP($D122,$Z$8:$AD$9,2,FALSE),0)/IF($D122="Inhalation",IF($K122="Central Tendency",SUMIFS('Inhalation Exposure'!$N$4:$N$61,'Inhalation Exposure'!$B$4:$B$61,$B122,'Inhalation Exposure'!$D$4:$D$61,$C122,'Inhalation Exposure'!$E$4:$E$61,$E122),SUMIFS('Inhalation Exposure'!$M$4:$M$61,'Inhalation Exposure'!$B$4:$B$61,$B122,'Inhalation Exposure'!$D$4:$D$61,$C122,'Inhalation Exposure'!$E$4:$E$61,$E122)),IF($K122="Central Tendency",SUMIFS('Dermal Crosswalk'!$P$5:$P$32,'Dermal Crosswalk'!$A$5:$A$32,'Bridge Table'!$B122,'Dermal Crosswalk'!$C$5:$C$32,'Bridge Table'!$E122),SUMIFS('Dermal Crosswalk'!$K$5:$K$32,'Dermal Crosswalk'!$A$5:$A$32,'Bridge Table'!$B122,'Dermal Crosswalk'!$C$5:$C$32,'Bridge Table'!$E122))),"--")</f>
        <v>3.6137835664529336</v>
      </c>
      <c r="M122" s="586">
        <f>IFERROR(IFERROR(VLOOKUP($D122,$Z$8:$AD$9,3,FALSE),0)/IF($D122="Inhalation",IF($K122="Central Tendency",SUMIFS('Inhalation Exposure'!$AB$4:$AB$61,'Inhalation Exposure'!$B$4:$B$61,$B122,'Inhalation Exposure'!$D$4:$D$61,$C122,'Inhalation Exposure'!$E$4:$E$61,$E122),SUMIFS('Inhalation Exposure'!$AA$4:$AA$61,'Inhalation Exposure'!$B$4:$B$61,$B122,'Inhalation Exposure'!$D$4:$D$61,$C122,'Inhalation Exposure'!$E$4:$E$61,$E122)),IF($K122="Central Tendency",SUMIFS('Dermal Crosswalk'!$S$5:$S$32,'Dermal Crosswalk'!$A$5:$A$32,'Bridge Table'!$B122,'Dermal Crosswalk'!$C$5:$C$32,'Bridge Table'!$E122),SUMIFS('Dermal Crosswalk'!$N$5:$N$32,'Dermal Crosswalk'!$A$5:$A$32,'Bridge Table'!$B122,'Dermal Crosswalk'!$C$5:$C$32,'Bridge Table'!$E122))),"--")</f>
        <v>1.4221068330410112</v>
      </c>
      <c r="N122" s="586">
        <f>IFERROR(IFERROR(VLOOKUP($D122,$Z$8:$AD$9,4,FALSE),0)/IF($D122="Inhalation",IF($K122="Central Tendency",SUMIFS('Inhalation Exposure'!$R$4:$R$61,'Inhalation Exposure'!$B$4:$B$61,$B122,'Inhalation Exposure'!$D$4:$D$61,$C122,'Inhalation Exposure'!$E$4:$E$61,$E122),SUMIFS('Inhalation Exposure'!$Q$4:$Q$61,'Inhalation Exposure'!$B$4:$B$61,$B122,'Inhalation Exposure'!$D$4:$D$61,$C122,'Inhalation Exposure'!$E$4:$E$61,$E122)),IF($K122="Central Tendency",SUMIFS('Dermal Crosswalk'!$Q$5:$Q$32,'Dermal Crosswalk'!$A$5:$A$32,'Bridge Table'!$B122,'Dermal Crosswalk'!$C$5:$C$32,'Bridge Table'!$E122),SUMIFS('Dermal Crosswalk'!$L$5:$L$32,'Dermal Crosswalk'!$A$5:$A$32,'Bridge Table'!$B122,'Dermal Crosswalk'!$C$5:$C$32,'Bridge Table'!$E122))),"--")</f>
        <v>1.5226023825759092</v>
      </c>
      <c r="O122" s="586">
        <f>IFERROR(IFERROR(VLOOKUP($D122,$Z$8:$AD$9,5,FALSE),0)*IF($D122="Inhalation",IF($K122="Central Tendency",SUMIFS('Inhalation Exposure'!$V$4:$V$61,'Inhalation Exposure'!$B$4:$B$61,$B122,'Inhalation Exposure'!$D$4:$D$61,$C122,'Inhalation Exposure'!$E$4:$E$61,$E122),SUMIFS('Inhalation Exposure'!$U$4:$U$61,'Inhalation Exposure'!$B$4:$B$61,$B122,'Inhalation Exposure'!$D$4:$D$61,$C122,'Inhalation Exposure'!$E$4:$E$61,$E122)),IF($K122="Central Tendency",SUMIFS('Dermal Crosswalk'!$R$5:$R$32,'Dermal Crosswalk'!$A$5:$A$32,'Bridge Table'!$B122,'Dermal Crosswalk'!$C$5:$C$32,'Bridge Table'!$E122),SUMIFS('Dermal Crosswalk'!$M$5:$M$32,'Dermal Crosswalk'!$A$5:$A$32,'Bridge Table'!$B122,'Dermal Crosswalk'!$C$5:$C$32,'Bridge Table'!$E122))),"--")</f>
        <v>2.2527220758693366E-2</v>
      </c>
      <c r="P122" s="382">
        <f>L122*U122</f>
        <v>18.068917832264667</v>
      </c>
      <c r="Q122" s="382">
        <f t="shared" ref="Q122" si="33">M122*V122</f>
        <v>7.1105341652050562</v>
      </c>
      <c r="R122" s="382">
        <f t="shared" ref="R122" si="34">N122*W122</f>
        <v>7.6130119128795464</v>
      </c>
      <c r="S122" s="383">
        <f>O122/X122</f>
        <v>4.5054441517386728E-3</v>
      </c>
      <c r="U122" s="378">
        <v>5</v>
      </c>
      <c r="V122" s="379">
        <v>5</v>
      </c>
      <c r="W122" s="379">
        <v>5</v>
      </c>
      <c r="X122" s="380">
        <v>5</v>
      </c>
    </row>
    <row r="123" spans="1:24" ht="15" thickBot="1" x14ac:dyDescent="0.35">
      <c r="A123" s="372"/>
      <c r="B123" s="360">
        <v>4</v>
      </c>
      <c r="C123" s="361" t="s">
        <v>25</v>
      </c>
      <c r="D123" s="361" t="s">
        <v>16</v>
      </c>
      <c r="E123" s="362" t="s">
        <v>24</v>
      </c>
      <c r="F123" s="589"/>
      <c r="G123" s="589"/>
      <c r="H123" s="589"/>
      <c r="I123" s="590"/>
      <c r="J123" s="590"/>
      <c r="K123" s="588"/>
      <c r="L123" s="587"/>
      <c r="M123" s="587"/>
      <c r="N123" s="587"/>
      <c r="O123" s="587"/>
      <c r="P123" s="373" t="str">
        <f>CONCATENATE("(PF ",U122,")")</f>
        <v>(PF 5)</v>
      </c>
      <c r="Q123" s="373" t="str">
        <f>CONCATENATE("(PF ",V122,")")</f>
        <v>(PF 5)</v>
      </c>
      <c r="R123" s="373" t="str">
        <f>CONCATENATE("(PF ",W122,")")</f>
        <v>(PF 5)</v>
      </c>
      <c r="S123" s="373" t="str">
        <f>CONCATENATE("(PF ",X122,")")</f>
        <v>(PF 5)</v>
      </c>
      <c r="U123" s="374" t="s">
        <v>119</v>
      </c>
      <c r="V123" s="375" t="s">
        <v>119</v>
      </c>
      <c r="W123" s="375" t="s">
        <v>119</v>
      </c>
      <c r="X123" s="376" t="s">
        <v>119</v>
      </c>
    </row>
    <row r="124" spans="1:24" ht="15" customHeight="1" thickTop="1" thickBot="1" x14ac:dyDescent="0.35">
      <c r="A124" s="372"/>
      <c r="B124" s="360">
        <v>4</v>
      </c>
      <c r="C124" s="361" t="s">
        <v>25</v>
      </c>
      <c r="D124" s="361" t="s">
        <v>16</v>
      </c>
      <c r="E124" s="362" t="s">
        <v>117</v>
      </c>
      <c r="F124" s="589"/>
      <c r="G124" s="589"/>
      <c r="H124" s="589"/>
      <c r="I124" s="609" t="s">
        <v>25</v>
      </c>
      <c r="J124" s="609" t="s">
        <v>16</v>
      </c>
      <c r="K124" s="607" t="s">
        <v>54</v>
      </c>
      <c r="L124" s="586">
        <f>IFERROR(IFERROR(VLOOKUP($D124,$Z$8:$AD$9,2,FALSE),0)/IF($D124="Inhalation",IF($K124="Central Tendency",SUMIFS('Inhalation Exposure'!$N$4:$N$61,'Inhalation Exposure'!$B$4:$B$61,$B124,'Inhalation Exposure'!$D$4:$D$61,$C124,'Inhalation Exposure'!$E$4:$E$61,$E124),SUMIFS('Inhalation Exposure'!$M$4:$M$61,'Inhalation Exposure'!$B$4:$B$61,$B124,'Inhalation Exposure'!$D$4:$D$61,$C124,'Inhalation Exposure'!$E$4:$E$61,$E124)),IF($K124="Central Tendency",SUMIFS('Dermal Crosswalk'!$P$5:$P$32,'Dermal Crosswalk'!$A$5:$A$32,'Bridge Table'!$B124,'Dermal Crosswalk'!$C$5:$C$32,'Bridge Table'!$E124),SUMIFS('Dermal Crosswalk'!$K$5:$K$32,'Dermal Crosswalk'!$A$5:$A$32,'Bridge Table'!$B124,'Dermal Crosswalk'!$C$5:$C$32,'Bridge Table'!$E124))),"--")</f>
        <v>10.841350699358804</v>
      </c>
      <c r="M124" s="586">
        <f>IFERROR(IFERROR(VLOOKUP($D124,$Z$8:$AD$9,3,FALSE),0)/IF($D124="Inhalation",IF($K124="Central Tendency",SUMIFS('Inhalation Exposure'!$AB$4:$AB$61,'Inhalation Exposure'!$B$4:$B$61,$B124,'Inhalation Exposure'!$D$4:$D$61,$C124,'Inhalation Exposure'!$E$4:$E$61,$E124),SUMIFS('Inhalation Exposure'!$AA$4:$AA$61,'Inhalation Exposure'!$B$4:$B$61,$B124,'Inhalation Exposure'!$D$4:$D$61,$C124,'Inhalation Exposure'!$E$4:$E$61,$E124)),IF($K124="Central Tendency",SUMIFS('Dermal Crosswalk'!$S$5:$S$32,'Dermal Crosswalk'!$A$5:$A$32,'Bridge Table'!$B124,'Dermal Crosswalk'!$C$5:$C$32,'Bridge Table'!$E124),SUMIFS('Dermal Crosswalk'!$N$5:$N$32,'Dermal Crosswalk'!$A$5:$A$32,'Bridge Table'!$B124,'Dermal Crosswalk'!$C$5:$C$32,'Bridge Table'!$E124))),"--")</f>
        <v>4.2663204991230348</v>
      </c>
      <c r="N124" s="586">
        <f>IFERROR(IFERROR(VLOOKUP($D124,$Z$8:$AD$9,4,FALSE),0)/IF($D124="Inhalation",IF($K124="Central Tendency",SUMIFS('Inhalation Exposure'!$R$4:$R$61,'Inhalation Exposure'!$B$4:$B$61,$B124,'Inhalation Exposure'!$D$4:$D$61,$C124,'Inhalation Exposure'!$E$4:$E$61,$E124),SUMIFS('Inhalation Exposure'!$Q$4:$Q$61,'Inhalation Exposure'!$B$4:$B$61,$B124,'Inhalation Exposure'!$D$4:$D$61,$C124,'Inhalation Exposure'!$E$4:$E$61,$E124)),IF($K124="Central Tendency",SUMIFS('Dermal Crosswalk'!$Q$5:$Q$32,'Dermal Crosswalk'!$A$5:$A$32,'Bridge Table'!$B124,'Dermal Crosswalk'!$C$5:$C$32,'Bridge Table'!$E124),SUMIFS('Dermal Crosswalk'!$L$5:$L$32,'Dermal Crosswalk'!$A$5:$A$32,'Bridge Table'!$B124,'Dermal Crosswalk'!$C$5:$C$32,'Bridge Table'!$E124))),"--")</f>
        <v>4.5678071477277289</v>
      </c>
      <c r="O124" s="586">
        <f>IFERROR(IFERROR(VLOOKUP($D124,$Z$8:$AD$9,5,FALSE),0)*IF($D124="Inhalation",IF($K124="Central Tendency",SUMIFS('Inhalation Exposure'!$V$4:$V$61,'Inhalation Exposure'!$B$4:$B$61,$B124,'Inhalation Exposure'!$D$4:$D$61,$C124,'Inhalation Exposure'!$E$4:$E$61,$E124),SUMIFS('Inhalation Exposure'!$U$4:$U$61,'Inhalation Exposure'!$B$4:$B$61,$B124,'Inhalation Exposure'!$D$4:$D$61,$C124,'Inhalation Exposure'!$E$4:$E$61,$E124)),IF($K124="Central Tendency",SUMIFS('Dermal Crosswalk'!$R$5:$R$32,'Dermal Crosswalk'!$A$5:$A$32,'Bridge Table'!$B124,'Dermal Crosswalk'!$C$5:$C$32,'Bridge Table'!$E124),SUMIFS('Dermal Crosswalk'!$M$5:$M$32,'Dermal Crosswalk'!$A$5:$A$32,'Bridge Table'!$B124,'Dermal Crosswalk'!$C$5:$C$32,'Bridge Table'!$E124))),"--")</f>
        <v>5.8195320293291187E-3</v>
      </c>
      <c r="P124" s="382">
        <f>L124*U124</f>
        <v>54.206753496794022</v>
      </c>
      <c r="Q124" s="382">
        <f t="shared" ref="Q124" si="35">M124*V124</f>
        <v>21.331602495615172</v>
      </c>
      <c r="R124" s="382">
        <f t="shared" ref="R124" si="36">N124*W124</f>
        <v>22.839035738638643</v>
      </c>
      <c r="S124" s="383">
        <f>O124/X124</f>
        <v>1.1639064058658237E-3</v>
      </c>
      <c r="U124" s="378">
        <v>5</v>
      </c>
      <c r="V124" s="379">
        <v>5</v>
      </c>
      <c r="W124" s="379">
        <v>5</v>
      </c>
      <c r="X124" s="380">
        <v>5</v>
      </c>
    </row>
    <row r="125" spans="1:24" ht="15" thickBot="1" x14ac:dyDescent="0.35">
      <c r="A125" s="372"/>
      <c r="B125" s="360">
        <v>4</v>
      </c>
      <c r="C125" s="361" t="s">
        <v>25</v>
      </c>
      <c r="D125" s="361" t="s">
        <v>16</v>
      </c>
      <c r="E125" s="362" t="s">
        <v>117</v>
      </c>
      <c r="F125" s="589"/>
      <c r="G125" s="589"/>
      <c r="H125" s="589"/>
      <c r="I125" s="589"/>
      <c r="J125" s="589"/>
      <c r="K125" s="608"/>
      <c r="L125" s="587"/>
      <c r="M125" s="587"/>
      <c r="N125" s="587"/>
      <c r="O125" s="587"/>
      <c r="P125" s="373" t="str">
        <f>CONCATENATE("(PF ",U124,")")</f>
        <v>(PF 5)</v>
      </c>
      <c r="Q125" s="373" t="str">
        <f>CONCATENATE("(PF ",V124,")")</f>
        <v>(PF 5)</v>
      </c>
      <c r="R125" s="373" t="str">
        <f>CONCATENATE("(PF ",W124,")")</f>
        <v>(PF 5)</v>
      </c>
      <c r="S125" s="373" t="str">
        <f>CONCATENATE("(PF ",X124,")")</f>
        <v>(PF 5)</v>
      </c>
      <c r="U125" s="374" t="s">
        <v>119</v>
      </c>
      <c r="V125" s="375" t="s">
        <v>119</v>
      </c>
      <c r="W125" s="375" t="s">
        <v>119</v>
      </c>
      <c r="X125" s="376" t="s">
        <v>119</v>
      </c>
    </row>
    <row r="126" spans="1:24" ht="15" customHeight="1" thickBot="1" x14ac:dyDescent="0.35">
      <c r="A126" s="372"/>
      <c r="B126" s="360">
        <v>4</v>
      </c>
      <c r="C126" s="361" t="s">
        <v>25</v>
      </c>
      <c r="D126" s="361" t="s">
        <v>16</v>
      </c>
      <c r="E126" s="362" t="s">
        <v>117</v>
      </c>
      <c r="F126" s="589"/>
      <c r="G126" s="589"/>
      <c r="H126" s="589"/>
      <c r="I126" s="589"/>
      <c r="J126" s="589"/>
      <c r="K126" s="584" t="s">
        <v>88</v>
      </c>
      <c r="L126" s="586">
        <f>IFERROR(IFERROR(VLOOKUP($D126,$Z$8:$AD$9,2,FALSE),0)/IF($D126="Inhalation",IF($K126="Central Tendency",SUMIFS('Inhalation Exposure'!$N$4:$N$61,'Inhalation Exposure'!$B$4:$B$61,$B126,'Inhalation Exposure'!$D$4:$D$61,$C126,'Inhalation Exposure'!$E$4:$E$61,$E126),SUMIFS('Inhalation Exposure'!$M$4:$M$61,'Inhalation Exposure'!$B$4:$B$61,$B126,'Inhalation Exposure'!$D$4:$D$61,$C126,'Inhalation Exposure'!$E$4:$E$61,$E126)),IF($K126="Central Tendency",SUMIFS('Dermal Crosswalk'!$P$5:$P$32,'Dermal Crosswalk'!$A$5:$A$32,'Bridge Table'!$B126,'Dermal Crosswalk'!$C$5:$C$32,'Bridge Table'!$E126),SUMIFS('Dermal Crosswalk'!$K$5:$K$32,'Dermal Crosswalk'!$A$5:$A$32,'Bridge Table'!$B126,'Dermal Crosswalk'!$C$5:$C$32,'Bridge Table'!$E126))),"--")</f>
        <v>3.6137835664529336</v>
      </c>
      <c r="M126" s="586">
        <f>IFERROR(IFERROR(VLOOKUP($D126,$Z$8:$AD$9,3,FALSE),0)/IF($D126="Inhalation",IF($K126="Central Tendency",SUMIFS('Inhalation Exposure'!$AB$4:$AB$61,'Inhalation Exposure'!$B$4:$B$61,$B126,'Inhalation Exposure'!$D$4:$D$61,$C126,'Inhalation Exposure'!$E$4:$E$61,$E126),SUMIFS('Inhalation Exposure'!$AA$4:$AA$61,'Inhalation Exposure'!$B$4:$B$61,$B126,'Inhalation Exposure'!$D$4:$D$61,$C126,'Inhalation Exposure'!$E$4:$E$61,$E126)),IF($K126="Central Tendency",SUMIFS('Dermal Crosswalk'!$S$5:$S$32,'Dermal Crosswalk'!$A$5:$A$32,'Bridge Table'!$B126,'Dermal Crosswalk'!$C$5:$C$32,'Bridge Table'!$E126),SUMIFS('Dermal Crosswalk'!$N$5:$N$32,'Dermal Crosswalk'!$A$5:$A$32,'Bridge Table'!$B126,'Dermal Crosswalk'!$C$5:$C$32,'Bridge Table'!$E126))),"--")</f>
        <v>1.4221068330410112</v>
      </c>
      <c r="N126" s="586">
        <f>IFERROR(IFERROR(VLOOKUP($D126,$Z$8:$AD$9,4,FALSE),0)/IF($D126="Inhalation",IF($K126="Central Tendency",SUMIFS('Inhalation Exposure'!$R$4:$R$61,'Inhalation Exposure'!$B$4:$B$61,$B126,'Inhalation Exposure'!$D$4:$D$61,$C126,'Inhalation Exposure'!$E$4:$E$61,$E126),SUMIFS('Inhalation Exposure'!$Q$4:$Q$61,'Inhalation Exposure'!$B$4:$B$61,$B126,'Inhalation Exposure'!$D$4:$D$61,$C126,'Inhalation Exposure'!$E$4:$E$61,$E126)),IF($K126="Central Tendency",SUMIFS('Dermal Crosswalk'!$Q$5:$Q$32,'Dermal Crosswalk'!$A$5:$A$32,'Bridge Table'!$B126,'Dermal Crosswalk'!$C$5:$C$32,'Bridge Table'!$E126),SUMIFS('Dermal Crosswalk'!$L$5:$L$32,'Dermal Crosswalk'!$A$5:$A$32,'Bridge Table'!$B126,'Dermal Crosswalk'!$C$5:$C$32,'Bridge Table'!$E126))),"--")</f>
        <v>1.5226023825759092</v>
      </c>
      <c r="O126" s="586">
        <f>IFERROR(IFERROR(VLOOKUP($D126,$Z$8:$AD$9,5,FALSE),0)*IF($D126="Inhalation",IF($K126="Central Tendency",SUMIFS('Inhalation Exposure'!$V$4:$V$61,'Inhalation Exposure'!$B$4:$B$61,$B126,'Inhalation Exposure'!$D$4:$D$61,$C126,'Inhalation Exposure'!$E$4:$E$61,$E126),SUMIFS('Inhalation Exposure'!$U$4:$U$61,'Inhalation Exposure'!$B$4:$B$61,$B126,'Inhalation Exposure'!$D$4:$D$61,$C126,'Inhalation Exposure'!$E$4:$E$61,$E126)),IF($K126="Central Tendency",SUMIFS('Dermal Crosswalk'!$R$5:$R$32,'Dermal Crosswalk'!$A$5:$A$32,'Bridge Table'!$B126,'Dermal Crosswalk'!$C$5:$C$32,'Bridge Table'!$E126),SUMIFS('Dermal Crosswalk'!$M$5:$M$32,'Dermal Crosswalk'!$A$5:$A$32,'Bridge Table'!$B126,'Dermal Crosswalk'!$C$5:$C$32,'Bridge Table'!$E126))),"--")</f>
        <v>2.2527220758693366E-2</v>
      </c>
      <c r="P126" s="363">
        <f>L126*U126</f>
        <v>18.068917832264667</v>
      </c>
      <c r="Q126" s="363">
        <f t="shared" ref="Q126" si="37">M126*V126</f>
        <v>7.1105341652050562</v>
      </c>
      <c r="R126" s="363">
        <f t="shared" ref="R126" si="38">N126*W126</f>
        <v>7.6130119128795464</v>
      </c>
      <c r="S126" s="364">
        <f>O126/X126</f>
        <v>4.5054441517386728E-3</v>
      </c>
      <c r="U126" s="378">
        <v>5</v>
      </c>
      <c r="V126" s="379">
        <v>5</v>
      </c>
      <c r="W126" s="379">
        <v>5</v>
      </c>
      <c r="X126" s="380">
        <v>5</v>
      </c>
    </row>
    <row r="127" spans="1:24" ht="15" thickBot="1" x14ac:dyDescent="0.35">
      <c r="A127" s="372"/>
      <c r="B127" s="360">
        <v>4</v>
      </c>
      <c r="C127" s="361" t="s">
        <v>25</v>
      </c>
      <c r="D127" s="361" t="s">
        <v>16</v>
      </c>
      <c r="E127" s="362" t="s">
        <v>117</v>
      </c>
      <c r="F127" s="587"/>
      <c r="G127" s="587"/>
      <c r="H127" s="587"/>
      <c r="I127" s="587"/>
      <c r="J127" s="587"/>
      <c r="K127" s="585"/>
      <c r="L127" s="587"/>
      <c r="M127" s="587"/>
      <c r="N127" s="587"/>
      <c r="O127" s="587"/>
      <c r="P127" s="373" t="str">
        <f>CONCATENATE("(PF ",U126,")")</f>
        <v>(PF 5)</v>
      </c>
      <c r="Q127" s="373" t="str">
        <f>CONCATENATE("(PF ",V126,")")</f>
        <v>(PF 5)</v>
      </c>
      <c r="R127" s="373" t="str">
        <f>CONCATENATE("(PF ",W126,")")</f>
        <v>(PF 5)</v>
      </c>
      <c r="S127" s="373" t="str">
        <f>CONCATENATE("(PF ",X126,")")</f>
        <v>(PF 5)</v>
      </c>
      <c r="U127" s="384" t="s">
        <v>119</v>
      </c>
      <c r="V127" s="385" t="s">
        <v>119</v>
      </c>
      <c r="W127" s="385" t="s">
        <v>119</v>
      </c>
      <c r="X127" s="386" t="s">
        <v>119</v>
      </c>
    </row>
    <row r="128" spans="1:24" ht="15.6" customHeight="1" thickBot="1" x14ac:dyDescent="0.35">
      <c r="A128" s="372"/>
      <c r="B128" s="360">
        <v>5</v>
      </c>
      <c r="C128" s="361" t="s">
        <v>25</v>
      </c>
      <c r="D128" s="361" t="s">
        <v>111</v>
      </c>
      <c r="E128" s="362" t="s">
        <v>24</v>
      </c>
      <c r="F128" s="586" t="s">
        <v>131</v>
      </c>
      <c r="G128" s="586" t="s">
        <v>132</v>
      </c>
      <c r="H128" s="586" t="s">
        <v>133</v>
      </c>
      <c r="I128" s="586" t="s">
        <v>25</v>
      </c>
      <c r="J128" s="586" t="s">
        <v>115</v>
      </c>
      <c r="K128" s="584" t="s">
        <v>54</v>
      </c>
      <c r="L128" s="586">
        <f>IFERROR(IFERROR(VLOOKUP($D128,$Z$8:$AD$9,2,FALSE),0)/IF($D128="Inhalation",IF($K128="Central Tendency",SUMIFS('Inhalation Exposure'!$N$4:$N$61,'Inhalation Exposure'!$B$4:$B$61,$B128,'Inhalation Exposure'!$D$4:$D$61,$C128,'Inhalation Exposure'!$E$4:$E$61,$E128),SUMIFS('Inhalation Exposure'!$M$4:$M$61,'Inhalation Exposure'!$B$4:$B$61,$B128,'Inhalation Exposure'!$D$4:$D$61,$C128,'Inhalation Exposure'!$E$4:$E$61,$E128)),IF($K128="Central Tendency",SUMIFS('Dermal Crosswalk'!$P$5:$P$32,'Dermal Crosswalk'!$A$5:$A$32,'Bridge Table'!$B128,'Dermal Crosswalk'!$C$5:$C$32,'Bridge Table'!$E128),SUMIFS('Dermal Crosswalk'!$K$5:$K$32,'Dermal Crosswalk'!$A$5:$A$32,'Bridge Table'!$B128,'Dermal Crosswalk'!$C$5:$C$32,'Bridge Table'!$E128))),"--")</f>
        <v>757050000</v>
      </c>
      <c r="M128" s="586">
        <f>IFERROR(IFERROR(VLOOKUP($D128,$Z$8:$AD$9,3,FALSE),0)/IF($D128="Inhalation",IF($K128="Central Tendency",SUMIFS('Inhalation Exposure'!$AB$4:$AB$61,'Inhalation Exposure'!$B$4:$B$61,$B128,'Inhalation Exposure'!$D$4:$D$61,$C128,'Inhalation Exposure'!$E$4:$E$61,$E128),SUMIFS('Inhalation Exposure'!$AA$4:$AA$61,'Inhalation Exposure'!$B$4:$B$61,$B128,'Inhalation Exposure'!$D$4:$D$61,$C128,'Inhalation Exposure'!$E$4:$E$61,$E128)),IF($K128="Central Tendency",SUMIFS('Dermal Crosswalk'!$S$5:$S$32,'Dermal Crosswalk'!$A$5:$A$32,'Bridge Table'!$B128,'Dermal Crosswalk'!$C$5:$C$32,'Bridge Table'!$E128),SUMIFS('Dermal Crosswalk'!$N$5:$N$32,'Dermal Crosswalk'!$A$5:$A$32,'Bridge Table'!$B128,'Dermal Crosswalk'!$C$5:$C$32,'Bridge Table'!$E128))),"--")</f>
        <v>298677272.72727269</v>
      </c>
      <c r="N128" s="586">
        <f>IFERROR(IFERROR(VLOOKUP($D128,$Z$8:$AD$9,4,FALSE),0)/IF($D128="Inhalation",IF($K128="Central Tendency",SUMIFS('Inhalation Exposure'!$R$4:$R$61,'Inhalation Exposure'!$B$4:$B$61,$B128,'Inhalation Exposure'!$D$4:$D$61,$C128,'Inhalation Exposure'!$E$4:$E$61,$E128),SUMIFS('Inhalation Exposure'!$Q$4:$Q$61,'Inhalation Exposure'!$B$4:$B$61,$B128,'Inhalation Exposure'!$D$4:$D$61,$C128,'Inhalation Exposure'!$E$4:$E$61,$E128)),IF($K128="Central Tendency",SUMIFS('Dermal Crosswalk'!$Q$5:$Q$32,'Dermal Crosswalk'!$A$5:$A$32,'Bridge Table'!$B128,'Dermal Crosswalk'!$C$5:$C$32,'Bridge Table'!$E128),SUMIFS('Dermal Crosswalk'!$L$5:$L$32,'Dermal Crosswalk'!$A$5:$A$32,'Bridge Table'!$B128,'Dermal Crosswalk'!$C$5:$C$32,'Bridge Table'!$E128))),"--")</f>
        <v>319783800</v>
      </c>
      <c r="O128" s="586">
        <f>IFERROR(IFERROR(VLOOKUP($D128,$Z$8:$AD$9,5,FALSE),0)*IF($D128="Inhalation",IF($K128="Central Tendency",SUMIFS('Inhalation Exposure'!$V$4:$V$61,'Inhalation Exposure'!$B$4:$B$61,$B128,'Inhalation Exposure'!$D$4:$D$61,$C128,'Inhalation Exposure'!$E$4:$E$61,$E128),SUMIFS('Inhalation Exposure'!$U$4:$U$61,'Inhalation Exposure'!$B$4:$B$61,$B128,'Inhalation Exposure'!$D$4:$D$61,$C128,'Inhalation Exposure'!$E$4:$E$61,$E128)),IF($K128="Central Tendency",SUMIFS('Dermal Crosswalk'!$R$5:$R$32,'Dermal Crosswalk'!$A$5:$A$32,'Bridge Table'!$B128,'Dermal Crosswalk'!$C$5:$C$32,'Bridge Table'!$E128),SUMIFS('Dermal Crosswalk'!$M$5:$M$32,'Dermal Crosswalk'!$A$5:$A$32,'Bridge Table'!$B128,'Dermal Crosswalk'!$C$5:$C$32,'Bridge Table'!$E128))),"--")</f>
        <v>8.3516722459971003E-11</v>
      </c>
      <c r="P128" s="363">
        <f>IFERROR(L128*U128,"Not Assessed")</f>
        <v>7570500000</v>
      </c>
      <c r="Q128" s="363">
        <f>IFERROR(M128*V128,"Not Assessed")</f>
        <v>2986772727.272727</v>
      </c>
      <c r="R128" s="363">
        <f>IFERROR(N128*W128,"Not Assessed")</f>
        <v>3197838000</v>
      </c>
      <c r="S128" s="364">
        <f>IFERROR(O128/X128, "Not Assessed")</f>
        <v>8.3516722459970999E-12</v>
      </c>
      <c r="U128" s="365">
        <v>10</v>
      </c>
      <c r="V128" s="366">
        <v>10</v>
      </c>
      <c r="W128" s="366">
        <v>10</v>
      </c>
      <c r="X128" s="367">
        <v>10</v>
      </c>
    </row>
    <row r="129" spans="1:24" ht="15" thickBot="1" x14ac:dyDescent="0.35">
      <c r="A129" s="372"/>
      <c r="B129" s="360">
        <v>5</v>
      </c>
      <c r="C129" s="361" t="s">
        <v>25</v>
      </c>
      <c r="D129" s="361" t="s">
        <v>111</v>
      </c>
      <c r="E129" s="362" t="s">
        <v>24</v>
      </c>
      <c r="F129" s="589"/>
      <c r="G129" s="589"/>
      <c r="H129" s="589"/>
      <c r="I129" s="589"/>
      <c r="J129" s="589"/>
      <c r="K129" s="585"/>
      <c r="L129" s="587"/>
      <c r="M129" s="587"/>
      <c r="N129" s="587"/>
      <c r="O129" s="587"/>
      <c r="P129" s="373" t="str">
        <f>CONCATENATE("(APF ",U128,")")</f>
        <v>(APF 10)</v>
      </c>
      <c r="Q129" s="373" t="str">
        <f>CONCATENATE("(APF ",V128,")")</f>
        <v>(APF 10)</v>
      </c>
      <c r="R129" s="373" t="str">
        <f>CONCATENATE("(APF ",W128,")")</f>
        <v>(APF 10)</v>
      </c>
      <c r="S129" s="373" t="str">
        <f>CONCATENATE("(APF ",X128,")")</f>
        <v>(APF 10)</v>
      </c>
      <c r="U129" s="374" t="s">
        <v>116</v>
      </c>
      <c r="V129" s="375" t="s">
        <v>116</v>
      </c>
      <c r="W129" s="375" t="s">
        <v>116</v>
      </c>
      <c r="X129" s="376" t="s">
        <v>116</v>
      </c>
    </row>
    <row r="130" spans="1:24" ht="15" thickBot="1" x14ac:dyDescent="0.35">
      <c r="A130" s="372"/>
      <c r="B130" s="360">
        <v>5</v>
      </c>
      <c r="C130" s="361" t="s">
        <v>25</v>
      </c>
      <c r="D130" s="361" t="s">
        <v>111</v>
      </c>
      <c r="E130" s="362" t="s">
        <v>24</v>
      </c>
      <c r="F130" s="589"/>
      <c r="G130" s="589"/>
      <c r="H130" s="589"/>
      <c r="I130" s="589"/>
      <c r="J130" s="589"/>
      <c r="K130" s="584" t="s">
        <v>88</v>
      </c>
      <c r="L130" s="586">
        <f>IFERROR(IFERROR(VLOOKUP($D130,$Z$8:$AD$9,2,FALSE),0)/IF($D130="Inhalation",IF($K130="Central Tendency",SUMIFS('Inhalation Exposure'!$N$4:$N$61,'Inhalation Exposure'!$B$4:$B$61,$B130,'Inhalation Exposure'!$D$4:$D$61,$C130,'Inhalation Exposure'!$E$4:$E$61,$E130),SUMIFS('Inhalation Exposure'!$M$4:$M$61,'Inhalation Exposure'!$B$4:$B$61,$B130,'Inhalation Exposure'!$D$4:$D$61,$C130,'Inhalation Exposure'!$E$4:$E$61,$E130)),IF($K130="Central Tendency",SUMIFS('Dermal Crosswalk'!$P$5:$P$32,'Dermal Crosswalk'!$A$5:$A$32,'Bridge Table'!$B130,'Dermal Crosswalk'!$C$5:$C$32,'Bridge Table'!$E130),SUMIFS('Dermal Crosswalk'!$K$5:$K$32,'Dermal Crosswalk'!$A$5:$A$32,'Bridge Table'!$B130,'Dermal Crosswalk'!$C$5:$C$32,'Bridge Table'!$E130))),"--")</f>
        <v>78227.84810126583</v>
      </c>
      <c r="M130" s="586">
        <f>IFERROR(IFERROR(VLOOKUP($D130,$Z$8:$AD$9,3,FALSE),0)/IF($D130="Inhalation",IF($K130="Central Tendency",SUMIFS('Inhalation Exposure'!$AB$4:$AB$61,'Inhalation Exposure'!$B$4:$B$61,$B130,'Inhalation Exposure'!$D$4:$D$61,$C130,'Inhalation Exposure'!$E$4:$E$61,$E130),SUMIFS('Inhalation Exposure'!$AA$4:$AA$61,'Inhalation Exposure'!$B$4:$B$61,$B130,'Inhalation Exposure'!$D$4:$D$61,$C130,'Inhalation Exposure'!$E$4:$E$61,$E130)),IF($K130="Central Tendency",SUMIFS('Dermal Crosswalk'!$S$5:$S$32,'Dermal Crosswalk'!$A$5:$A$32,'Bridge Table'!$B130,'Dermal Crosswalk'!$C$5:$C$32,'Bridge Table'!$E130),SUMIFS('Dermal Crosswalk'!$N$5:$N$32,'Dermal Crosswalk'!$A$5:$A$32,'Bridge Table'!$B130,'Dermal Crosswalk'!$C$5:$C$32,'Bridge Table'!$E130))),"--")</f>
        <v>30863.060989643272</v>
      </c>
      <c r="N130" s="586">
        <f>IFERROR(IFERROR(VLOOKUP($D130,$Z$8:$AD$9,4,FALSE),0)/IF($D130="Inhalation",IF($K130="Central Tendency",SUMIFS('Inhalation Exposure'!$R$4:$R$61,'Inhalation Exposure'!$B$4:$B$61,$B130,'Inhalation Exposure'!$D$4:$D$61,$C130,'Inhalation Exposure'!$E$4:$E$61,$E130),SUMIFS('Inhalation Exposure'!$Q$4:$Q$61,'Inhalation Exposure'!$B$4:$B$61,$B130,'Inhalation Exposure'!$D$4:$D$61,$C130,'Inhalation Exposure'!$E$4:$E$61,$E130)),IF($K130="Central Tendency",SUMIFS('Dermal Crosswalk'!$Q$5:$Q$32,'Dermal Crosswalk'!$A$5:$A$32,'Bridge Table'!$B130,'Dermal Crosswalk'!$C$5:$C$32,'Bridge Table'!$E130),SUMIFS('Dermal Crosswalk'!$L$5:$L$32,'Dermal Crosswalk'!$A$5:$A$32,'Bridge Table'!$B130,'Dermal Crosswalk'!$C$5:$C$32,'Bridge Table'!$E130))),"--")</f>
        <v>33044.0506329114</v>
      </c>
      <c r="O130" s="586">
        <f>IFERROR(IFERROR(VLOOKUP($D130,$Z$8:$AD$9,5,FALSE),0)*IF($D130="Inhalation",IF($K130="Central Tendency",SUMIFS('Inhalation Exposure'!$V$4:$V$61,'Inhalation Exposure'!$B$4:$B$61,$B130,'Inhalation Exposure'!$D$4:$D$61,$C130,'Inhalation Exposure'!$E$4:$E$61,$E130),SUMIFS('Inhalation Exposure'!$U$4:$U$61,'Inhalation Exposure'!$B$4:$B$61,$B130,'Inhalation Exposure'!$D$4:$D$61,$C130,'Inhalation Exposure'!$E$4:$E$61,$E130)),IF($K130="Central Tendency",SUMIFS('Dermal Crosswalk'!$R$5:$R$32,'Dermal Crosswalk'!$A$5:$A$32,'Bridge Table'!$B130,'Dermal Crosswalk'!$C$5:$C$32,'Bridge Table'!$E130),SUMIFS('Dermal Crosswalk'!$M$5:$M$32,'Dermal Crosswalk'!$A$5:$A$32,'Bridge Table'!$B130,'Dermal Crosswalk'!$C$5:$C$32,'Bridge Table'!$E130))),"--")</f>
        <v>1.0428813956211214E-6</v>
      </c>
      <c r="P130" s="363">
        <f>IFERROR(L130*U130,"Not Assessed")</f>
        <v>782278.48101265833</v>
      </c>
      <c r="Q130" s="363">
        <f>IFERROR(M130*V130,"Not Assessed")</f>
        <v>308630.60989643272</v>
      </c>
      <c r="R130" s="363">
        <f>IFERROR(N130*W130,"Not Assessed")</f>
        <v>330440.50632911397</v>
      </c>
      <c r="S130" s="364">
        <f>IFERROR(O130/X130, "Not Assessed")</f>
        <v>1.0428813956211214E-7</v>
      </c>
      <c r="U130" s="378">
        <v>10</v>
      </c>
      <c r="V130" s="379">
        <v>10</v>
      </c>
      <c r="W130" s="379">
        <v>10</v>
      </c>
      <c r="X130" s="380">
        <v>10</v>
      </c>
    </row>
    <row r="131" spans="1:24" ht="15" thickBot="1" x14ac:dyDescent="0.35">
      <c r="A131" s="372"/>
      <c r="B131" s="360">
        <v>5</v>
      </c>
      <c r="C131" s="361" t="s">
        <v>25</v>
      </c>
      <c r="D131" s="361" t="s">
        <v>111</v>
      </c>
      <c r="E131" s="362" t="s">
        <v>24</v>
      </c>
      <c r="F131" s="589"/>
      <c r="G131" s="589"/>
      <c r="H131" s="589"/>
      <c r="I131" s="590"/>
      <c r="J131" s="590"/>
      <c r="K131" s="588"/>
      <c r="L131" s="587"/>
      <c r="M131" s="587"/>
      <c r="N131" s="587"/>
      <c r="O131" s="587"/>
      <c r="P131" s="373" t="str">
        <f>CONCATENATE("(APF ",U130,")")</f>
        <v>(APF 10)</v>
      </c>
      <c r="Q131" s="373" t="str">
        <f>CONCATENATE("(APF ",V130,")")</f>
        <v>(APF 10)</v>
      </c>
      <c r="R131" s="373" t="str">
        <f>CONCATENATE("(APF ",W130,")")</f>
        <v>(APF 10)</v>
      </c>
      <c r="S131" s="373" t="str">
        <f>CONCATENATE("(APF ",X130,")")</f>
        <v>(APF 10)</v>
      </c>
      <c r="U131" s="374" t="s">
        <v>116</v>
      </c>
      <c r="V131" s="375" t="s">
        <v>116</v>
      </c>
      <c r="W131" s="375" t="s">
        <v>116</v>
      </c>
      <c r="X131" s="376" t="s">
        <v>116</v>
      </c>
    </row>
    <row r="132" spans="1:24" ht="15" thickBot="1" x14ac:dyDescent="0.35">
      <c r="A132" s="372"/>
      <c r="B132" s="360">
        <v>5</v>
      </c>
      <c r="C132" s="361" t="s">
        <v>25</v>
      </c>
      <c r="D132" s="361" t="s">
        <v>111</v>
      </c>
      <c r="E132" s="362" t="s">
        <v>117</v>
      </c>
      <c r="F132" s="589"/>
      <c r="G132" s="589"/>
      <c r="H132" s="589"/>
      <c r="I132" s="589" t="s">
        <v>25</v>
      </c>
      <c r="J132" s="586" t="s">
        <v>115</v>
      </c>
      <c r="K132" s="584" t="s">
        <v>54</v>
      </c>
      <c r="L132" s="586">
        <f>IFERROR(IFERROR(VLOOKUP($D132,$Z$8:$AD$9,2,FALSE),0)/IF($D132="Inhalation",IF($K132="Central Tendency",SUMIFS('Inhalation Exposure'!$N$4:$N$61,'Inhalation Exposure'!$B$4:$B$61,$B132,'Inhalation Exposure'!$D$4:$D$61,$C132,'Inhalation Exposure'!$E$4:$E$61,$E132),SUMIFS('Inhalation Exposure'!$M$4:$M$61,'Inhalation Exposure'!$B$4:$B$61,$B132,'Inhalation Exposure'!$D$4:$D$61,$C132,'Inhalation Exposure'!$E$4:$E$61,$E132)),IF($K132="Central Tendency",SUMIFS('Dermal Crosswalk'!$P$5:$P$32,'Dermal Crosswalk'!$A$5:$A$32,'Bridge Table'!$B132,'Dermal Crosswalk'!$C$5:$C$32,'Bridge Table'!$E132),SUMIFS('Dermal Crosswalk'!$K$5:$K$32,'Dermal Crosswalk'!$A$5:$A$32,'Bridge Table'!$B132,'Dermal Crosswalk'!$C$5:$C$32,'Bridge Table'!$E132))),"--")</f>
        <v>757050000</v>
      </c>
      <c r="M132" s="586">
        <f>IFERROR(IFERROR(VLOOKUP($D132,$Z$8:$AD$9,3,FALSE),0)/IF($D132="Inhalation",IF($K132="Central Tendency",SUMIFS('Inhalation Exposure'!$AB$4:$AB$61,'Inhalation Exposure'!$B$4:$B$61,$B132,'Inhalation Exposure'!$D$4:$D$61,$C132,'Inhalation Exposure'!$E$4:$E$61,$E132),SUMIFS('Inhalation Exposure'!$AA$4:$AA$61,'Inhalation Exposure'!$B$4:$B$61,$B132,'Inhalation Exposure'!$D$4:$D$61,$C132,'Inhalation Exposure'!$E$4:$E$61,$E132)),IF($K132="Central Tendency",SUMIFS('Dermal Crosswalk'!$S$5:$S$32,'Dermal Crosswalk'!$A$5:$A$32,'Bridge Table'!$B132,'Dermal Crosswalk'!$C$5:$C$32,'Bridge Table'!$E132),SUMIFS('Dermal Crosswalk'!$N$5:$N$32,'Dermal Crosswalk'!$A$5:$A$32,'Bridge Table'!$B132,'Dermal Crosswalk'!$C$5:$C$32,'Bridge Table'!$E132))),"--")</f>
        <v>298677272.72727269</v>
      </c>
      <c r="N132" s="586">
        <f>IFERROR(IFERROR(VLOOKUP($D132,$Z$8:$AD$9,4,FALSE),0)/IF($D132="Inhalation",IF($K132="Central Tendency",SUMIFS('Inhalation Exposure'!$R$4:$R$61,'Inhalation Exposure'!$B$4:$B$61,$B132,'Inhalation Exposure'!$D$4:$D$61,$C132,'Inhalation Exposure'!$E$4:$E$61,$E132),SUMIFS('Inhalation Exposure'!$Q$4:$Q$61,'Inhalation Exposure'!$B$4:$B$61,$B132,'Inhalation Exposure'!$D$4:$D$61,$C132,'Inhalation Exposure'!$E$4:$E$61,$E132)),IF($K132="Central Tendency",SUMIFS('Dermal Crosswalk'!$Q$5:$Q$32,'Dermal Crosswalk'!$A$5:$A$32,'Bridge Table'!$B132,'Dermal Crosswalk'!$C$5:$C$32,'Bridge Table'!$E132),SUMIFS('Dermal Crosswalk'!$L$5:$L$32,'Dermal Crosswalk'!$A$5:$A$32,'Bridge Table'!$B132,'Dermal Crosswalk'!$C$5:$C$32,'Bridge Table'!$E132))),"--")</f>
        <v>319783800</v>
      </c>
      <c r="O132" s="586">
        <f>IFERROR(IFERROR(VLOOKUP($D132,$Z$8:$AD$9,5,FALSE),0)*IF($D132="Inhalation",IF($K132="Central Tendency",SUMIFS('Inhalation Exposure'!$V$4:$V$61,'Inhalation Exposure'!$B$4:$B$61,$B132,'Inhalation Exposure'!$D$4:$D$61,$C132,'Inhalation Exposure'!$E$4:$E$61,$E132),SUMIFS('Inhalation Exposure'!$U$4:$U$61,'Inhalation Exposure'!$B$4:$B$61,$B132,'Inhalation Exposure'!$D$4:$D$61,$C132,'Inhalation Exposure'!$E$4:$E$61,$E132)),IF($K132="Central Tendency",SUMIFS('Dermal Crosswalk'!$R$5:$R$32,'Dermal Crosswalk'!$A$5:$A$32,'Bridge Table'!$B132,'Dermal Crosswalk'!$C$5:$C$32,'Bridge Table'!$E132),SUMIFS('Dermal Crosswalk'!$M$5:$M$32,'Dermal Crosswalk'!$A$5:$A$32,'Bridge Table'!$B132,'Dermal Crosswalk'!$C$5:$C$32,'Bridge Table'!$E132))),"--")</f>
        <v>8.3516722459971003E-11</v>
      </c>
      <c r="P132" s="363">
        <f>IFERROR(L132*U132,"Not Assessed")</f>
        <v>7570500000</v>
      </c>
      <c r="Q132" s="363">
        <f>IFERROR(M132*V132,"Not Assessed")</f>
        <v>2986772727.272727</v>
      </c>
      <c r="R132" s="363">
        <f>IFERROR(N132*W132,"Not Assessed")</f>
        <v>3197838000</v>
      </c>
      <c r="S132" s="364">
        <f>IFERROR(O132/X132, "Not Assessed")</f>
        <v>8.3516722459970999E-12</v>
      </c>
      <c r="U132" s="378">
        <v>10</v>
      </c>
      <c r="V132" s="379">
        <v>10</v>
      </c>
      <c r="W132" s="379">
        <v>10</v>
      </c>
      <c r="X132" s="380">
        <v>10</v>
      </c>
    </row>
    <row r="133" spans="1:24" ht="15" thickBot="1" x14ac:dyDescent="0.35">
      <c r="A133" s="372"/>
      <c r="B133" s="360">
        <v>5</v>
      </c>
      <c r="C133" s="361" t="s">
        <v>25</v>
      </c>
      <c r="D133" s="361" t="s">
        <v>111</v>
      </c>
      <c r="E133" s="362" t="s">
        <v>117</v>
      </c>
      <c r="F133" s="589"/>
      <c r="G133" s="589"/>
      <c r="H133" s="589"/>
      <c r="I133" s="589"/>
      <c r="J133" s="589"/>
      <c r="K133" s="585"/>
      <c r="L133" s="587"/>
      <c r="M133" s="587"/>
      <c r="N133" s="587"/>
      <c r="O133" s="587"/>
      <c r="P133" s="373" t="str">
        <f>CONCATENATE("(APF ",U132,")")</f>
        <v>(APF 10)</v>
      </c>
      <c r="Q133" s="373" t="str">
        <f>CONCATENATE("(APF ",V132,")")</f>
        <v>(APF 10)</v>
      </c>
      <c r="R133" s="373" t="str">
        <f>CONCATENATE("(APF ",W132,")")</f>
        <v>(APF 10)</v>
      </c>
      <c r="S133" s="373" t="str">
        <f>CONCATENATE("(APF ",X132,")")</f>
        <v>(APF 10)</v>
      </c>
      <c r="U133" s="374" t="s">
        <v>116</v>
      </c>
      <c r="V133" s="375" t="s">
        <v>116</v>
      </c>
      <c r="W133" s="375" t="s">
        <v>116</v>
      </c>
      <c r="X133" s="376" t="s">
        <v>116</v>
      </c>
    </row>
    <row r="134" spans="1:24" ht="15" customHeight="1" thickBot="1" x14ac:dyDescent="0.35">
      <c r="A134" s="372"/>
      <c r="B134" s="360">
        <v>5</v>
      </c>
      <c r="C134" s="361" t="s">
        <v>25</v>
      </c>
      <c r="D134" s="361" t="s">
        <v>111</v>
      </c>
      <c r="E134" s="362" t="s">
        <v>117</v>
      </c>
      <c r="F134" s="589"/>
      <c r="G134" s="589"/>
      <c r="H134" s="589"/>
      <c r="I134" s="589"/>
      <c r="J134" s="589"/>
      <c r="K134" s="584" t="s">
        <v>88</v>
      </c>
      <c r="L134" s="586">
        <f>IFERROR(IFERROR(VLOOKUP($D134,$Z$8:$AD$9,2,FALSE),0)/IF($D134="Inhalation",IF($K134="Central Tendency",SUMIFS('Inhalation Exposure'!$N$4:$N$61,'Inhalation Exposure'!$B$4:$B$61,$B134,'Inhalation Exposure'!$D$4:$D$61,$C134,'Inhalation Exposure'!$E$4:$E$61,$E134),SUMIFS('Inhalation Exposure'!$M$4:$M$61,'Inhalation Exposure'!$B$4:$B$61,$B134,'Inhalation Exposure'!$D$4:$D$61,$C134,'Inhalation Exposure'!$E$4:$E$61,$E134)),IF($K134="Central Tendency",SUMIFS('Dermal Crosswalk'!$P$5:$P$32,'Dermal Crosswalk'!$A$5:$A$32,'Bridge Table'!$B134,'Dermal Crosswalk'!$C$5:$C$32,'Bridge Table'!$E134),SUMIFS('Dermal Crosswalk'!$K$5:$K$32,'Dermal Crosswalk'!$A$5:$A$32,'Bridge Table'!$B134,'Dermal Crosswalk'!$C$5:$C$32,'Bridge Table'!$E134))),"--")</f>
        <v>78227.84810126583</v>
      </c>
      <c r="M134" s="586">
        <f>IFERROR(IFERROR(VLOOKUP($D134,$Z$8:$AD$9,3,FALSE),0)/IF($D134="Inhalation",IF($K134="Central Tendency",SUMIFS('Inhalation Exposure'!$AB$4:$AB$61,'Inhalation Exposure'!$B$4:$B$61,$B134,'Inhalation Exposure'!$D$4:$D$61,$C134,'Inhalation Exposure'!$E$4:$E$61,$E134),SUMIFS('Inhalation Exposure'!$AA$4:$AA$61,'Inhalation Exposure'!$B$4:$B$61,$B134,'Inhalation Exposure'!$D$4:$D$61,$C134,'Inhalation Exposure'!$E$4:$E$61,$E134)),IF($K134="Central Tendency",SUMIFS('Dermal Crosswalk'!$S$5:$S$32,'Dermal Crosswalk'!$A$5:$A$32,'Bridge Table'!$B134,'Dermal Crosswalk'!$C$5:$C$32,'Bridge Table'!$E134),SUMIFS('Dermal Crosswalk'!$N$5:$N$32,'Dermal Crosswalk'!$A$5:$A$32,'Bridge Table'!$B134,'Dermal Crosswalk'!$C$5:$C$32,'Bridge Table'!$E134))),"--")</f>
        <v>30863.060989643272</v>
      </c>
      <c r="N134" s="586">
        <f>IFERROR(IFERROR(VLOOKUP($D134,$Z$8:$AD$9,4,FALSE),0)/IF($D134="Inhalation",IF($K134="Central Tendency",SUMIFS('Inhalation Exposure'!$R$4:$R$61,'Inhalation Exposure'!$B$4:$B$61,$B134,'Inhalation Exposure'!$D$4:$D$61,$C134,'Inhalation Exposure'!$E$4:$E$61,$E134),SUMIFS('Inhalation Exposure'!$Q$4:$Q$61,'Inhalation Exposure'!$B$4:$B$61,$B134,'Inhalation Exposure'!$D$4:$D$61,$C134,'Inhalation Exposure'!$E$4:$E$61,$E134)),IF($K134="Central Tendency",SUMIFS('Dermal Crosswalk'!$Q$5:$Q$32,'Dermal Crosswalk'!$A$5:$A$32,'Bridge Table'!$B134,'Dermal Crosswalk'!$C$5:$C$32,'Bridge Table'!$E134),SUMIFS('Dermal Crosswalk'!$L$5:$L$32,'Dermal Crosswalk'!$A$5:$A$32,'Bridge Table'!$B134,'Dermal Crosswalk'!$C$5:$C$32,'Bridge Table'!$E134))),"--")</f>
        <v>33044.0506329114</v>
      </c>
      <c r="O134" s="586">
        <f>IFERROR(IFERROR(VLOOKUP($D134,$Z$8:$AD$9,5,FALSE),0)*IF($D134="Inhalation",IF($K134="Central Tendency",SUMIFS('Inhalation Exposure'!$V$4:$V$61,'Inhalation Exposure'!$B$4:$B$61,$B134,'Inhalation Exposure'!$D$4:$D$61,$C134,'Inhalation Exposure'!$E$4:$E$61,$E134),SUMIFS('Inhalation Exposure'!$U$4:$U$61,'Inhalation Exposure'!$B$4:$B$61,$B134,'Inhalation Exposure'!$D$4:$D$61,$C134,'Inhalation Exposure'!$E$4:$E$61,$E134)),IF($K134="Central Tendency",SUMIFS('Dermal Crosswalk'!$R$5:$R$32,'Dermal Crosswalk'!$A$5:$A$32,'Bridge Table'!$B134,'Dermal Crosswalk'!$C$5:$C$32,'Bridge Table'!$E134),SUMIFS('Dermal Crosswalk'!$M$5:$M$32,'Dermal Crosswalk'!$A$5:$A$32,'Bridge Table'!$B134,'Dermal Crosswalk'!$C$5:$C$32,'Bridge Table'!$E134))),"--")</f>
        <v>1.0428813956211214E-6</v>
      </c>
      <c r="P134" s="363">
        <f>IFERROR(L134*U134,"Not Assessed")</f>
        <v>782278.48101265833</v>
      </c>
      <c r="Q134" s="363">
        <f>IFERROR(M134*V134,"Not Assessed")</f>
        <v>308630.60989643272</v>
      </c>
      <c r="R134" s="363">
        <f>IFERROR(N134*W134,"Not Assessed")</f>
        <v>330440.50632911397</v>
      </c>
      <c r="S134" s="364">
        <f>IFERROR(O134/X134, "Not Assessed")</f>
        <v>1.0428813956211214E-7</v>
      </c>
      <c r="U134" s="378">
        <v>10</v>
      </c>
      <c r="V134" s="379">
        <v>10</v>
      </c>
      <c r="W134" s="379">
        <v>10</v>
      </c>
      <c r="X134" s="380">
        <v>10</v>
      </c>
    </row>
    <row r="135" spans="1:24" ht="15" thickBot="1" x14ac:dyDescent="0.35">
      <c r="A135" s="372"/>
      <c r="B135" s="360">
        <v>5</v>
      </c>
      <c r="C135" s="361" t="s">
        <v>25</v>
      </c>
      <c r="D135" s="361" t="s">
        <v>111</v>
      </c>
      <c r="E135" s="362" t="s">
        <v>117</v>
      </c>
      <c r="F135" s="589"/>
      <c r="G135" s="589"/>
      <c r="H135" s="589"/>
      <c r="I135" s="590"/>
      <c r="J135" s="590"/>
      <c r="K135" s="588"/>
      <c r="L135" s="587"/>
      <c r="M135" s="587"/>
      <c r="N135" s="587"/>
      <c r="O135" s="587"/>
      <c r="P135" s="373" t="str">
        <f>CONCATENATE("(APF ",U134,")")</f>
        <v>(APF 10)</v>
      </c>
      <c r="Q135" s="373" t="str">
        <f>CONCATENATE("(APF ",V134,")")</f>
        <v>(APF 10)</v>
      </c>
      <c r="R135" s="373" t="str">
        <f>CONCATENATE("(APF ",W134,")")</f>
        <v>(APF 10)</v>
      </c>
      <c r="S135" s="373" t="str">
        <f>CONCATENATE("(APF ",X134,")")</f>
        <v>(APF 10)</v>
      </c>
      <c r="U135" s="374" t="s">
        <v>116</v>
      </c>
      <c r="V135" s="375" t="s">
        <v>116</v>
      </c>
      <c r="W135" s="375" t="s">
        <v>116</v>
      </c>
      <c r="X135" s="376" t="s">
        <v>116</v>
      </c>
    </row>
    <row r="136" spans="1:24" ht="15" thickBot="1" x14ac:dyDescent="0.35">
      <c r="A136" s="372"/>
      <c r="B136" s="360">
        <v>5</v>
      </c>
      <c r="C136" s="361" t="s">
        <v>53</v>
      </c>
      <c r="D136" s="361" t="s">
        <v>111</v>
      </c>
      <c r="E136" s="362" t="s">
        <v>24</v>
      </c>
      <c r="F136" s="589"/>
      <c r="G136" s="589"/>
      <c r="H136" s="589"/>
      <c r="I136" s="586" t="s">
        <v>53</v>
      </c>
      <c r="J136" s="586" t="s">
        <v>115</v>
      </c>
      <c r="K136" s="584" t="s">
        <v>54</v>
      </c>
      <c r="L136" s="586">
        <f>IFERROR(IFERROR(VLOOKUP($D136,$Z$8:$AD$9,2,FALSE),0)/IF($D136="Inhalation",IF($K136="Central Tendency",SUMIFS('Inhalation Exposure'!$N$4:$N$61,'Inhalation Exposure'!$B$4:$B$61,$B136,'Inhalation Exposure'!$D$4:$D$61,$C136,'Inhalation Exposure'!$E$4:$E$61,$E136),SUMIFS('Inhalation Exposure'!$M$4:$M$61,'Inhalation Exposure'!$B$4:$B$61,$B136,'Inhalation Exposure'!$D$4:$D$61,$C136,'Inhalation Exposure'!$E$4:$E$61,$E136)),IF($K136="Central Tendency",SUMIFS('Dermal Crosswalk'!$P$5:$P$32,'Dermal Crosswalk'!$A$5:$A$32,'Bridge Table'!$B136,'Dermal Crosswalk'!$C$5:$C$32,'Bridge Table'!$E136),SUMIFS('Dermal Crosswalk'!$K$5:$K$32,'Dermal Crosswalk'!$A$5:$A$32,'Bridge Table'!$B136,'Dermal Crosswalk'!$C$5:$C$32,'Bridge Table'!$E136))),"--")</f>
        <v>757050000</v>
      </c>
      <c r="M136" s="586">
        <f>IFERROR(IFERROR(VLOOKUP($D136,$Z$8:$AD$9,3,FALSE),0)/IF($D136="Inhalation",IF($K136="Central Tendency",SUMIFS('Inhalation Exposure'!$AB$4:$AB$61,'Inhalation Exposure'!$B$4:$B$61,$B136,'Inhalation Exposure'!$D$4:$D$61,$C136,'Inhalation Exposure'!$E$4:$E$61,$E136),SUMIFS('Inhalation Exposure'!$AA$4:$AA$61,'Inhalation Exposure'!$B$4:$B$61,$B136,'Inhalation Exposure'!$D$4:$D$61,$C136,'Inhalation Exposure'!$E$4:$E$61,$E136)),IF($K136="Central Tendency",SUMIFS('Dermal Crosswalk'!$S$5:$S$32,'Dermal Crosswalk'!$A$5:$A$32,'Bridge Table'!$B136,'Dermal Crosswalk'!$C$5:$C$32,'Bridge Table'!$E136),SUMIFS('Dermal Crosswalk'!$N$5:$N$32,'Dermal Crosswalk'!$A$5:$A$32,'Bridge Table'!$B136,'Dermal Crosswalk'!$C$5:$C$32,'Bridge Table'!$E136))),"--")</f>
        <v>298677272.72727269</v>
      </c>
      <c r="N136" s="586">
        <f>IFERROR(IFERROR(VLOOKUP($D136,$Z$8:$AD$9,4,FALSE),0)/IF($D136="Inhalation",IF($K136="Central Tendency",SUMIFS('Inhalation Exposure'!$R$4:$R$61,'Inhalation Exposure'!$B$4:$B$61,$B136,'Inhalation Exposure'!$D$4:$D$61,$C136,'Inhalation Exposure'!$E$4:$E$61,$E136),SUMIFS('Inhalation Exposure'!$Q$4:$Q$61,'Inhalation Exposure'!$B$4:$B$61,$B136,'Inhalation Exposure'!$D$4:$D$61,$C136,'Inhalation Exposure'!$E$4:$E$61,$E136)),IF($K136="Central Tendency",SUMIFS('Dermal Crosswalk'!$Q$5:$Q$32,'Dermal Crosswalk'!$A$5:$A$32,'Bridge Table'!$B136,'Dermal Crosswalk'!$C$5:$C$32,'Bridge Table'!$E136),SUMIFS('Dermal Crosswalk'!$L$5:$L$32,'Dermal Crosswalk'!$A$5:$A$32,'Bridge Table'!$B136,'Dermal Crosswalk'!$C$5:$C$32,'Bridge Table'!$E136))),"--")</f>
        <v>319783800</v>
      </c>
      <c r="O136" s="586">
        <f>IFERROR(IFERROR(VLOOKUP($D136,$Z$8:$AD$9,5,FALSE),0)*IF($D136="Inhalation",IF($K136="Central Tendency",SUMIFS('Inhalation Exposure'!$V$4:$V$61,'Inhalation Exposure'!$B$4:$B$61,$B136,'Inhalation Exposure'!$D$4:$D$61,$C136,'Inhalation Exposure'!$E$4:$E$61,$E136),SUMIFS('Inhalation Exposure'!$U$4:$U$61,'Inhalation Exposure'!$B$4:$B$61,$B136,'Inhalation Exposure'!$D$4:$D$61,$C136,'Inhalation Exposure'!$E$4:$E$61,$E136)),IF($K136="Central Tendency",SUMIFS('Dermal Crosswalk'!$R$5:$R$32,'Dermal Crosswalk'!$A$5:$A$32,'Bridge Table'!$B136,'Dermal Crosswalk'!$C$5:$C$32,'Bridge Table'!$E136),SUMIFS('Dermal Crosswalk'!$M$5:$M$32,'Dermal Crosswalk'!$A$5:$A$32,'Bridge Table'!$B136,'Dermal Crosswalk'!$C$5:$C$32,'Bridge Table'!$E136))),"--")</f>
        <v>8.3516722459971003E-11</v>
      </c>
      <c r="P136" s="610" t="s">
        <v>118</v>
      </c>
      <c r="Q136" s="610" t="s">
        <v>118</v>
      </c>
      <c r="R136" s="610" t="s">
        <v>118</v>
      </c>
      <c r="S136" s="610" t="s">
        <v>118</v>
      </c>
      <c r="U136" s="612" t="s">
        <v>118</v>
      </c>
      <c r="V136" s="614" t="s">
        <v>118</v>
      </c>
      <c r="W136" s="614" t="s">
        <v>118</v>
      </c>
      <c r="X136" s="616" t="s">
        <v>118</v>
      </c>
    </row>
    <row r="137" spans="1:24" ht="15" thickBot="1" x14ac:dyDescent="0.35">
      <c r="A137" s="372"/>
      <c r="B137" s="360">
        <v>5</v>
      </c>
      <c r="C137" s="361" t="s">
        <v>53</v>
      </c>
      <c r="D137" s="361" t="s">
        <v>111</v>
      </c>
      <c r="E137" s="362" t="s">
        <v>24</v>
      </c>
      <c r="F137" s="589"/>
      <c r="G137" s="589"/>
      <c r="H137" s="589"/>
      <c r="I137" s="589"/>
      <c r="J137" s="589"/>
      <c r="K137" s="585"/>
      <c r="L137" s="587"/>
      <c r="M137" s="587"/>
      <c r="N137" s="587"/>
      <c r="O137" s="587"/>
      <c r="P137" s="611"/>
      <c r="Q137" s="611"/>
      <c r="R137" s="611"/>
      <c r="S137" s="611"/>
      <c r="U137" s="613"/>
      <c r="V137" s="615"/>
      <c r="W137" s="615"/>
      <c r="X137" s="617"/>
    </row>
    <row r="138" spans="1:24" ht="15" thickBot="1" x14ac:dyDescent="0.35">
      <c r="A138" s="372"/>
      <c r="B138" s="360">
        <v>5</v>
      </c>
      <c r="C138" s="361" t="s">
        <v>53</v>
      </c>
      <c r="D138" s="361" t="s">
        <v>111</v>
      </c>
      <c r="E138" s="362" t="s">
        <v>24</v>
      </c>
      <c r="F138" s="589"/>
      <c r="G138" s="589"/>
      <c r="H138" s="589"/>
      <c r="I138" s="589"/>
      <c r="J138" s="589"/>
      <c r="K138" s="584" t="s">
        <v>88</v>
      </c>
      <c r="L138" s="586">
        <f>IFERROR(IFERROR(VLOOKUP($D138,$Z$8:$AD$9,2,FALSE),0)/IF($D138="Inhalation",IF($K138="Central Tendency",SUMIFS('Inhalation Exposure'!$N$4:$N$61,'Inhalation Exposure'!$B$4:$B$61,$B138,'Inhalation Exposure'!$D$4:$D$61,$C138,'Inhalation Exposure'!$E$4:$E$61,$E138),SUMIFS('Inhalation Exposure'!$M$4:$M$61,'Inhalation Exposure'!$B$4:$B$61,$B138,'Inhalation Exposure'!$D$4:$D$61,$C138,'Inhalation Exposure'!$E$4:$E$61,$E138)),IF($K138="Central Tendency",SUMIFS('Dermal Crosswalk'!$P$5:$P$32,'Dermal Crosswalk'!$A$5:$A$32,'Bridge Table'!$B138,'Dermal Crosswalk'!$C$5:$C$32,'Bridge Table'!$E138),SUMIFS('Dermal Crosswalk'!$K$5:$K$32,'Dermal Crosswalk'!$A$5:$A$32,'Bridge Table'!$B138,'Dermal Crosswalk'!$C$5:$C$32,'Bridge Table'!$E138))),"--")</f>
        <v>398447.36842105258</v>
      </c>
      <c r="M138" s="586">
        <f>IFERROR(IFERROR(VLOOKUP($D138,$Z$8:$AD$9,3,FALSE),0)/IF($D138="Inhalation",IF($K138="Central Tendency",SUMIFS('Inhalation Exposure'!$AB$4:$AB$61,'Inhalation Exposure'!$B$4:$B$61,$B138,'Inhalation Exposure'!$D$4:$D$61,$C138,'Inhalation Exposure'!$E$4:$E$61,$E138),SUMIFS('Inhalation Exposure'!$AA$4:$AA$61,'Inhalation Exposure'!$B$4:$B$61,$B138,'Inhalation Exposure'!$D$4:$D$61,$C138,'Inhalation Exposure'!$E$4:$E$61,$E138)),IF($K138="Central Tendency",SUMIFS('Dermal Crosswalk'!$S$5:$S$32,'Dermal Crosswalk'!$A$5:$A$32,'Bridge Table'!$B138,'Dermal Crosswalk'!$C$5:$C$32,'Bridge Table'!$E138),SUMIFS('Dermal Crosswalk'!$N$5:$N$32,'Dermal Crosswalk'!$A$5:$A$32,'Bridge Table'!$B138,'Dermal Crosswalk'!$C$5:$C$32,'Bridge Table'!$E138))),"--")</f>
        <v>157198.56459330145</v>
      </c>
      <c r="N138" s="586">
        <f>IFERROR(IFERROR(VLOOKUP($D138,$Z$8:$AD$9,4,FALSE),0)/IF($D138="Inhalation",IF($K138="Central Tendency",SUMIFS('Inhalation Exposure'!$R$4:$R$61,'Inhalation Exposure'!$B$4:$B$61,$B138,'Inhalation Exposure'!$D$4:$D$61,$C138,'Inhalation Exposure'!$E$4:$E$61,$E138),SUMIFS('Inhalation Exposure'!$Q$4:$Q$61,'Inhalation Exposure'!$B$4:$B$61,$B138,'Inhalation Exposure'!$D$4:$D$61,$C138,'Inhalation Exposure'!$E$4:$E$61,$E138)),IF($K138="Central Tendency",SUMIFS('Dermal Crosswalk'!$Q$5:$Q$32,'Dermal Crosswalk'!$A$5:$A$32,'Bridge Table'!$B138,'Dermal Crosswalk'!$C$5:$C$32,'Bridge Table'!$E138),SUMIFS('Dermal Crosswalk'!$L$5:$L$32,'Dermal Crosswalk'!$A$5:$A$32,'Bridge Table'!$B138,'Dermal Crosswalk'!$C$5:$C$32,'Bridge Table'!$E138))),"--")</f>
        <v>168307.26315789478</v>
      </c>
      <c r="O138" s="586">
        <f>IFERROR(IFERROR(VLOOKUP($D138,$Z$8:$AD$9,5,FALSE),0)*IF($D138="Inhalation",IF($K138="Central Tendency",SUMIFS('Inhalation Exposure'!$V$4:$V$61,'Inhalation Exposure'!$B$4:$B$61,$B138,'Inhalation Exposure'!$D$4:$D$61,$C138,'Inhalation Exposure'!$E$4:$E$61,$E138),SUMIFS('Inhalation Exposure'!$U$4:$U$61,'Inhalation Exposure'!$B$4:$B$61,$B138,'Inhalation Exposure'!$D$4:$D$61,$C138,'Inhalation Exposure'!$E$4:$E$61,$E138)),IF($K138="Central Tendency",SUMIFS('Dermal Crosswalk'!$R$5:$R$32,'Dermal Crosswalk'!$A$5:$A$32,'Bridge Table'!$B138,'Dermal Crosswalk'!$C$5:$C$32,'Bridge Table'!$E138),SUMIFS('Dermal Crosswalk'!$M$5:$M$32,'Dermal Crosswalk'!$A$5:$A$32,'Bridge Table'!$B138,'Dermal Crosswalk'!$C$5:$C$32,'Bridge Table'!$E138))),"--")</f>
        <v>2.0475067441799341E-7</v>
      </c>
      <c r="P138" s="610" t="s">
        <v>118</v>
      </c>
      <c r="Q138" s="610" t="s">
        <v>118</v>
      </c>
      <c r="R138" s="610" t="s">
        <v>118</v>
      </c>
      <c r="S138" s="610" t="s">
        <v>118</v>
      </c>
      <c r="U138" s="612" t="s">
        <v>118</v>
      </c>
      <c r="V138" s="614" t="s">
        <v>118</v>
      </c>
      <c r="W138" s="614" t="s">
        <v>118</v>
      </c>
      <c r="X138" s="616" t="s">
        <v>118</v>
      </c>
    </row>
    <row r="139" spans="1:24" ht="15" thickBot="1" x14ac:dyDescent="0.35">
      <c r="A139" s="372"/>
      <c r="B139" s="360">
        <v>5</v>
      </c>
      <c r="C139" s="361" t="s">
        <v>53</v>
      </c>
      <c r="D139" s="361" t="s">
        <v>111</v>
      </c>
      <c r="E139" s="362" t="s">
        <v>24</v>
      </c>
      <c r="F139" s="589"/>
      <c r="G139" s="589"/>
      <c r="H139" s="589"/>
      <c r="I139" s="590"/>
      <c r="J139" s="590"/>
      <c r="K139" s="588"/>
      <c r="L139" s="587"/>
      <c r="M139" s="587"/>
      <c r="N139" s="587"/>
      <c r="O139" s="587"/>
      <c r="P139" s="611"/>
      <c r="Q139" s="611"/>
      <c r="R139" s="611"/>
      <c r="S139" s="611"/>
      <c r="U139" s="613"/>
      <c r="V139" s="615"/>
      <c r="W139" s="615"/>
      <c r="X139" s="617"/>
    </row>
    <row r="140" spans="1:24" ht="15" thickBot="1" x14ac:dyDescent="0.35">
      <c r="A140" s="372"/>
      <c r="B140" s="360">
        <v>5</v>
      </c>
      <c r="C140" s="361" t="s">
        <v>53</v>
      </c>
      <c r="D140" s="361" t="s">
        <v>111</v>
      </c>
      <c r="E140" s="362" t="s">
        <v>117</v>
      </c>
      <c r="F140" s="589"/>
      <c r="G140" s="589"/>
      <c r="H140" s="589"/>
      <c r="I140" s="589" t="s">
        <v>53</v>
      </c>
      <c r="J140" s="586" t="s">
        <v>115</v>
      </c>
      <c r="K140" s="584" t="s">
        <v>54</v>
      </c>
      <c r="L140" s="586">
        <f>IFERROR(IFERROR(VLOOKUP($D140,$Z$8:$AD$9,2,FALSE),0)/IF($D140="Inhalation",IF($K140="Central Tendency",SUMIFS('Inhalation Exposure'!$N$4:$N$61,'Inhalation Exposure'!$B$4:$B$61,$B140,'Inhalation Exposure'!$D$4:$D$61,$C140,'Inhalation Exposure'!$E$4:$E$61,$E140),SUMIFS('Inhalation Exposure'!$M$4:$M$61,'Inhalation Exposure'!$B$4:$B$61,$B140,'Inhalation Exposure'!$D$4:$D$61,$C140,'Inhalation Exposure'!$E$4:$E$61,$E140)),IF($K140="Central Tendency",SUMIFS('Dermal Crosswalk'!$P$5:$P$32,'Dermal Crosswalk'!$A$5:$A$32,'Bridge Table'!$B140,'Dermal Crosswalk'!$C$5:$C$32,'Bridge Table'!$E140),SUMIFS('Dermal Crosswalk'!$K$5:$K$32,'Dermal Crosswalk'!$A$5:$A$32,'Bridge Table'!$B140,'Dermal Crosswalk'!$C$5:$C$32,'Bridge Table'!$E140))),"--")</f>
        <v>757050000</v>
      </c>
      <c r="M140" s="586">
        <f>IFERROR(IFERROR(VLOOKUP($D140,$Z$8:$AD$9,3,FALSE),0)/IF($D140="Inhalation",IF($K140="Central Tendency",SUMIFS('Inhalation Exposure'!$AB$4:$AB$61,'Inhalation Exposure'!$B$4:$B$61,$B140,'Inhalation Exposure'!$D$4:$D$61,$C140,'Inhalation Exposure'!$E$4:$E$61,$E140),SUMIFS('Inhalation Exposure'!$AA$4:$AA$61,'Inhalation Exposure'!$B$4:$B$61,$B140,'Inhalation Exposure'!$D$4:$D$61,$C140,'Inhalation Exposure'!$E$4:$E$61,$E140)),IF($K140="Central Tendency",SUMIFS('Dermal Crosswalk'!$S$5:$S$32,'Dermal Crosswalk'!$A$5:$A$32,'Bridge Table'!$B140,'Dermal Crosswalk'!$C$5:$C$32,'Bridge Table'!$E140),SUMIFS('Dermal Crosswalk'!$N$5:$N$32,'Dermal Crosswalk'!$A$5:$A$32,'Bridge Table'!$B140,'Dermal Crosswalk'!$C$5:$C$32,'Bridge Table'!$E140))),"--")</f>
        <v>298677272.72727269</v>
      </c>
      <c r="N140" s="586">
        <f>IFERROR(IFERROR(VLOOKUP($D140,$Z$8:$AD$9,4,FALSE),0)/IF($D140="Inhalation",IF($K140="Central Tendency",SUMIFS('Inhalation Exposure'!$R$4:$R$61,'Inhalation Exposure'!$B$4:$B$61,$B140,'Inhalation Exposure'!$D$4:$D$61,$C140,'Inhalation Exposure'!$E$4:$E$61,$E140),SUMIFS('Inhalation Exposure'!$Q$4:$Q$61,'Inhalation Exposure'!$B$4:$B$61,$B140,'Inhalation Exposure'!$D$4:$D$61,$C140,'Inhalation Exposure'!$E$4:$E$61,$E140)),IF($K140="Central Tendency",SUMIFS('Dermal Crosswalk'!$Q$5:$Q$32,'Dermal Crosswalk'!$A$5:$A$32,'Bridge Table'!$B140,'Dermal Crosswalk'!$C$5:$C$32,'Bridge Table'!$E140),SUMIFS('Dermal Crosswalk'!$L$5:$L$32,'Dermal Crosswalk'!$A$5:$A$32,'Bridge Table'!$B140,'Dermal Crosswalk'!$C$5:$C$32,'Bridge Table'!$E140))),"--")</f>
        <v>319783800</v>
      </c>
      <c r="O140" s="586">
        <f>IFERROR(IFERROR(VLOOKUP($D140,$Z$8:$AD$9,5,FALSE),0)*IF($D140="Inhalation",IF($K140="Central Tendency",SUMIFS('Inhalation Exposure'!$V$4:$V$61,'Inhalation Exposure'!$B$4:$B$61,$B140,'Inhalation Exposure'!$D$4:$D$61,$C140,'Inhalation Exposure'!$E$4:$E$61,$E140),SUMIFS('Inhalation Exposure'!$U$4:$U$61,'Inhalation Exposure'!$B$4:$B$61,$B140,'Inhalation Exposure'!$D$4:$D$61,$C140,'Inhalation Exposure'!$E$4:$E$61,$E140)),IF($K140="Central Tendency",SUMIFS('Dermal Crosswalk'!$R$5:$R$32,'Dermal Crosswalk'!$A$5:$A$32,'Bridge Table'!$B140,'Dermal Crosswalk'!$C$5:$C$32,'Bridge Table'!$E140),SUMIFS('Dermal Crosswalk'!$M$5:$M$32,'Dermal Crosswalk'!$A$5:$A$32,'Bridge Table'!$B140,'Dermal Crosswalk'!$C$5:$C$32,'Bridge Table'!$E140))),"--")</f>
        <v>8.3516722459971003E-11</v>
      </c>
      <c r="P140" s="610" t="s">
        <v>118</v>
      </c>
      <c r="Q140" s="610" t="s">
        <v>118</v>
      </c>
      <c r="R140" s="610" t="s">
        <v>118</v>
      </c>
      <c r="S140" s="610" t="s">
        <v>118</v>
      </c>
      <c r="U140" s="612" t="s">
        <v>118</v>
      </c>
      <c r="V140" s="614" t="s">
        <v>118</v>
      </c>
      <c r="W140" s="614" t="s">
        <v>118</v>
      </c>
      <c r="X140" s="616" t="s">
        <v>118</v>
      </c>
    </row>
    <row r="141" spans="1:24" ht="15" thickBot="1" x14ac:dyDescent="0.35">
      <c r="A141" s="372"/>
      <c r="B141" s="360">
        <v>5</v>
      </c>
      <c r="C141" s="361" t="s">
        <v>53</v>
      </c>
      <c r="D141" s="361" t="s">
        <v>111</v>
      </c>
      <c r="E141" s="362" t="s">
        <v>117</v>
      </c>
      <c r="F141" s="589"/>
      <c r="G141" s="589"/>
      <c r="H141" s="589"/>
      <c r="I141" s="589"/>
      <c r="J141" s="589"/>
      <c r="K141" s="585"/>
      <c r="L141" s="587"/>
      <c r="M141" s="587"/>
      <c r="N141" s="587"/>
      <c r="O141" s="587"/>
      <c r="P141" s="611"/>
      <c r="Q141" s="611"/>
      <c r="R141" s="611"/>
      <c r="S141" s="611"/>
      <c r="U141" s="613"/>
      <c r="V141" s="615"/>
      <c r="W141" s="615"/>
      <c r="X141" s="617"/>
    </row>
    <row r="142" spans="1:24" ht="15" thickBot="1" x14ac:dyDescent="0.35">
      <c r="A142" s="372"/>
      <c r="B142" s="360">
        <v>5</v>
      </c>
      <c r="C142" s="361" t="s">
        <v>53</v>
      </c>
      <c r="D142" s="361" t="s">
        <v>111</v>
      </c>
      <c r="E142" s="362" t="s">
        <v>117</v>
      </c>
      <c r="F142" s="589"/>
      <c r="G142" s="589"/>
      <c r="H142" s="589"/>
      <c r="I142" s="589"/>
      <c r="J142" s="589"/>
      <c r="K142" s="584" t="s">
        <v>88</v>
      </c>
      <c r="L142" s="586">
        <f>IFERROR(IFERROR(VLOOKUP($D142,$Z$8:$AD$9,2,FALSE),0)/IF($D142="Inhalation",IF($K142="Central Tendency",SUMIFS('Inhalation Exposure'!$N$4:$N$61,'Inhalation Exposure'!$B$4:$B$61,$B142,'Inhalation Exposure'!$D$4:$D$61,$C142,'Inhalation Exposure'!$E$4:$E$61,$E142),SUMIFS('Inhalation Exposure'!$M$4:$M$61,'Inhalation Exposure'!$B$4:$B$61,$B142,'Inhalation Exposure'!$D$4:$D$61,$C142,'Inhalation Exposure'!$E$4:$E$61,$E142)),IF($K142="Central Tendency",SUMIFS('Dermal Crosswalk'!$P$5:$P$32,'Dermal Crosswalk'!$A$5:$A$32,'Bridge Table'!$B142,'Dermal Crosswalk'!$C$5:$C$32,'Bridge Table'!$E142),SUMIFS('Dermal Crosswalk'!$K$5:$K$32,'Dermal Crosswalk'!$A$5:$A$32,'Bridge Table'!$B142,'Dermal Crosswalk'!$C$5:$C$32,'Bridge Table'!$E142))),"--")</f>
        <v>398447.36842105258</v>
      </c>
      <c r="M142" s="586">
        <f>IFERROR(IFERROR(VLOOKUP($D142,$Z$8:$AD$9,3,FALSE),0)/IF($D142="Inhalation",IF($K142="Central Tendency",SUMIFS('Inhalation Exposure'!$AB$4:$AB$61,'Inhalation Exposure'!$B$4:$B$61,$B142,'Inhalation Exposure'!$D$4:$D$61,$C142,'Inhalation Exposure'!$E$4:$E$61,$E142),SUMIFS('Inhalation Exposure'!$AA$4:$AA$61,'Inhalation Exposure'!$B$4:$B$61,$B142,'Inhalation Exposure'!$D$4:$D$61,$C142,'Inhalation Exposure'!$E$4:$E$61,$E142)),IF($K142="Central Tendency",SUMIFS('Dermal Crosswalk'!$S$5:$S$32,'Dermal Crosswalk'!$A$5:$A$32,'Bridge Table'!$B142,'Dermal Crosswalk'!$C$5:$C$32,'Bridge Table'!$E142),SUMIFS('Dermal Crosswalk'!$N$5:$N$32,'Dermal Crosswalk'!$A$5:$A$32,'Bridge Table'!$B142,'Dermal Crosswalk'!$C$5:$C$32,'Bridge Table'!$E142))),"--")</f>
        <v>157198.56459330145</v>
      </c>
      <c r="N142" s="586">
        <f>IFERROR(IFERROR(VLOOKUP($D142,$Z$8:$AD$9,4,FALSE),0)/IF($D142="Inhalation",IF($K142="Central Tendency",SUMIFS('Inhalation Exposure'!$R$4:$R$61,'Inhalation Exposure'!$B$4:$B$61,$B142,'Inhalation Exposure'!$D$4:$D$61,$C142,'Inhalation Exposure'!$E$4:$E$61,$E142),SUMIFS('Inhalation Exposure'!$Q$4:$Q$61,'Inhalation Exposure'!$B$4:$B$61,$B142,'Inhalation Exposure'!$D$4:$D$61,$C142,'Inhalation Exposure'!$E$4:$E$61,$E142)),IF($K142="Central Tendency",SUMIFS('Dermal Crosswalk'!$Q$5:$Q$32,'Dermal Crosswalk'!$A$5:$A$32,'Bridge Table'!$B142,'Dermal Crosswalk'!$C$5:$C$32,'Bridge Table'!$E142),SUMIFS('Dermal Crosswalk'!$L$5:$L$32,'Dermal Crosswalk'!$A$5:$A$32,'Bridge Table'!$B142,'Dermal Crosswalk'!$C$5:$C$32,'Bridge Table'!$E142))),"--")</f>
        <v>168307.26315789478</v>
      </c>
      <c r="O142" s="586">
        <f>IFERROR(IFERROR(VLOOKUP($D142,$Z$8:$AD$9,5,FALSE),0)*IF($D142="Inhalation",IF($K142="Central Tendency",SUMIFS('Inhalation Exposure'!$V$4:$V$61,'Inhalation Exposure'!$B$4:$B$61,$B142,'Inhalation Exposure'!$D$4:$D$61,$C142,'Inhalation Exposure'!$E$4:$E$61,$E142),SUMIFS('Inhalation Exposure'!$U$4:$U$61,'Inhalation Exposure'!$B$4:$B$61,$B142,'Inhalation Exposure'!$D$4:$D$61,$C142,'Inhalation Exposure'!$E$4:$E$61,$E142)),IF($K142="Central Tendency",SUMIFS('Dermal Crosswalk'!$R$5:$R$32,'Dermal Crosswalk'!$A$5:$A$32,'Bridge Table'!$B142,'Dermal Crosswalk'!$C$5:$C$32,'Bridge Table'!$E142),SUMIFS('Dermal Crosswalk'!$M$5:$M$32,'Dermal Crosswalk'!$A$5:$A$32,'Bridge Table'!$B142,'Dermal Crosswalk'!$C$5:$C$32,'Bridge Table'!$E142))),"--")</f>
        <v>2.0475067441799341E-7</v>
      </c>
      <c r="P142" s="610" t="s">
        <v>118</v>
      </c>
      <c r="Q142" s="610" t="s">
        <v>118</v>
      </c>
      <c r="R142" s="610" t="s">
        <v>118</v>
      </c>
      <c r="S142" s="610" t="s">
        <v>118</v>
      </c>
      <c r="U142" s="612" t="s">
        <v>118</v>
      </c>
      <c r="V142" s="614" t="s">
        <v>118</v>
      </c>
      <c r="W142" s="614" t="s">
        <v>118</v>
      </c>
      <c r="X142" s="616" t="s">
        <v>118</v>
      </c>
    </row>
    <row r="143" spans="1:24" ht="15" thickBot="1" x14ac:dyDescent="0.35">
      <c r="A143" s="372"/>
      <c r="B143" s="360">
        <v>5</v>
      </c>
      <c r="C143" s="361" t="s">
        <v>53</v>
      </c>
      <c r="D143" s="361" t="s">
        <v>111</v>
      </c>
      <c r="E143" s="362" t="s">
        <v>117</v>
      </c>
      <c r="F143" s="589"/>
      <c r="G143" s="589"/>
      <c r="H143" s="589"/>
      <c r="I143" s="590"/>
      <c r="J143" s="590"/>
      <c r="K143" s="588"/>
      <c r="L143" s="587"/>
      <c r="M143" s="587"/>
      <c r="N143" s="587"/>
      <c r="O143" s="587"/>
      <c r="P143" s="611"/>
      <c r="Q143" s="611"/>
      <c r="R143" s="611"/>
      <c r="S143" s="611"/>
      <c r="U143" s="613"/>
      <c r="V143" s="615"/>
      <c r="W143" s="615"/>
      <c r="X143" s="617"/>
    </row>
    <row r="144" spans="1:24" ht="15.6" thickTop="1" thickBot="1" x14ac:dyDescent="0.35">
      <c r="A144" s="372"/>
      <c r="B144" s="360">
        <v>5</v>
      </c>
      <c r="C144" s="361" t="s">
        <v>25</v>
      </c>
      <c r="D144" s="361" t="s">
        <v>16</v>
      </c>
      <c r="E144" s="362" t="s">
        <v>24</v>
      </c>
      <c r="F144" s="589"/>
      <c r="G144" s="589"/>
      <c r="H144" s="589"/>
      <c r="I144" s="589" t="s">
        <v>25</v>
      </c>
      <c r="J144" s="609" t="s">
        <v>16</v>
      </c>
      <c r="K144" s="607" t="s">
        <v>54</v>
      </c>
      <c r="L144" s="586">
        <f>IFERROR(IFERROR(VLOOKUP($D144,$Z$8:$AD$9,2,FALSE),0)/IF($D144="Inhalation",IF($K144="Central Tendency",SUMIFS('Inhalation Exposure'!$N$4:$N$61,'Inhalation Exposure'!$B$4:$B$61,$B144,'Inhalation Exposure'!$D$4:$D$61,$C144,'Inhalation Exposure'!$E$4:$E$61,$E144),SUMIFS('Inhalation Exposure'!$M$4:$M$61,'Inhalation Exposure'!$B$4:$B$61,$B144,'Inhalation Exposure'!$D$4:$D$61,$C144,'Inhalation Exposure'!$E$4:$E$61,$E144)),IF($K144="Central Tendency",SUMIFS('Dermal Crosswalk'!$P$5:$P$32,'Dermal Crosswalk'!$A$5:$A$32,'Bridge Table'!$B144,'Dermal Crosswalk'!$C$5:$C$32,'Bridge Table'!$E144),SUMIFS('Dermal Crosswalk'!$K$5:$K$32,'Dermal Crosswalk'!$A$5:$A$32,'Bridge Table'!$B144,'Dermal Crosswalk'!$C$5:$C$32,'Bridge Table'!$E144))),"--")</f>
        <v>516254.79520756198</v>
      </c>
      <c r="M144" s="586">
        <f>IFERROR(IFERROR(VLOOKUP($D144,$Z$8:$AD$9,3,FALSE),0)/IF($D144="Inhalation",IF($K144="Central Tendency",SUMIFS('Inhalation Exposure'!$AB$4:$AB$61,'Inhalation Exposure'!$B$4:$B$61,$B144,'Inhalation Exposure'!$D$4:$D$61,$C144,'Inhalation Exposure'!$E$4:$E$61,$E144),SUMIFS('Inhalation Exposure'!$AA$4:$AA$61,'Inhalation Exposure'!$B$4:$B$61,$B144,'Inhalation Exposure'!$D$4:$D$61,$C144,'Inhalation Exposure'!$E$4:$E$61,$E144)),IF($K144="Central Tendency",SUMIFS('Dermal Crosswalk'!$S$5:$S$32,'Dermal Crosswalk'!$A$5:$A$32,'Bridge Table'!$B144,'Dermal Crosswalk'!$C$5:$C$32,'Bridge Table'!$E144),SUMIFS('Dermal Crosswalk'!$N$5:$N$32,'Dermal Crosswalk'!$A$5:$A$32,'Bridge Table'!$B144,'Dermal Crosswalk'!$C$5:$C$32,'Bridge Table'!$E144))),"--")</f>
        <v>203158.11900585875</v>
      </c>
      <c r="N144" s="586">
        <f>IFERROR(IFERROR(VLOOKUP($D144,$Z$8:$AD$9,4,FALSE),0)/IF($D144="Inhalation",IF($K144="Central Tendency",SUMIFS('Inhalation Exposure'!$R$4:$R$61,'Inhalation Exposure'!$B$4:$B$61,$B144,'Inhalation Exposure'!$D$4:$D$61,$C144,'Inhalation Exposure'!$E$4:$E$61,$E144),SUMIFS('Inhalation Exposure'!$Q$4:$Q$61,'Inhalation Exposure'!$B$4:$B$61,$B144,'Inhalation Exposure'!$D$4:$D$61,$C144,'Inhalation Exposure'!$E$4:$E$61,$E144)),IF($K144="Central Tendency",SUMIFS('Dermal Crosswalk'!$Q$5:$Q$32,'Dermal Crosswalk'!$A$5:$A$32,'Bridge Table'!$B144,'Dermal Crosswalk'!$C$5:$C$32,'Bridge Table'!$E144),SUMIFS('Dermal Crosswalk'!$L$5:$L$32,'Dermal Crosswalk'!$A$5:$A$32,'Bridge Table'!$B144,'Dermal Crosswalk'!$C$5:$C$32,'Bridge Table'!$E144))),"--")</f>
        <v>217514.62608227276</v>
      </c>
      <c r="O144" s="586">
        <f>IFERROR(IFERROR(VLOOKUP($D144,$Z$8:$AD$9,5,FALSE),0)*IF($D144="Inhalation",IF($K144="Central Tendency",SUMIFS('Inhalation Exposure'!$V$4:$V$61,'Inhalation Exposure'!$B$4:$B$61,$B144,'Inhalation Exposure'!$D$4:$D$61,$C144,'Inhalation Exposure'!$E$4:$E$61,$E144),SUMIFS('Inhalation Exposure'!$U$4:$U$61,'Inhalation Exposure'!$B$4:$B$61,$B144,'Inhalation Exposure'!$D$4:$D$61,$C144,'Inhalation Exposure'!$E$4:$E$61,$E144)),IF($K144="Central Tendency",SUMIFS('Dermal Crosswalk'!$R$5:$R$32,'Dermal Crosswalk'!$A$5:$A$32,'Bridge Table'!$B144,'Dermal Crosswalk'!$C$5:$C$32,'Bridge Table'!$E144),SUMIFS('Dermal Crosswalk'!$M$5:$M$32,'Dermal Crosswalk'!$A$5:$A$32,'Bridge Table'!$B144,'Dermal Crosswalk'!$C$5:$C$32,'Bridge Table'!$E144))),"--")</f>
        <v>1.2221017261591151E-7</v>
      </c>
      <c r="P144" s="382">
        <f>L144*U144</f>
        <v>2581273.9760378101</v>
      </c>
      <c r="Q144" s="382">
        <f t="shared" ref="Q144" si="39">M144*V144</f>
        <v>1015790.5950292938</v>
      </c>
      <c r="R144" s="382">
        <f t="shared" ref="R144" si="40">N144*W144</f>
        <v>1087573.1304113639</v>
      </c>
      <c r="S144" s="383">
        <f>O144/X144</f>
        <v>2.44420345231823E-8</v>
      </c>
      <c r="U144" s="378">
        <v>5</v>
      </c>
      <c r="V144" s="379">
        <v>5</v>
      </c>
      <c r="W144" s="379">
        <v>5</v>
      </c>
      <c r="X144" s="380">
        <v>5</v>
      </c>
    </row>
    <row r="145" spans="1:24" ht="15" thickBot="1" x14ac:dyDescent="0.35">
      <c r="A145" s="372"/>
      <c r="B145" s="360">
        <v>5</v>
      </c>
      <c r="C145" s="361" t="s">
        <v>25</v>
      </c>
      <c r="D145" s="361" t="s">
        <v>16</v>
      </c>
      <c r="E145" s="362" t="s">
        <v>24</v>
      </c>
      <c r="F145" s="589"/>
      <c r="G145" s="589"/>
      <c r="H145" s="589"/>
      <c r="I145" s="589"/>
      <c r="J145" s="589"/>
      <c r="K145" s="608"/>
      <c r="L145" s="587"/>
      <c r="M145" s="587"/>
      <c r="N145" s="587"/>
      <c r="O145" s="587"/>
      <c r="P145" s="373" t="str">
        <f>CONCATENATE("(PF ",U144,")")</f>
        <v>(PF 5)</v>
      </c>
      <c r="Q145" s="373" t="str">
        <f>CONCATENATE("(PF ",V144,")")</f>
        <v>(PF 5)</v>
      </c>
      <c r="R145" s="373" t="str">
        <f>CONCATENATE("(PF ",W144,")")</f>
        <v>(PF 5)</v>
      </c>
      <c r="S145" s="373" t="str">
        <f>CONCATENATE("(PF ",X144,")")</f>
        <v>(PF 5)</v>
      </c>
      <c r="U145" s="374" t="s">
        <v>119</v>
      </c>
      <c r="V145" s="375" t="s">
        <v>119</v>
      </c>
      <c r="W145" s="375" t="s">
        <v>119</v>
      </c>
      <c r="X145" s="376" t="s">
        <v>119</v>
      </c>
    </row>
    <row r="146" spans="1:24" ht="15.6" customHeight="1" thickBot="1" x14ac:dyDescent="0.35">
      <c r="A146" s="372"/>
      <c r="B146" s="360">
        <v>5</v>
      </c>
      <c r="C146" s="361" t="s">
        <v>25</v>
      </c>
      <c r="D146" s="361" t="s">
        <v>16</v>
      </c>
      <c r="E146" s="362" t="s">
        <v>24</v>
      </c>
      <c r="F146" s="589"/>
      <c r="G146" s="589"/>
      <c r="H146" s="589"/>
      <c r="I146" s="589"/>
      <c r="J146" s="589"/>
      <c r="K146" s="584" t="s">
        <v>88</v>
      </c>
      <c r="L146" s="586">
        <f>IFERROR(IFERROR(VLOOKUP($D146,$Z$8:$AD$9,2,FALSE),0)/IF($D146="Inhalation",IF($K146="Central Tendency",SUMIFS('Inhalation Exposure'!$N$4:$N$61,'Inhalation Exposure'!$B$4:$B$61,$B146,'Inhalation Exposure'!$D$4:$D$61,$C146,'Inhalation Exposure'!$E$4:$E$61,$E146),SUMIFS('Inhalation Exposure'!$M$4:$M$61,'Inhalation Exposure'!$B$4:$B$61,$B146,'Inhalation Exposure'!$D$4:$D$61,$C146,'Inhalation Exposure'!$E$4:$E$61,$E146)),IF($K146="Central Tendency",SUMIFS('Dermal Crosswalk'!$P$5:$P$32,'Dermal Crosswalk'!$A$5:$A$32,'Bridge Table'!$B146,'Dermal Crosswalk'!$C$5:$C$32,'Bridge Table'!$E146),SUMIFS('Dermal Crosswalk'!$K$5:$K$32,'Dermal Crosswalk'!$A$5:$A$32,'Bridge Table'!$B146,'Dermal Crosswalk'!$C$5:$C$32,'Bridge Table'!$E146))),"--")</f>
        <v>216827.01398717603</v>
      </c>
      <c r="M146" s="586">
        <f>IFERROR(IFERROR(VLOOKUP($D146,$Z$8:$AD$9,3,FALSE),0)/IF($D146="Inhalation",IF($K146="Central Tendency",SUMIFS('Inhalation Exposure'!$AB$4:$AB$61,'Inhalation Exposure'!$B$4:$B$61,$B146,'Inhalation Exposure'!$D$4:$D$61,$C146,'Inhalation Exposure'!$E$4:$E$61,$E146),SUMIFS('Inhalation Exposure'!$AA$4:$AA$61,'Inhalation Exposure'!$B$4:$B$61,$B146,'Inhalation Exposure'!$D$4:$D$61,$C146,'Inhalation Exposure'!$E$4:$E$61,$E146)),IF($K146="Central Tendency",SUMIFS('Dermal Crosswalk'!$S$5:$S$32,'Dermal Crosswalk'!$A$5:$A$32,'Bridge Table'!$B146,'Dermal Crosswalk'!$C$5:$C$32,'Bridge Table'!$E146),SUMIFS('Dermal Crosswalk'!$N$5:$N$32,'Dermal Crosswalk'!$A$5:$A$32,'Bridge Table'!$B146,'Dermal Crosswalk'!$C$5:$C$32,'Bridge Table'!$E146))),"--")</f>
        <v>85326.409982460667</v>
      </c>
      <c r="N146" s="586">
        <f>IFERROR(IFERROR(VLOOKUP($D146,$Z$8:$AD$9,4,FALSE),0)/IF($D146="Inhalation",IF($K146="Central Tendency",SUMIFS('Inhalation Exposure'!$R$4:$R$61,'Inhalation Exposure'!$B$4:$B$61,$B146,'Inhalation Exposure'!$D$4:$D$61,$C146,'Inhalation Exposure'!$E$4:$E$61,$E146),SUMIFS('Inhalation Exposure'!$Q$4:$Q$61,'Inhalation Exposure'!$B$4:$B$61,$B146,'Inhalation Exposure'!$D$4:$D$61,$C146,'Inhalation Exposure'!$E$4:$E$61,$E146)),IF($K146="Central Tendency",SUMIFS('Dermal Crosswalk'!$Q$5:$Q$32,'Dermal Crosswalk'!$A$5:$A$32,'Bridge Table'!$B146,'Dermal Crosswalk'!$C$5:$C$32,'Bridge Table'!$E146),SUMIFS('Dermal Crosswalk'!$L$5:$L$32,'Dermal Crosswalk'!$A$5:$A$32,'Bridge Table'!$B146,'Dermal Crosswalk'!$C$5:$C$32,'Bridge Table'!$E146))),"--")</f>
        <v>91356.142954554554</v>
      </c>
      <c r="O146" s="586">
        <f>IFERROR(IFERROR(VLOOKUP($D146,$Z$8:$AD$9,5,FALSE),0)*IF($D146="Inhalation",IF($K146="Central Tendency",SUMIFS('Inhalation Exposure'!$V$4:$V$61,'Inhalation Exposure'!$B$4:$B$61,$B146,'Inhalation Exposure'!$D$4:$D$61,$C146,'Inhalation Exposure'!$E$4:$E$61,$E146),SUMIFS('Inhalation Exposure'!$U$4:$U$61,'Inhalation Exposure'!$B$4:$B$61,$B146,'Inhalation Exposure'!$D$4:$D$61,$C146,'Inhalation Exposure'!$E$4:$E$61,$E146)),IF($K146="Central Tendency",SUMIFS('Dermal Crosswalk'!$R$5:$R$32,'Dermal Crosswalk'!$A$5:$A$32,'Bridge Table'!$B146,'Dermal Crosswalk'!$C$5:$C$32,'Bridge Table'!$E146),SUMIFS('Dermal Crosswalk'!$M$5:$M$32,'Dermal Crosswalk'!$A$5:$A$32,'Bridge Table'!$B146,'Dermal Crosswalk'!$C$5:$C$32,'Bridge Table'!$E146))),"--")</f>
        <v>3.7545367931155602E-7</v>
      </c>
      <c r="P146" s="382">
        <f>L146*U146</f>
        <v>1084135.0699358801</v>
      </c>
      <c r="Q146" s="382">
        <f t="shared" ref="Q146" si="41">M146*V146</f>
        <v>426632.04991230334</v>
      </c>
      <c r="R146" s="382">
        <f t="shared" ref="R146" si="42">N146*W146</f>
        <v>456780.71477277274</v>
      </c>
      <c r="S146" s="383">
        <f>O146/X146</f>
        <v>7.509073586231121E-8</v>
      </c>
      <c r="U146" s="378">
        <v>5</v>
      </c>
      <c r="V146" s="379">
        <v>5</v>
      </c>
      <c r="W146" s="379">
        <v>5</v>
      </c>
      <c r="X146" s="380">
        <v>5</v>
      </c>
    </row>
    <row r="147" spans="1:24" ht="15" thickBot="1" x14ac:dyDescent="0.35">
      <c r="A147" s="372"/>
      <c r="B147" s="360">
        <v>5</v>
      </c>
      <c r="C147" s="361" t="s">
        <v>25</v>
      </c>
      <c r="D147" s="361" t="s">
        <v>16</v>
      </c>
      <c r="E147" s="362" t="s">
        <v>24</v>
      </c>
      <c r="F147" s="589"/>
      <c r="G147" s="589"/>
      <c r="H147" s="589"/>
      <c r="I147" s="590"/>
      <c r="J147" s="590"/>
      <c r="K147" s="588"/>
      <c r="L147" s="587"/>
      <c r="M147" s="587"/>
      <c r="N147" s="587"/>
      <c r="O147" s="587"/>
      <c r="P147" s="373" t="str">
        <f>CONCATENATE("(PF ",U146,")")</f>
        <v>(PF 5)</v>
      </c>
      <c r="Q147" s="373" t="str">
        <f>CONCATENATE("(PF ",V146,")")</f>
        <v>(PF 5)</v>
      </c>
      <c r="R147" s="373" t="str">
        <f>CONCATENATE("(PF ",W146,")")</f>
        <v>(PF 5)</v>
      </c>
      <c r="S147" s="373" t="str">
        <f>CONCATENATE("(PF ",X146,")")</f>
        <v>(PF 5)</v>
      </c>
      <c r="U147" s="374" t="s">
        <v>119</v>
      </c>
      <c r="V147" s="375" t="s">
        <v>119</v>
      </c>
      <c r="W147" s="375" t="s">
        <v>119</v>
      </c>
      <c r="X147" s="376" t="s">
        <v>119</v>
      </c>
    </row>
    <row r="148" spans="1:24" ht="15.6" thickTop="1" thickBot="1" x14ac:dyDescent="0.35">
      <c r="A148" s="372"/>
      <c r="B148" s="360">
        <v>5</v>
      </c>
      <c r="C148" s="361" t="s">
        <v>25</v>
      </c>
      <c r="D148" s="361" t="s">
        <v>16</v>
      </c>
      <c r="E148" s="362" t="s">
        <v>117</v>
      </c>
      <c r="F148" s="589"/>
      <c r="G148" s="589"/>
      <c r="H148" s="589"/>
      <c r="I148" s="589" t="s">
        <v>25</v>
      </c>
      <c r="J148" s="609" t="s">
        <v>16</v>
      </c>
      <c r="K148" s="607" t="s">
        <v>54</v>
      </c>
      <c r="L148" s="586">
        <f>IFERROR(IFERROR(VLOOKUP($D148,$Z$8:$AD$9,2,FALSE),0)/IF($D148="Inhalation",IF($K148="Central Tendency",SUMIFS('Inhalation Exposure'!$N$4:$N$61,'Inhalation Exposure'!$B$4:$B$61,$B148,'Inhalation Exposure'!$D$4:$D$61,$C148,'Inhalation Exposure'!$E$4:$E$61,$E148),SUMIFS('Inhalation Exposure'!$M$4:$M$61,'Inhalation Exposure'!$B$4:$B$61,$B148,'Inhalation Exposure'!$D$4:$D$61,$C148,'Inhalation Exposure'!$E$4:$E$61,$E148)),IF($K148="Central Tendency",SUMIFS('Dermal Crosswalk'!$P$5:$P$32,'Dermal Crosswalk'!$A$5:$A$32,'Bridge Table'!$B148,'Dermal Crosswalk'!$C$5:$C$32,'Bridge Table'!$E148),SUMIFS('Dermal Crosswalk'!$K$5:$K$32,'Dermal Crosswalk'!$A$5:$A$32,'Bridge Table'!$B148,'Dermal Crosswalk'!$C$5:$C$32,'Bridge Table'!$E148))),"--")</f>
        <v>516254.79520756198</v>
      </c>
      <c r="M148" s="586">
        <f>IFERROR(IFERROR(VLOOKUP($D148,$Z$8:$AD$9,3,FALSE),0)/IF($D148="Inhalation",IF($K148="Central Tendency",SUMIFS('Inhalation Exposure'!$AB$4:$AB$61,'Inhalation Exposure'!$B$4:$B$61,$B148,'Inhalation Exposure'!$D$4:$D$61,$C148,'Inhalation Exposure'!$E$4:$E$61,$E148),SUMIFS('Inhalation Exposure'!$AA$4:$AA$61,'Inhalation Exposure'!$B$4:$B$61,$B148,'Inhalation Exposure'!$D$4:$D$61,$C148,'Inhalation Exposure'!$E$4:$E$61,$E148)),IF($K148="Central Tendency",SUMIFS('Dermal Crosswalk'!$S$5:$S$32,'Dermal Crosswalk'!$A$5:$A$32,'Bridge Table'!$B148,'Dermal Crosswalk'!$C$5:$C$32,'Bridge Table'!$E148),SUMIFS('Dermal Crosswalk'!$N$5:$N$32,'Dermal Crosswalk'!$A$5:$A$32,'Bridge Table'!$B148,'Dermal Crosswalk'!$C$5:$C$32,'Bridge Table'!$E148))),"--")</f>
        <v>203158.11900585875</v>
      </c>
      <c r="N148" s="586">
        <f>IFERROR(IFERROR(VLOOKUP($D148,$Z$8:$AD$9,4,FALSE),0)/IF($D148="Inhalation",IF($K148="Central Tendency",SUMIFS('Inhalation Exposure'!$R$4:$R$61,'Inhalation Exposure'!$B$4:$B$61,$B148,'Inhalation Exposure'!$D$4:$D$61,$C148,'Inhalation Exposure'!$E$4:$E$61,$E148),SUMIFS('Inhalation Exposure'!$Q$4:$Q$61,'Inhalation Exposure'!$B$4:$B$61,$B148,'Inhalation Exposure'!$D$4:$D$61,$C148,'Inhalation Exposure'!$E$4:$E$61,$E148)),IF($K148="Central Tendency",SUMIFS('Dermal Crosswalk'!$Q$5:$Q$32,'Dermal Crosswalk'!$A$5:$A$32,'Bridge Table'!$B148,'Dermal Crosswalk'!$C$5:$C$32,'Bridge Table'!$E148),SUMIFS('Dermal Crosswalk'!$L$5:$L$32,'Dermal Crosswalk'!$A$5:$A$32,'Bridge Table'!$B148,'Dermal Crosswalk'!$C$5:$C$32,'Bridge Table'!$E148))),"--")</f>
        <v>217514.62608227276</v>
      </c>
      <c r="O148" s="586">
        <f>IFERROR(IFERROR(VLOOKUP($D148,$Z$8:$AD$9,5,FALSE),0)*IF($D148="Inhalation",IF($K148="Central Tendency",SUMIFS('Inhalation Exposure'!$V$4:$V$61,'Inhalation Exposure'!$B$4:$B$61,$B148,'Inhalation Exposure'!$D$4:$D$61,$C148,'Inhalation Exposure'!$E$4:$E$61,$E148),SUMIFS('Inhalation Exposure'!$U$4:$U$61,'Inhalation Exposure'!$B$4:$B$61,$B148,'Inhalation Exposure'!$D$4:$D$61,$C148,'Inhalation Exposure'!$E$4:$E$61,$E148)),IF($K148="Central Tendency",SUMIFS('Dermal Crosswalk'!$R$5:$R$32,'Dermal Crosswalk'!$A$5:$A$32,'Bridge Table'!$B148,'Dermal Crosswalk'!$C$5:$C$32,'Bridge Table'!$E148),SUMIFS('Dermal Crosswalk'!$M$5:$M$32,'Dermal Crosswalk'!$A$5:$A$32,'Bridge Table'!$B148,'Dermal Crosswalk'!$C$5:$C$32,'Bridge Table'!$E148))),"--")</f>
        <v>1.2221017261591151E-7</v>
      </c>
      <c r="P148" s="382">
        <f>L148*U148</f>
        <v>2581273.9760378101</v>
      </c>
      <c r="Q148" s="382">
        <f t="shared" ref="Q148" si="43">M148*V148</f>
        <v>1015790.5950292938</v>
      </c>
      <c r="R148" s="382">
        <f t="shared" ref="R148" si="44">N148*W148</f>
        <v>1087573.1304113639</v>
      </c>
      <c r="S148" s="383">
        <f>O148/X148</f>
        <v>2.44420345231823E-8</v>
      </c>
      <c r="U148" s="378">
        <v>5</v>
      </c>
      <c r="V148" s="379">
        <v>5</v>
      </c>
      <c r="W148" s="379">
        <v>5</v>
      </c>
      <c r="X148" s="380">
        <v>5</v>
      </c>
    </row>
    <row r="149" spans="1:24" ht="15" thickBot="1" x14ac:dyDescent="0.35">
      <c r="A149" s="372"/>
      <c r="B149" s="360">
        <v>5</v>
      </c>
      <c r="C149" s="361" t="s">
        <v>25</v>
      </c>
      <c r="D149" s="361" t="s">
        <v>16</v>
      </c>
      <c r="E149" s="362" t="s">
        <v>117</v>
      </c>
      <c r="F149" s="589"/>
      <c r="G149" s="589"/>
      <c r="H149" s="589"/>
      <c r="I149" s="589"/>
      <c r="J149" s="589"/>
      <c r="K149" s="608"/>
      <c r="L149" s="587"/>
      <c r="M149" s="587"/>
      <c r="N149" s="587"/>
      <c r="O149" s="587"/>
      <c r="P149" s="373" t="str">
        <f>CONCATENATE("(PF ",U148,")")</f>
        <v>(PF 5)</v>
      </c>
      <c r="Q149" s="373" t="str">
        <f>CONCATENATE("(PF ",V148,")")</f>
        <v>(PF 5)</v>
      </c>
      <c r="R149" s="373" t="str">
        <f>CONCATENATE("(PF ",W148,")")</f>
        <v>(PF 5)</v>
      </c>
      <c r="S149" s="373" t="str">
        <f>CONCATENATE("(PF ",X148,")")</f>
        <v>(PF 5)</v>
      </c>
      <c r="U149" s="374" t="s">
        <v>119</v>
      </c>
      <c r="V149" s="375" t="s">
        <v>119</v>
      </c>
      <c r="W149" s="375" t="s">
        <v>119</v>
      </c>
      <c r="X149" s="376" t="s">
        <v>119</v>
      </c>
    </row>
    <row r="150" spans="1:24" ht="15" thickBot="1" x14ac:dyDescent="0.35">
      <c r="A150" s="372"/>
      <c r="B150" s="360">
        <v>5</v>
      </c>
      <c r="C150" s="361" t="s">
        <v>25</v>
      </c>
      <c r="D150" s="361" t="s">
        <v>16</v>
      </c>
      <c r="E150" s="362" t="s">
        <v>117</v>
      </c>
      <c r="F150" s="589"/>
      <c r="G150" s="589"/>
      <c r="H150" s="589"/>
      <c r="I150" s="589"/>
      <c r="J150" s="589"/>
      <c r="K150" s="584" t="s">
        <v>88</v>
      </c>
      <c r="L150" s="586">
        <f>IFERROR(IFERROR(VLOOKUP($D150,$Z$8:$AD$9,2,FALSE),0)/IF($D150="Inhalation",IF($K150="Central Tendency",SUMIFS('Inhalation Exposure'!$N$4:$N$61,'Inhalation Exposure'!$B$4:$B$61,$B150,'Inhalation Exposure'!$D$4:$D$61,$C150,'Inhalation Exposure'!$E$4:$E$61,$E150),SUMIFS('Inhalation Exposure'!$M$4:$M$61,'Inhalation Exposure'!$B$4:$B$61,$B150,'Inhalation Exposure'!$D$4:$D$61,$C150,'Inhalation Exposure'!$E$4:$E$61,$E150)),IF($K150="Central Tendency",SUMIFS('Dermal Crosswalk'!$P$5:$P$32,'Dermal Crosswalk'!$A$5:$A$32,'Bridge Table'!$B150,'Dermal Crosswalk'!$C$5:$C$32,'Bridge Table'!$E150),SUMIFS('Dermal Crosswalk'!$K$5:$K$32,'Dermal Crosswalk'!$A$5:$A$32,'Bridge Table'!$B150,'Dermal Crosswalk'!$C$5:$C$32,'Bridge Table'!$E150))),"--")</f>
        <v>216827.01398717603</v>
      </c>
      <c r="M150" s="586">
        <f>IFERROR(IFERROR(VLOOKUP($D150,$Z$8:$AD$9,3,FALSE),0)/IF($D150="Inhalation",IF($K150="Central Tendency",SUMIFS('Inhalation Exposure'!$AB$4:$AB$61,'Inhalation Exposure'!$B$4:$B$61,$B150,'Inhalation Exposure'!$D$4:$D$61,$C150,'Inhalation Exposure'!$E$4:$E$61,$E150),SUMIFS('Inhalation Exposure'!$AA$4:$AA$61,'Inhalation Exposure'!$B$4:$B$61,$B150,'Inhalation Exposure'!$D$4:$D$61,$C150,'Inhalation Exposure'!$E$4:$E$61,$E150)),IF($K150="Central Tendency",SUMIFS('Dermal Crosswalk'!$S$5:$S$32,'Dermal Crosswalk'!$A$5:$A$32,'Bridge Table'!$B150,'Dermal Crosswalk'!$C$5:$C$32,'Bridge Table'!$E150),SUMIFS('Dermal Crosswalk'!$N$5:$N$32,'Dermal Crosswalk'!$A$5:$A$32,'Bridge Table'!$B150,'Dermal Crosswalk'!$C$5:$C$32,'Bridge Table'!$E150))),"--")</f>
        <v>85326.409982460667</v>
      </c>
      <c r="N150" s="586">
        <f>IFERROR(IFERROR(VLOOKUP($D150,$Z$8:$AD$9,4,FALSE),0)/IF($D150="Inhalation",IF($K150="Central Tendency",SUMIFS('Inhalation Exposure'!$R$4:$R$61,'Inhalation Exposure'!$B$4:$B$61,$B150,'Inhalation Exposure'!$D$4:$D$61,$C150,'Inhalation Exposure'!$E$4:$E$61,$E150),SUMIFS('Inhalation Exposure'!$Q$4:$Q$61,'Inhalation Exposure'!$B$4:$B$61,$B150,'Inhalation Exposure'!$D$4:$D$61,$C150,'Inhalation Exposure'!$E$4:$E$61,$E150)),IF($K150="Central Tendency",SUMIFS('Dermal Crosswalk'!$Q$5:$Q$32,'Dermal Crosswalk'!$A$5:$A$32,'Bridge Table'!$B150,'Dermal Crosswalk'!$C$5:$C$32,'Bridge Table'!$E150),SUMIFS('Dermal Crosswalk'!$L$5:$L$32,'Dermal Crosswalk'!$A$5:$A$32,'Bridge Table'!$B150,'Dermal Crosswalk'!$C$5:$C$32,'Bridge Table'!$E150))),"--")</f>
        <v>91356.142954554554</v>
      </c>
      <c r="O150" s="586">
        <f>IFERROR(IFERROR(VLOOKUP($D150,$Z$8:$AD$9,5,FALSE),0)*IF($D150="Inhalation",IF($K150="Central Tendency",SUMIFS('Inhalation Exposure'!$V$4:$V$61,'Inhalation Exposure'!$B$4:$B$61,$B150,'Inhalation Exposure'!$D$4:$D$61,$C150,'Inhalation Exposure'!$E$4:$E$61,$E150),SUMIFS('Inhalation Exposure'!$U$4:$U$61,'Inhalation Exposure'!$B$4:$B$61,$B150,'Inhalation Exposure'!$D$4:$D$61,$C150,'Inhalation Exposure'!$E$4:$E$61,$E150)),IF($K150="Central Tendency",SUMIFS('Dermal Crosswalk'!$R$5:$R$32,'Dermal Crosswalk'!$A$5:$A$32,'Bridge Table'!$B150,'Dermal Crosswalk'!$C$5:$C$32,'Bridge Table'!$E150),SUMIFS('Dermal Crosswalk'!$M$5:$M$32,'Dermal Crosswalk'!$A$5:$A$32,'Bridge Table'!$B150,'Dermal Crosswalk'!$C$5:$C$32,'Bridge Table'!$E150))),"--")</f>
        <v>3.7545367931155602E-7</v>
      </c>
      <c r="P150" s="363">
        <f>L150*U150</f>
        <v>1084135.0699358801</v>
      </c>
      <c r="Q150" s="363">
        <f t="shared" ref="Q150" si="45">M150*V150</f>
        <v>426632.04991230334</v>
      </c>
      <c r="R150" s="363">
        <f t="shared" ref="R150" si="46">N150*W150</f>
        <v>456780.71477277274</v>
      </c>
      <c r="S150" s="364">
        <f>O150/X150</f>
        <v>7.509073586231121E-8</v>
      </c>
      <c r="U150" s="378">
        <v>5</v>
      </c>
      <c r="V150" s="379">
        <v>5</v>
      </c>
      <c r="W150" s="379">
        <v>5</v>
      </c>
      <c r="X150" s="380">
        <v>5</v>
      </c>
    </row>
    <row r="151" spans="1:24" ht="15" thickBot="1" x14ac:dyDescent="0.35">
      <c r="A151" s="372"/>
      <c r="B151" s="360">
        <v>5</v>
      </c>
      <c r="C151" s="361" t="s">
        <v>25</v>
      </c>
      <c r="D151" s="361" t="s">
        <v>16</v>
      </c>
      <c r="E151" s="387" t="s">
        <v>117</v>
      </c>
      <c r="F151" s="587"/>
      <c r="G151" s="587"/>
      <c r="H151" s="587"/>
      <c r="I151" s="587"/>
      <c r="J151" s="587"/>
      <c r="K151" s="585"/>
      <c r="L151" s="587"/>
      <c r="M151" s="587"/>
      <c r="N151" s="587"/>
      <c r="O151" s="587"/>
      <c r="P151" s="373" t="str">
        <f>CONCATENATE("(PF ",U150,")")</f>
        <v>(PF 5)</v>
      </c>
      <c r="Q151" s="373" t="str">
        <f>CONCATENATE("(PF ",V150,")")</f>
        <v>(PF 5)</v>
      </c>
      <c r="R151" s="373" t="str">
        <f>CONCATENATE("(PF ",W150,")")</f>
        <v>(PF 5)</v>
      </c>
      <c r="S151" s="373" t="str">
        <f>CONCATENATE("(PF ",X150,")")</f>
        <v>(PF 5)</v>
      </c>
      <c r="U151" s="384" t="s">
        <v>119</v>
      </c>
      <c r="V151" s="385" t="s">
        <v>119</v>
      </c>
      <c r="W151" s="385" t="s">
        <v>119</v>
      </c>
      <c r="X151" s="386" t="s">
        <v>119</v>
      </c>
    </row>
    <row r="152" spans="1:24" ht="15" customHeight="1" thickBot="1" x14ac:dyDescent="0.35">
      <c r="A152" s="372"/>
      <c r="B152" s="360" t="s">
        <v>134</v>
      </c>
      <c r="C152" s="361" t="s">
        <v>25</v>
      </c>
      <c r="D152" s="361" t="s">
        <v>111</v>
      </c>
      <c r="E152" s="362" t="s">
        <v>24</v>
      </c>
      <c r="F152" s="586" t="s">
        <v>135</v>
      </c>
      <c r="G152" s="586" t="s">
        <v>136</v>
      </c>
      <c r="H152" s="586" t="s">
        <v>137</v>
      </c>
      <c r="I152" s="586" t="s">
        <v>25</v>
      </c>
      <c r="J152" s="586" t="s">
        <v>115</v>
      </c>
      <c r="K152" s="584" t="s">
        <v>54</v>
      </c>
      <c r="L152" s="586">
        <f>IFERROR(IFERROR(VLOOKUP($D152,$Z$8:$AD$9,2,FALSE),0)/IF($D152="Inhalation",IF($K152="Central Tendency",SUMIFS('Inhalation Exposure'!$N$4:$N$61,'Inhalation Exposure'!$B$4:$B$61,$B152,'Inhalation Exposure'!$D$4:$D$61,$C152,'Inhalation Exposure'!$E$4:$E$61,$E152),SUMIFS('Inhalation Exposure'!$M$4:$M$61,'Inhalation Exposure'!$B$4:$B$61,$B152,'Inhalation Exposure'!$D$4:$D$61,$C152,'Inhalation Exposure'!$E$4:$E$61,$E152)),IF($K152="Central Tendency",SUMIFS('Dermal Crosswalk'!$P$5:$P$32,'Dermal Crosswalk'!$A$5:$A$32,'Bridge Table'!$B152,'Dermal Crosswalk'!$C$5:$C$32,'Bridge Table'!$E152),SUMIFS('Dermal Crosswalk'!$K$5:$K$32,'Dermal Crosswalk'!$A$5:$A$32,'Bridge Table'!$B152,'Dermal Crosswalk'!$C$5:$C$32,'Bridge Table'!$E152))),"--")</f>
        <v>447.95857988165676</v>
      </c>
      <c r="M152" s="586">
        <f>IFERROR(IFERROR(VLOOKUP($D152,$Z$8:$AD$9,3,FALSE),0)/IF($D152="Inhalation",IF($K152="Central Tendency",SUMIFS('Inhalation Exposure'!$AB$4:$AB$61,'Inhalation Exposure'!$B$4:$B$61,$B152,'Inhalation Exposure'!$D$4:$D$61,$C152,'Inhalation Exposure'!$E$4:$E$61,$E152),SUMIFS('Inhalation Exposure'!$AA$4:$AA$61,'Inhalation Exposure'!$B$4:$B$61,$B152,'Inhalation Exposure'!$D$4:$D$61,$C152,'Inhalation Exposure'!$E$4:$E$61,$E152)),IF($K152="Central Tendency",SUMIFS('Dermal Crosswalk'!$S$5:$S$32,'Dermal Crosswalk'!$A$5:$A$32,'Bridge Table'!$B152,'Dermal Crosswalk'!$C$5:$C$32,'Bridge Table'!$E152),SUMIFS('Dermal Crosswalk'!$N$5:$N$32,'Dermal Crosswalk'!$A$5:$A$32,'Bridge Table'!$B152,'Dermal Crosswalk'!$C$5:$C$32,'Bridge Table'!$E152))),"--")</f>
        <v>3888.1065088757391</v>
      </c>
      <c r="N152" s="586">
        <f>IFERROR(IFERROR(VLOOKUP($D152,$Z$8:$AD$9,4,FALSE),0)/IF($D152="Inhalation",IF($K152="Central Tendency",SUMIFS('Inhalation Exposure'!$R$4:$R$61,'Inhalation Exposure'!$B$4:$B$61,$B152,'Inhalation Exposure'!$D$4:$D$61,$C152,'Inhalation Exposure'!$E$4:$E$61,$E152),SUMIFS('Inhalation Exposure'!$Q$4:$Q$61,'Inhalation Exposure'!$B$4:$B$61,$B152,'Inhalation Exposure'!$D$4:$D$61,$C152,'Inhalation Exposure'!$E$4:$E$61,$E152)),IF($K152="Central Tendency",SUMIFS('Dermal Crosswalk'!$Q$5:$Q$32,'Dermal Crosswalk'!$A$5:$A$32,'Bridge Table'!$B152,'Dermal Crosswalk'!$C$5:$C$32,'Bridge Table'!$E152),SUMIFS('Dermal Crosswalk'!$L$5:$L$32,'Dermal Crosswalk'!$A$5:$A$32,'Bridge Table'!$B152,'Dermal Crosswalk'!$C$5:$C$32,'Bridge Table'!$E152))),"--")</f>
        <v>47305.29585798816</v>
      </c>
      <c r="O152" s="586">
        <f>IFERROR(IFERROR(VLOOKUP($D152,$Z$8:$AD$9,5,FALSE),0)*IF($D152="Inhalation",IF($K152="Central Tendency",SUMIFS('Inhalation Exposure'!$V$4:$V$61,'Inhalation Exposure'!$B$4:$B$61,$B152,'Inhalation Exposure'!$D$4:$D$61,$C152,'Inhalation Exposure'!$E$4:$E$61,$E152),SUMIFS('Inhalation Exposure'!$U$4:$U$61,'Inhalation Exposure'!$B$4:$B$61,$B152,'Inhalation Exposure'!$D$4:$D$61,$C152,'Inhalation Exposure'!$E$4:$E$61,$E152)),IF($K152="Central Tendency",SUMIFS('Dermal Crosswalk'!$R$5:$R$32,'Dermal Crosswalk'!$A$5:$A$32,'Bridge Table'!$B152,'Dermal Crosswalk'!$C$5:$C$32,'Bridge Table'!$E152),SUMIFS('Dermal Crosswalk'!$M$5:$M$32,'Dermal Crosswalk'!$A$5:$A$32,'Bridge Table'!$B152,'Dermal Crosswalk'!$C$5:$C$32,'Bridge Table'!$E152))),"--")</f>
        <v>5.6457304382940397E-7</v>
      </c>
      <c r="P152" s="363">
        <f>IFERROR(L152*U152,"Not Assessed")</f>
        <v>4479.5857988165681</v>
      </c>
      <c r="Q152" s="363">
        <f>IFERROR(M152*V152,"Not Assessed")</f>
        <v>38881.065088757394</v>
      </c>
      <c r="R152" s="363">
        <f>IFERROR(N152*W152,"Not Assessed")</f>
        <v>473052.95857988158</v>
      </c>
      <c r="S152" s="364">
        <f>IFERROR(O152/X152, "Not Assessed")</f>
        <v>5.6457304382940397E-8</v>
      </c>
      <c r="U152" s="365">
        <v>10</v>
      </c>
      <c r="V152" s="366">
        <v>10</v>
      </c>
      <c r="W152" s="366">
        <v>10</v>
      </c>
      <c r="X152" s="367">
        <v>10</v>
      </c>
    </row>
    <row r="153" spans="1:24" ht="15" thickBot="1" x14ac:dyDescent="0.35">
      <c r="A153" s="372"/>
      <c r="B153" s="360" t="s">
        <v>134</v>
      </c>
      <c r="C153" s="361" t="s">
        <v>25</v>
      </c>
      <c r="D153" s="361" t="s">
        <v>111</v>
      </c>
      <c r="E153" s="362" t="s">
        <v>24</v>
      </c>
      <c r="F153" s="589"/>
      <c r="G153" s="589"/>
      <c r="H153" s="589"/>
      <c r="I153" s="589"/>
      <c r="J153" s="589"/>
      <c r="K153" s="585"/>
      <c r="L153" s="587"/>
      <c r="M153" s="587"/>
      <c r="N153" s="587"/>
      <c r="O153" s="587"/>
      <c r="P153" s="373" t="str">
        <f>CONCATENATE("(APF ",U152,")")</f>
        <v>(APF 10)</v>
      </c>
      <c r="Q153" s="373" t="str">
        <f>CONCATENATE("(APF ",V152,")")</f>
        <v>(APF 10)</v>
      </c>
      <c r="R153" s="373" t="str">
        <f>CONCATENATE("(APF ",W152,")")</f>
        <v>(APF 10)</v>
      </c>
      <c r="S153" s="373" t="str">
        <f>CONCATENATE("(APF ",X152,")")</f>
        <v>(APF 10)</v>
      </c>
      <c r="U153" s="374" t="s">
        <v>116</v>
      </c>
      <c r="V153" s="375" t="s">
        <v>116</v>
      </c>
      <c r="W153" s="375" t="s">
        <v>116</v>
      </c>
      <c r="X153" s="376" t="s">
        <v>116</v>
      </c>
    </row>
    <row r="154" spans="1:24" ht="15" customHeight="1" thickBot="1" x14ac:dyDescent="0.35">
      <c r="A154" s="372"/>
      <c r="B154" s="360" t="s">
        <v>134</v>
      </c>
      <c r="C154" s="361" t="s">
        <v>25</v>
      </c>
      <c r="D154" s="361" t="s">
        <v>111</v>
      </c>
      <c r="E154" s="362" t="s">
        <v>24</v>
      </c>
      <c r="F154" s="589"/>
      <c r="G154" s="589"/>
      <c r="H154" s="589"/>
      <c r="I154" s="589"/>
      <c r="J154" s="589"/>
      <c r="K154" s="584" t="s">
        <v>88</v>
      </c>
      <c r="L154" s="586">
        <f>IFERROR(IFERROR(VLOOKUP($D154,$Z$8:$AD$9,2,FALSE),0)/IF($D154="Inhalation",IF($K154="Central Tendency",SUMIFS('Inhalation Exposure'!$N$4:$N$61,'Inhalation Exposure'!$B$4:$B$61,$B154,'Inhalation Exposure'!$D$4:$D$61,$C154,'Inhalation Exposure'!$E$4:$E$61,$E154),SUMIFS('Inhalation Exposure'!$M$4:$M$61,'Inhalation Exposure'!$B$4:$B$61,$B154,'Inhalation Exposure'!$D$4:$D$61,$C154,'Inhalation Exposure'!$E$4:$E$61,$E154)),IF($K154="Central Tendency",SUMIFS('Dermal Crosswalk'!$P$5:$P$32,'Dermal Crosswalk'!$A$5:$A$32,'Bridge Table'!$B154,'Dermal Crosswalk'!$C$5:$C$32,'Bridge Table'!$E154),SUMIFS('Dermal Crosswalk'!$K$5:$K$32,'Dermal Crosswalk'!$A$5:$A$32,'Bridge Table'!$B154,'Dermal Crosswalk'!$C$5:$C$32,'Bridge Table'!$E154))),"--")</f>
        <v>68.511312217194558</v>
      </c>
      <c r="M154" s="586">
        <f>IFERROR(IFERROR(VLOOKUP($D154,$Z$8:$AD$9,3,FALSE),0)/IF($D154="Inhalation",IF($K154="Central Tendency",SUMIFS('Inhalation Exposure'!$AB$4:$AB$61,'Inhalation Exposure'!$B$4:$B$61,$B154,'Inhalation Exposure'!$D$4:$D$61,$C154,'Inhalation Exposure'!$E$4:$E$61,$E154),SUMIFS('Inhalation Exposure'!$AA$4:$AA$61,'Inhalation Exposure'!$B$4:$B$61,$B154,'Inhalation Exposure'!$D$4:$D$61,$C154,'Inhalation Exposure'!$E$4:$E$61,$E154)),IF($K154="Central Tendency",SUMIFS('Dermal Crosswalk'!$S$5:$S$32,'Dermal Crosswalk'!$A$5:$A$32,'Bridge Table'!$B154,'Dermal Crosswalk'!$C$5:$C$32,'Bridge Table'!$E154),SUMIFS('Dermal Crosswalk'!$N$5:$N$32,'Dermal Crosswalk'!$A$5:$A$32,'Bridge Table'!$B154,'Dermal Crosswalk'!$C$5:$C$32,'Bridge Table'!$E154))),"--")</f>
        <v>594.65158371040718</v>
      </c>
      <c r="N154" s="586">
        <f>IFERROR(IFERROR(VLOOKUP($D154,$Z$8:$AD$9,4,FALSE),0)/IF($D154="Inhalation",IF($K154="Central Tendency",SUMIFS('Inhalation Exposure'!$R$4:$R$61,'Inhalation Exposure'!$B$4:$B$61,$B154,'Inhalation Exposure'!$D$4:$D$61,$C154,'Inhalation Exposure'!$E$4:$E$61,$E154),SUMIFS('Inhalation Exposure'!$Q$4:$Q$61,'Inhalation Exposure'!$B$4:$B$61,$B154,'Inhalation Exposure'!$D$4:$D$61,$C154,'Inhalation Exposure'!$E$4:$E$61,$E154)),IF($K154="Central Tendency",SUMIFS('Dermal Crosswalk'!$Q$5:$Q$32,'Dermal Crosswalk'!$A$5:$A$32,'Bridge Table'!$B154,'Dermal Crosswalk'!$C$5:$C$32,'Bridge Table'!$E154),SUMIFS('Dermal Crosswalk'!$L$5:$L$32,'Dermal Crosswalk'!$A$5:$A$32,'Bridge Table'!$B154,'Dermal Crosswalk'!$C$5:$C$32,'Bridge Table'!$E154))),"--")</f>
        <v>7234.9276018099536</v>
      </c>
      <c r="O154" s="586">
        <f>IFERROR(IFERROR(VLOOKUP($D154,$Z$8:$AD$9,5,FALSE),0)*IF($D154="Inhalation",IF($K154="Central Tendency",SUMIFS('Inhalation Exposure'!$V$4:$V$61,'Inhalation Exposure'!$B$4:$B$61,$B154,'Inhalation Exposure'!$D$4:$D$61,$C154,'Inhalation Exposure'!$E$4:$E$61,$E154),SUMIFS('Inhalation Exposure'!$U$4:$U$61,'Inhalation Exposure'!$B$4:$B$61,$B154,'Inhalation Exposure'!$D$4:$D$61,$C154,'Inhalation Exposure'!$E$4:$E$61,$E154)),IF($K154="Central Tendency",SUMIFS('Dermal Crosswalk'!$R$5:$R$32,'Dermal Crosswalk'!$A$5:$A$32,'Bridge Table'!$B154,'Dermal Crosswalk'!$C$5:$C$32,'Bridge Table'!$E154),SUMIFS('Dermal Crosswalk'!$M$5:$M$32,'Dermal Crosswalk'!$A$5:$A$32,'Bridge Table'!$B154,'Dermal Crosswalk'!$C$5:$C$32,'Bridge Table'!$E154))),"--")</f>
        <v>4.7631472680396379E-6</v>
      </c>
      <c r="P154" s="363">
        <f>IFERROR(L154*U154,"Not Assessed")</f>
        <v>685.11312217194563</v>
      </c>
      <c r="Q154" s="363">
        <f>IFERROR(M154*V154,"Not Assessed")</f>
        <v>5946.5158371040716</v>
      </c>
      <c r="R154" s="363">
        <f>IFERROR(N154*W154,"Not Assessed")</f>
        <v>72349.276018099539</v>
      </c>
      <c r="S154" s="364">
        <f>IFERROR(O154/X154, "Not Assessed")</f>
        <v>4.7631472680396381E-7</v>
      </c>
      <c r="U154" s="378">
        <v>10</v>
      </c>
      <c r="V154" s="379">
        <v>10</v>
      </c>
      <c r="W154" s="379">
        <v>10</v>
      </c>
      <c r="X154" s="380">
        <v>10</v>
      </c>
    </row>
    <row r="155" spans="1:24" ht="15" thickBot="1" x14ac:dyDescent="0.35">
      <c r="A155" s="372"/>
      <c r="B155" s="360" t="s">
        <v>134</v>
      </c>
      <c r="C155" s="361" t="s">
        <v>25</v>
      </c>
      <c r="D155" s="361" t="s">
        <v>111</v>
      </c>
      <c r="E155" s="362" t="s">
        <v>24</v>
      </c>
      <c r="F155" s="589"/>
      <c r="G155" s="589"/>
      <c r="H155" s="589"/>
      <c r="I155" s="590"/>
      <c r="J155" s="590"/>
      <c r="K155" s="588"/>
      <c r="L155" s="587"/>
      <c r="M155" s="587"/>
      <c r="N155" s="587"/>
      <c r="O155" s="587"/>
      <c r="P155" s="373" t="str">
        <f>CONCATENATE("(APF ",U154,")")</f>
        <v>(APF 10)</v>
      </c>
      <c r="Q155" s="373" t="str">
        <f>CONCATENATE("(APF ",V154,")")</f>
        <v>(APF 10)</v>
      </c>
      <c r="R155" s="373" t="str">
        <f>CONCATENATE("(APF ",W154,")")</f>
        <v>(APF 10)</v>
      </c>
      <c r="S155" s="373" t="str">
        <f>CONCATENATE("(APF ",X154,")")</f>
        <v>(APF 10)</v>
      </c>
      <c r="U155" s="374" t="s">
        <v>116</v>
      </c>
      <c r="V155" s="375" t="s">
        <v>116</v>
      </c>
      <c r="W155" s="375" t="s">
        <v>116</v>
      </c>
      <c r="X155" s="376" t="s">
        <v>116</v>
      </c>
    </row>
    <row r="156" spans="1:24" ht="15.6" customHeight="1" thickBot="1" x14ac:dyDescent="0.35">
      <c r="A156" s="372"/>
      <c r="B156" s="360" t="s">
        <v>134</v>
      </c>
      <c r="C156" s="361" t="s">
        <v>25</v>
      </c>
      <c r="D156" s="361" t="s">
        <v>111</v>
      </c>
      <c r="E156" s="362" t="s">
        <v>117</v>
      </c>
      <c r="F156" s="589"/>
      <c r="G156" s="589"/>
      <c r="H156" s="589"/>
      <c r="I156" s="589" t="s">
        <v>25</v>
      </c>
      <c r="J156" s="586" t="s">
        <v>115</v>
      </c>
      <c r="K156" s="584" t="s">
        <v>54</v>
      </c>
      <c r="L156" s="586">
        <f>IFERROR(IFERROR(VLOOKUP($D156,$Z$8:$AD$9,2,FALSE),0)/IF($D156="Inhalation",IF($K156="Central Tendency",SUMIFS('Inhalation Exposure'!$N$4:$N$61,'Inhalation Exposure'!$B$4:$B$61,$B156,'Inhalation Exposure'!$D$4:$D$61,$C156,'Inhalation Exposure'!$E$4:$E$61,$E156),SUMIFS('Inhalation Exposure'!$M$4:$M$61,'Inhalation Exposure'!$B$4:$B$61,$B156,'Inhalation Exposure'!$D$4:$D$61,$C156,'Inhalation Exposure'!$E$4:$E$61,$E156)),IF($K156="Central Tendency",SUMIFS('Dermal Crosswalk'!$P$5:$P$32,'Dermal Crosswalk'!$A$5:$A$32,'Bridge Table'!$B156,'Dermal Crosswalk'!$C$5:$C$32,'Bridge Table'!$E156),SUMIFS('Dermal Crosswalk'!$K$5:$K$32,'Dermal Crosswalk'!$A$5:$A$32,'Bridge Table'!$B156,'Dermal Crosswalk'!$C$5:$C$32,'Bridge Table'!$E156))),"--")</f>
        <v>447.95857988165676</v>
      </c>
      <c r="M156" s="586">
        <f>IFERROR(IFERROR(VLOOKUP($D156,$Z$8:$AD$9,3,FALSE),0)/IF($D156="Inhalation",IF($K156="Central Tendency",SUMIFS('Inhalation Exposure'!$AB$4:$AB$61,'Inhalation Exposure'!$B$4:$B$61,$B156,'Inhalation Exposure'!$D$4:$D$61,$C156,'Inhalation Exposure'!$E$4:$E$61,$E156),SUMIFS('Inhalation Exposure'!$AA$4:$AA$61,'Inhalation Exposure'!$B$4:$B$61,$B156,'Inhalation Exposure'!$D$4:$D$61,$C156,'Inhalation Exposure'!$E$4:$E$61,$E156)),IF($K156="Central Tendency",SUMIFS('Dermal Crosswalk'!$S$5:$S$32,'Dermal Crosswalk'!$A$5:$A$32,'Bridge Table'!$B156,'Dermal Crosswalk'!$C$5:$C$32,'Bridge Table'!$E156),SUMIFS('Dermal Crosswalk'!$N$5:$N$32,'Dermal Crosswalk'!$A$5:$A$32,'Bridge Table'!$B156,'Dermal Crosswalk'!$C$5:$C$32,'Bridge Table'!$E156))),"--")</f>
        <v>3888.1065088757391</v>
      </c>
      <c r="N156" s="586">
        <f>IFERROR(IFERROR(VLOOKUP($D156,$Z$8:$AD$9,4,FALSE),0)/IF($D156="Inhalation",IF($K156="Central Tendency",SUMIFS('Inhalation Exposure'!$R$4:$R$61,'Inhalation Exposure'!$B$4:$B$61,$B156,'Inhalation Exposure'!$D$4:$D$61,$C156,'Inhalation Exposure'!$E$4:$E$61,$E156),SUMIFS('Inhalation Exposure'!$Q$4:$Q$61,'Inhalation Exposure'!$B$4:$B$61,$B156,'Inhalation Exposure'!$D$4:$D$61,$C156,'Inhalation Exposure'!$E$4:$E$61,$E156)),IF($K156="Central Tendency",SUMIFS('Dermal Crosswalk'!$Q$5:$Q$32,'Dermal Crosswalk'!$A$5:$A$32,'Bridge Table'!$B156,'Dermal Crosswalk'!$C$5:$C$32,'Bridge Table'!$E156),SUMIFS('Dermal Crosswalk'!$L$5:$L$32,'Dermal Crosswalk'!$A$5:$A$32,'Bridge Table'!$B156,'Dermal Crosswalk'!$C$5:$C$32,'Bridge Table'!$E156))),"--")</f>
        <v>47305.29585798816</v>
      </c>
      <c r="O156" s="586">
        <f>IFERROR(IFERROR(VLOOKUP($D156,$Z$8:$AD$9,5,FALSE),0)*IF($D156="Inhalation",IF($K156="Central Tendency",SUMIFS('Inhalation Exposure'!$V$4:$V$61,'Inhalation Exposure'!$B$4:$B$61,$B156,'Inhalation Exposure'!$D$4:$D$61,$C156,'Inhalation Exposure'!$E$4:$E$61,$E156),SUMIFS('Inhalation Exposure'!$U$4:$U$61,'Inhalation Exposure'!$B$4:$B$61,$B156,'Inhalation Exposure'!$D$4:$D$61,$C156,'Inhalation Exposure'!$E$4:$E$61,$E156)),IF($K156="Central Tendency",SUMIFS('Dermal Crosswalk'!$R$5:$R$32,'Dermal Crosswalk'!$A$5:$A$32,'Bridge Table'!$B156,'Dermal Crosswalk'!$C$5:$C$32,'Bridge Table'!$E156),SUMIFS('Dermal Crosswalk'!$M$5:$M$32,'Dermal Crosswalk'!$A$5:$A$32,'Bridge Table'!$B156,'Dermal Crosswalk'!$C$5:$C$32,'Bridge Table'!$E156))),"--")</f>
        <v>5.6457304382940397E-7</v>
      </c>
      <c r="P156" s="363">
        <f>IFERROR(L156*U156,"Not Assessed")</f>
        <v>4479.5857988165681</v>
      </c>
      <c r="Q156" s="363">
        <f>IFERROR(M156*V156,"Not Assessed")</f>
        <v>38881.065088757394</v>
      </c>
      <c r="R156" s="363">
        <f>IFERROR(N156*W156,"Not Assessed")</f>
        <v>473052.95857988158</v>
      </c>
      <c r="S156" s="364">
        <f>IFERROR(O156/X156, "Not Assessed")</f>
        <v>5.6457304382940397E-8</v>
      </c>
      <c r="U156" s="378">
        <v>10</v>
      </c>
      <c r="V156" s="379">
        <v>10</v>
      </c>
      <c r="W156" s="379">
        <v>10</v>
      </c>
      <c r="X156" s="380">
        <v>10</v>
      </c>
    </row>
    <row r="157" spans="1:24" ht="15" thickBot="1" x14ac:dyDescent="0.35">
      <c r="A157" s="372"/>
      <c r="B157" s="360" t="s">
        <v>134</v>
      </c>
      <c r="C157" s="361" t="s">
        <v>25</v>
      </c>
      <c r="D157" s="361" t="s">
        <v>111</v>
      </c>
      <c r="E157" s="362" t="s">
        <v>117</v>
      </c>
      <c r="F157" s="589"/>
      <c r="G157" s="589"/>
      <c r="H157" s="589"/>
      <c r="I157" s="589"/>
      <c r="J157" s="589"/>
      <c r="K157" s="585"/>
      <c r="L157" s="587"/>
      <c r="M157" s="587"/>
      <c r="N157" s="587"/>
      <c r="O157" s="587"/>
      <c r="P157" s="373" t="str">
        <f>CONCATENATE("(APF ",U156,")")</f>
        <v>(APF 10)</v>
      </c>
      <c r="Q157" s="373" t="str">
        <f>CONCATENATE("(APF ",V156,")")</f>
        <v>(APF 10)</v>
      </c>
      <c r="R157" s="373" t="str">
        <f>CONCATENATE("(APF ",W156,")")</f>
        <v>(APF 10)</v>
      </c>
      <c r="S157" s="373" t="str">
        <f>CONCATENATE("(APF ",X156,")")</f>
        <v>(APF 10)</v>
      </c>
      <c r="U157" s="374" t="s">
        <v>116</v>
      </c>
      <c r="V157" s="375" t="s">
        <v>116</v>
      </c>
      <c r="W157" s="375" t="s">
        <v>116</v>
      </c>
      <c r="X157" s="376" t="s">
        <v>116</v>
      </c>
    </row>
    <row r="158" spans="1:24" ht="15" thickBot="1" x14ac:dyDescent="0.35">
      <c r="A158" s="372"/>
      <c r="B158" s="360" t="s">
        <v>134</v>
      </c>
      <c r="C158" s="361" t="s">
        <v>25</v>
      </c>
      <c r="D158" s="361" t="s">
        <v>111</v>
      </c>
      <c r="E158" s="362" t="s">
        <v>117</v>
      </c>
      <c r="F158" s="589"/>
      <c r="G158" s="589"/>
      <c r="H158" s="589"/>
      <c r="I158" s="589"/>
      <c r="J158" s="589"/>
      <c r="K158" s="584" t="s">
        <v>88</v>
      </c>
      <c r="L158" s="586">
        <f>IFERROR(IFERROR(VLOOKUP($D158,$Z$8:$AD$9,2,FALSE),0)/IF($D158="Inhalation",IF($K158="Central Tendency",SUMIFS('Inhalation Exposure'!$N$4:$N$61,'Inhalation Exposure'!$B$4:$B$61,$B158,'Inhalation Exposure'!$D$4:$D$61,$C158,'Inhalation Exposure'!$E$4:$E$61,$E158),SUMIFS('Inhalation Exposure'!$M$4:$M$61,'Inhalation Exposure'!$B$4:$B$61,$B158,'Inhalation Exposure'!$D$4:$D$61,$C158,'Inhalation Exposure'!$E$4:$E$61,$E158)),IF($K158="Central Tendency",SUMIFS('Dermal Crosswalk'!$P$5:$P$32,'Dermal Crosswalk'!$A$5:$A$32,'Bridge Table'!$B158,'Dermal Crosswalk'!$C$5:$C$32,'Bridge Table'!$E158),SUMIFS('Dermal Crosswalk'!$K$5:$K$32,'Dermal Crosswalk'!$A$5:$A$32,'Bridge Table'!$B158,'Dermal Crosswalk'!$C$5:$C$32,'Bridge Table'!$E158))),"--")</f>
        <v>68.511312217194558</v>
      </c>
      <c r="M158" s="586">
        <f>IFERROR(IFERROR(VLOOKUP($D158,$Z$8:$AD$9,3,FALSE),0)/IF($D158="Inhalation",IF($K158="Central Tendency",SUMIFS('Inhalation Exposure'!$AB$4:$AB$61,'Inhalation Exposure'!$B$4:$B$61,$B158,'Inhalation Exposure'!$D$4:$D$61,$C158,'Inhalation Exposure'!$E$4:$E$61,$E158),SUMIFS('Inhalation Exposure'!$AA$4:$AA$61,'Inhalation Exposure'!$B$4:$B$61,$B158,'Inhalation Exposure'!$D$4:$D$61,$C158,'Inhalation Exposure'!$E$4:$E$61,$E158)),IF($K158="Central Tendency",SUMIFS('Dermal Crosswalk'!$S$5:$S$32,'Dermal Crosswalk'!$A$5:$A$32,'Bridge Table'!$B158,'Dermal Crosswalk'!$C$5:$C$32,'Bridge Table'!$E158),SUMIFS('Dermal Crosswalk'!$N$5:$N$32,'Dermal Crosswalk'!$A$5:$A$32,'Bridge Table'!$B158,'Dermal Crosswalk'!$C$5:$C$32,'Bridge Table'!$E158))),"--")</f>
        <v>594.65158371040718</v>
      </c>
      <c r="N158" s="586">
        <f>IFERROR(IFERROR(VLOOKUP($D158,$Z$8:$AD$9,4,FALSE),0)/IF($D158="Inhalation",IF($K158="Central Tendency",SUMIFS('Inhalation Exposure'!$R$4:$R$61,'Inhalation Exposure'!$B$4:$B$61,$B158,'Inhalation Exposure'!$D$4:$D$61,$C158,'Inhalation Exposure'!$E$4:$E$61,$E158),SUMIFS('Inhalation Exposure'!$Q$4:$Q$61,'Inhalation Exposure'!$B$4:$B$61,$B158,'Inhalation Exposure'!$D$4:$D$61,$C158,'Inhalation Exposure'!$E$4:$E$61,$E158)),IF($K158="Central Tendency",SUMIFS('Dermal Crosswalk'!$Q$5:$Q$32,'Dermal Crosswalk'!$A$5:$A$32,'Bridge Table'!$B158,'Dermal Crosswalk'!$C$5:$C$32,'Bridge Table'!$E158),SUMIFS('Dermal Crosswalk'!$L$5:$L$32,'Dermal Crosswalk'!$A$5:$A$32,'Bridge Table'!$B158,'Dermal Crosswalk'!$C$5:$C$32,'Bridge Table'!$E158))),"--")</f>
        <v>7234.9276018099536</v>
      </c>
      <c r="O158" s="586">
        <f>IFERROR(IFERROR(VLOOKUP($D158,$Z$8:$AD$9,5,FALSE),0)*IF($D158="Inhalation",IF($K158="Central Tendency",SUMIFS('Inhalation Exposure'!$V$4:$V$61,'Inhalation Exposure'!$B$4:$B$61,$B158,'Inhalation Exposure'!$D$4:$D$61,$C158,'Inhalation Exposure'!$E$4:$E$61,$E158),SUMIFS('Inhalation Exposure'!$U$4:$U$61,'Inhalation Exposure'!$B$4:$B$61,$B158,'Inhalation Exposure'!$D$4:$D$61,$C158,'Inhalation Exposure'!$E$4:$E$61,$E158)),IF($K158="Central Tendency",SUMIFS('Dermal Crosswalk'!$R$5:$R$32,'Dermal Crosswalk'!$A$5:$A$32,'Bridge Table'!$B158,'Dermal Crosswalk'!$C$5:$C$32,'Bridge Table'!$E158),SUMIFS('Dermal Crosswalk'!$M$5:$M$32,'Dermal Crosswalk'!$A$5:$A$32,'Bridge Table'!$B158,'Dermal Crosswalk'!$C$5:$C$32,'Bridge Table'!$E158))),"--")</f>
        <v>4.7631472680396379E-6</v>
      </c>
      <c r="P158" s="363">
        <f>IFERROR(L158*U158,"Not Assessed")</f>
        <v>685.11312217194563</v>
      </c>
      <c r="Q158" s="363">
        <f>IFERROR(M158*V158,"Not Assessed")</f>
        <v>5946.5158371040716</v>
      </c>
      <c r="R158" s="363">
        <f>IFERROR(N158*W158,"Not Assessed")</f>
        <v>72349.276018099539</v>
      </c>
      <c r="S158" s="364">
        <f>IFERROR(O158/X158, "Not Assessed")</f>
        <v>4.7631472680396381E-7</v>
      </c>
      <c r="U158" s="378">
        <v>10</v>
      </c>
      <c r="V158" s="379">
        <v>10</v>
      </c>
      <c r="W158" s="379">
        <v>10</v>
      </c>
      <c r="X158" s="380">
        <v>10</v>
      </c>
    </row>
    <row r="159" spans="1:24" ht="15" thickBot="1" x14ac:dyDescent="0.35">
      <c r="A159" s="372"/>
      <c r="B159" s="360" t="s">
        <v>134</v>
      </c>
      <c r="C159" s="361" t="s">
        <v>25</v>
      </c>
      <c r="D159" s="361" t="s">
        <v>111</v>
      </c>
      <c r="E159" s="362" t="s">
        <v>117</v>
      </c>
      <c r="F159" s="589"/>
      <c r="G159" s="589"/>
      <c r="H159" s="589"/>
      <c r="I159" s="590"/>
      <c r="J159" s="590"/>
      <c r="K159" s="588"/>
      <c r="L159" s="587"/>
      <c r="M159" s="587"/>
      <c r="N159" s="587"/>
      <c r="O159" s="587"/>
      <c r="P159" s="373" t="str">
        <f>CONCATENATE("(APF ",U158,")")</f>
        <v>(APF 10)</v>
      </c>
      <c r="Q159" s="373" t="str">
        <f>CONCATENATE("(APF ",V158,")")</f>
        <v>(APF 10)</v>
      </c>
      <c r="R159" s="373" t="str">
        <f>CONCATENATE("(APF ",W158,")")</f>
        <v>(APF 10)</v>
      </c>
      <c r="S159" s="373" t="str">
        <f>CONCATENATE("(APF ",X158,")")</f>
        <v>(APF 10)</v>
      </c>
      <c r="U159" s="374" t="s">
        <v>116</v>
      </c>
      <c r="V159" s="375" t="s">
        <v>116</v>
      </c>
      <c r="W159" s="375" t="s">
        <v>116</v>
      </c>
      <c r="X159" s="376" t="s">
        <v>116</v>
      </c>
    </row>
    <row r="160" spans="1:24" ht="15" thickBot="1" x14ac:dyDescent="0.35">
      <c r="A160" s="372"/>
      <c r="B160" s="360" t="s">
        <v>134</v>
      </c>
      <c r="C160" s="361" t="s">
        <v>53</v>
      </c>
      <c r="D160" s="361" t="s">
        <v>111</v>
      </c>
      <c r="E160" s="362" t="s">
        <v>24</v>
      </c>
      <c r="F160" s="589"/>
      <c r="G160" s="589"/>
      <c r="H160" s="589"/>
      <c r="I160" s="589" t="s">
        <v>53</v>
      </c>
      <c r="J160" s="586" t="s">
        <v>115</v>
      </c>
      <c r="K160" s="584" t="s">
        <v>54</v>
      </c>
      <c r="L160" s="586" t="str">
        <f>IFERROR(IFERROR(VLOOKUP($D160,$Z$8:$AD$9,2,FALSE),0)/IF($D160="Inhalation",IF($K160="Central Tendency",SUMIFS('Inhalation Exposure'!$L$4:$L$60,'Inhalation Exposure'!$B$4:$B$60,$B160,'Inhalation Exposure'!$D$4:$D$60,$C160,'Inhalation Exposure'!$E$4:$E$60,$E160),SUMIFS('Inhalation Exposure'!$K$4:$K$60,'Inhalation Exposure'!$B$4:$B$60,$B160,'Inhalation Exposure'!$D$4:$D$60,$C160,'Inhalation Exposure'!$E$4:$E$60,$E160)),IF($K160="Central Tendency",SUMIFS('Dermal Crosswalk'!$P$5:$P$32,'Dermal Crosswalk'!$A$5:$A$32,'Bridge Table'!$B160,'Dermal Crosswalk'!$C$5:$C$32,'Bridge Table'!$E160),SUMIFS('Dermal Crosswalk'!$K$5:$K$32,'Dermal Crosswalk'!$A$5:$A$32,'Bridge Table'!$B160,'Dermal Crosswalk'!$C$5:$C$32,'Bridge Table'!$E160))),"--")</f>
        <v>--</v>
      </c>
      <c r="M160" s="586" t="str">
        <f>IFERROR(IFERROR(VLOOKUP($D160,$Z$8:$AD$9,3,FALSE),0)/IF($D160="Inhalation",IF($K160="Central Tendency",SUMIFS('Inhalation Exposure'!$AB$4:$AB$60,'Inhalation Exposure'!$B$4:$B$60,$B160,'Inhalation Exposure'!$D$4:$D$60,$C160,'Inhalation Exposure'!$E$4:$E$60,$E160),SUMIFS('Inhalation Exposure'!$AA$4:$AA$60,'Inhalation Exposure'!$B$4:$B$60,$B160,'Inhalation Exposure'!$D$4:$D$60,$C160,'Inhalation Exposure'!$E$4:$E$60,$E160)),IF($K160="Central Tendency",SUMIFS('Dermal Crosswalk'!$S$5:$S$32,'Dermal Crosswalk'!$A$5:$A$32,'Bridge Table'!$B160,'Dermal Crosswalk'!$C$5:$C$32,'Bridge Table'!$E160),SUMIFS('Dermal Crosswalk'!$N$5:$N$32,'Dermal Crosswalk'!$A$5:$A$32,'Bridge Table'!$B160,'Dermal Crosswalk'!$C$5:$C$32,'Bridge Table'!$E160))),"--")</f>
        <v>--</v>
      </c>
      <c r="N160" s="586" t="str">
        <f>IFERROR(IFERROR(VLOOKUP($D160,$Z$8:$AD$9,4,FALSE),0)/IF($D160="Inhalation",IF($K160="Central Tendency",SUMIFS('Inhalation Exposure'!$R$4:$R$60,'Inhalation Exposure'!$B$4:$B$60,$B160,'Inhalation Exposure'!$D$4:$D$60,$C160,'Inhalation Exposure'!$E$4:$E$60,$E160),SUMIFS('Inhalation Exposure'!$Q$4:$Q$60,'Inhalation Exposure'!$B$4:$B$60,$B160,'Inhalation Exposure'!$D$4:$D$60,$C160,'Inhalation Exposure'!$E$4:$E$60,$E160)),IF($K160="Central Tendency",SUMIFS('Dermal Crosswalk'!$Q$5:$Q$32,'Dermal Crosswalk'!$A$5:$A$32,'Bridge Table'!$B160,'Dermal Crosswalk'!$C$5:$C$32,'Bridge Table'!$E160),SUMIFS('Dermal Crosswalk'!$L$5:$L$32,'Dermal Crosswalk'!$A$5:$A$32,'Bridge Table'!$B160,'Dermal Crosswalk'!$C$5:$C$32,'Bridge Table'!$E160))),"--")</f>
        <v>--</v>
      </c>
      <c r="O160" s="586" t="str">
        <f>IF(IFERROR(VLOOKUP($D160,$Z$8:$AD$9,5,FALSE),0)*IF($D160="Inhalation",IF($K160="Central Tendency",SUMIFS('Inhalation Exposure'!$V$4:$V$60,'Inhalation Exposure'!$B$4:$B$60,$B160,'Inhalation Exposure'!$D$4:$D$60,$C160,'Inhalation Exposure'!$E$4:$E$60,$E160),SUMIFS('Inhalation Exposure'!$U$4:$U$60,'Inhalation Exposure'!$B$4:$B$60,$B160,'Inhalation Exposure'!$D$4:$D$60,$C160,'Inhalation Exposure'!$E$4:$E$60,$E160)),IF($K160="Central Tendency",SUMIFS('Dermal Crosswalk'!$R$5:$R$32,'Dermal Crosswalk'!$A$5:$A$32,'Bridge Table'!$B160,'Dermal Crosswalk'!$C$5:$C$32,'Bridge Table'!$E160),SUMIFS('Dermal Crosswalk'!$M$5:$M$32,'Dermal Crosswalk'!$A$5:$A$32,'Bridge Table'!$B160,'Dermal Crosswalk'!$C$5:$C$32,'Bridge Table'!$E160)))=0,"--",IFERROR(VLOOKUP($D160,$Z$8:$AD$9,5,FALSE),0)*IF($D160="Inhalation",IF($K160="Central Tendency",SUMIFS('Inhalation Exposure'!$V$4:$V$60,'Inhalation Exposure'!$B$4:$B$60,$B160,'Inhalation Exposure'!$D$4:$D$60,$C160,'Inhalation Exposure'!$E$4:$E$60,$E160),SUMIFS('Inhalation Exposure'!$U$4:$U$60,'Inhalation Exposure'!$B$4:$B$60,$B160,'Inhalation Exposure'!$D$4:$D$60,$C160,'Inhalation Exposure'!$E$4:$E$60,$E160)),IF($K160="Central Tendency",SUMIFS('Dermal Crosswalk'!$R$5:$R$32,'Dermal Crosswalk'!$A$5:$A$32,'Bridge Table'!$B160,'Dermal Crosswalk'!$C$5:$C$32,'Bridge Table'!$E160),SUMIFS('Dermal Crosswalk'!$M$5:$M$32,'Dermal Crosswalk'!$A$5:$A$32,'Bridge Table'!$B160,'Dermal Crosswalk'!$C$5:$C$32,'Bridge Table'!$E160))))</f>
        <v>--</v>
      </c>
      <c r="P160" s="610" t="s">
        <v>118</v>
      </c>
      <c r="Q160" s="610" t="s">
        <v>118</v>
      </c>
      <c r="R160" s="610" t="s">
        <v>118</v>
      </c>
      <c r="S160" s="610" t="s">
        <v>118</v>
      </c>
      <c r="U160" s="612" t="s">
        <v>118</v>
      </c>
      <c r="V160" s="614" t="s">
        <v>118</v>
      </c>
      <c r="W160" s="614" t="s">
        <v>118</v>
      </c>
      <c r="X160" s="616" t="s">
        <v>118</v>
      </c>
    </row>
    <row r="161" spans="1:24" ht="15" thickBot="1" x14ac:dyDescent="0.35">
      <c r="A161" s="372"/>
      <c r="B161" s="360" t="s">
        <v>134</v>
      </c>
      <c r="C161" s="361" t="s">
        <v>53</v>
      </c>
      <c r="D161" s="361" t="s">
        <v>111</v>
      </c>
      <c r="E161" s="362" t="s">
        <v>24</v>
      </c>
      <c r="F161" s="589"/>
      <c r="G161" s="589"/>
      <c r="H161" s="589"/>
      <c r="I161" s="589"/>
      <c r="J161" s="589"/>
      <c r="K161" s="585"/>
      <c r="L161" s="587"/>
      <c r="M161" s="587"/>
      <c r="N161" s="587"/>
      <c r="O161" s="587"/>
      <c r="P161" s="611"/>
      <c r="Q161" s="611"/>
      <c r="R161" s="611"/>
      <c r="S161" s="611"/>
      <c r="U161" s="613"/>
      <c r="V161" s="615"/>
      <c r="W161" s="615"/>
      <c r="X161" s="617"/>
    </row>
    <row r="162" spans="1:24" ht="15" thickBot="1" x14ac:dyDescent="0.35">
      <c r="A162" s="372"/>
      <c r="B162" s="360" t="s">
        <v>134</v>
      </c>
      <c r="C162" s="361" t="s">
        <v>53</v>
      </c>
      <c r="D162" s="361" t="s">
        <v>111</v>
      </c>
      <c r="E162" s="362" t="s">
        <v>24</v>
      </c>
      <c r="F162" s="589"/>
      <c r="G162" s="589"/>
      <c r="H162" s="589"/>
      <c r="I162" s="589"/>
      <c r="J162" s="589"/>
      <c r="K162" s="584" t="s">
        <v>88</v>
      </c>
      <c r="L162" s="586" t="str">
        <f>IFERROR(IFERROR(VLOOKUP($D162,$Z$8:$AD$9,2,FALSE),0)/IF($D162="Inhalation",IF($K162="Central Tendency",SUMIFS('Inhalation Exposure'!$L$4:$L$60,'Inhalation Exposure'!$B$4:$B$60,$B162,'Inhalation Exposure'!$D$4:$D$60,$C162,'Inhalation Exposure'!$E$4:$E$60,$E162),SUMIFS('Inhalation Exposure'!$K$4:$K$60,'Inhalation Exposure'!$B$4:$B$60,$B162,'Inhalation Exposure'!$D$4:$D$60,$C162,'Inhalation Exposure'!$E$4:$E$60,$E162)),IF($K162="Central Tendency",SUMIFS('Dermal Crosswalk'!$P$5:$P$32,'Dermal Crosswalk'!$A$5:$A$32,'Bridge Table'!$B162,'Dermal Crosswalk'!$C$5:$C$32,'Bridge Table'!$E162),SUMIFS('Dermal Crosswalk'!$K$5:$K$32,'Dermal Crosswalk'!$A$5:$A$32,'Bridge Table'!$B162,'Dermal Crosswalk'!$C$5:$C$32,'Bridge Table'!$E162))),"--")</f>
        <v>--</v>
      </c>
      <c r="M162" s="586" t="str">
        <f>IFERROR(IFERROR(VLOOKUP($D162,$Z$8:$AD$9,3,FALSE),0)/IF($D162="Inhalation",IF($K162="Central Tendency",SUMIFS('Inhalation Exposure'!$AB$4:$AB$60,'Inhalation Exposure'!$B$4:$B$60,$B162,'Inhalation Exposure'!$D$4:$D$60,$C162,'Inhalation Exposure'!$E$4:$E$60,$E162),SUMIFS('Inhalation Exposure'!$AA$4:$AA$60,'Inhalation Exposure'!$B$4:$B$60,$B162,'Inhalation Exposure'!$D$4:$D$60,$C162,'Inhalation Exposure'!$E$4:$E$60,$E162)),IF($K162="Central Tendency",SUMIFS('Dermal Crosswalk'!$S$5:$S$32,'Dermal Crosswalk'!$A$5:$A$32,'Bridge Table'!$B162,'Dermal Crosswalk'!$C$5:$C$32,'Bridge Table'!$E162),SUMIFS('Dermal Crosswalk'!$N$5:$N$32,'Dermal Crosswalk'!$A$5:$A$32,'Bridge Table'!$B162,'Dermal Crosswalk'!$C$5:$C$32,'Bridge Table'!$E162))),"--")</f>
        <v>--</v>
      </c>
      <c r="N162" s="586" t="str">
        <f>IFERROR(IFERROR(VLOOKUP($D162,$Z$8:$AD$9,4,FALSE),0)/IF($D162="Inhalation",IF($K162="Central Tendency",SUMIFS('Inhalation Exposure'!$R$4:$R$60,'Inhalation Exposure'!$B$4:$B$60,$B162,'Inhalation Exposure'!$D$4:$D$60,$C162,'Inhalation Exposure'!$E$4:$E$60,$E162),SUMIFS('Inhalation Exposure'!$Q$4:$Q$60,'Inhalation Exposure'!$B$4:$B$60,$B162,'Inhalation Exposure'!$D$4:$D$60,$C162,'Inhalation Exposure'!$E$4:$E$60,$E162)),IF($K162="Central Tendency",SUMIFS('Dermal Crosswalk'!$Q$5:$Q$32,'Dermal Crosswalk'!$A$5:$A$32,'Bridge Table'!$B162,'Dermal Crosswalk'!$C$5:$C$32,'Bridge Table'!$E162),SUMIFS('Dermal Crosswalk'!$L$5:$L$32,'Dermal Crosswalk'!$A$5:$A$32,'Bridge Table'!$B162,'Dermal Crosswalk'!$C$5:$C$32,'Bridge Table'!$E162))),"--")</f>
        <v>--</v>
      </c>
      <c r="O162" s="586" t="str">
        <f>IF(IFERROR(VLOOKUP($D162,$Z$8:$AD$9,5,FALSE),0)*IF($D162="Inhalation",IF($K162="Central Tendency",SUMIFS('Inhalation Exposure'!$V$4:$V$60,'Inhalation Exposure'!$B$4:$B$60,$B162,'Inhalation Exposure'!$D$4:$D$60,$C162,'Inhalation Exposure'!$E$4:$E$60,$E162),SUMIFS('Inhalation Exposure'!$U$4:$U$60,'Inhalation Exposure'!$B$4:$B$60,$B162,'Inhalation Exposure'!$D$4:$D$60,$C162,'Inhalation Exposure'!$E$4:$E$60,$E162)),IF($K162="Central Tendency",SUMIFS('Dermal Crosswalk'!$R$5:$R$32,'Dermal Crosswalk'!$A$5:$A$32,'Bridge Table'!$B162,'Dermal Crosswalk'!$C$5:$C$32,'Bridge Table'!$E162),SUMIFS('Dermal Crosswalk'!$M$5:$M$32,'Dermal Crosswalk'!$A$5:$A$32,'Bridge Table'!$B162,'Dermal Crosswalk'!$C$5:$C$32,'Bridge Table'!$E162)))=0,"--",IFERROR(VLOOKUP($D162,$Z$8:$AD$9,5,FALSE),0)*IF($D162="Inhalation",IF($K162="Central Tendency",SUMIFS('Inhalation Exposure'!$V$4:$V$60,'Inhalation Exposure'!$B$4:$B$60,$B162,'Inhalation Exposure'!$D$4:$D$60,$C162,'Inhalation Exposure'!$E$4:$E$60,$E162),SUMIFS('Inhalation Exposure'!$U$4:$U$60,'Inhalation Exposure'!$B$4:$B$60,$B162,'Inhalation Exposure'!$D$4:$D$60,$C162,'Inhalation Exposure'!$E$4:$E$60,$E162)),IF($K162="Central Tendency",SUMIFS('Dermal Crosswalk'!$R$5:$R$32,'Dermal Crosswalk'!$A$5:$A$32,'Bridge Table'!$B162,'Dermal Crosswalk'!$C$5:$C$32,'Bridge Table'!$E162),SUMIFS('Dermal Crosswalk'!$M$5:$M$32,'Dermal Crosswalk'!$A$5:$A$32,'Bridge Table'!$B162,'Dermal Crosswalk'!$C$5:$C$32,'Bridge Table'!$E162))))</f>
        <v>--</v>
      </c>
      <c r="P162" s="610" t="s">
        <v>118</v>
      </c>
      <c r="Q162" s="610" t="s">
        <v>118</v>
      </c>
      <c r="R162" s="610" t="s">
        <v>118</v>
      </c>
      <c r="S162" s="610" t="s">
        <v>118</v>
      </c>
      <c r="U162" s="612" t="s">
        <v>118</v>
      </c>
      <c r="V162" s="614" t="s">
        <v>118</v>
      </c>
      <c r="W162" s="614" t="s">
        <v>118</v>
      </c>
      <c r="X162" s="616" t="s">
        <v>118</v>
      </c>
    </row>
    <row r="163" spans="1:24" ht="15" thickBot="1" x14ac:dyDescent="0.35">
      <c r="A163" s="372"/>
      <c r="B163" s="360" t="s">
        <v>134</v>
      </c>
      <c r="C163" s="361" t="s">
        <v>53</v>
      </c>
      <c r="D163" s="361" t="s">
        <v>111</v>
      </c>
      <c r="E163" s="362" t="s">
        <v>24</v>
      </c>
      <c r="F163" s="589"/>
      <c r="G163" s="589"/>
      <c r="H163" s="589"/>
      <c r="I163" s="590"/>
      <c r="J163" s="590"/>
      <c r="K163" s="588"/>
      <c r="L163" s="587"/>
      <c r="M163" s="587"/>
      <c r="N163" s="587"/>
      <c r="O163" s="587"/>
      <c r="P163" s="611"/>
      <c r="Q163" s="611"/>
      <c r="R163" s="611"/>
      <c r="S163" s="611"/>
      <c r="U163" s="613"/>
      <c r="V163" s="615"/>
      <c r="W163" s="615"/>
      <c r="X163" s="617"/>
    </row>
    <row r="164" spans="1:24" ht="15" thickBot="1" x14ac:dyDescent="0.35">
      <c r="A164" s="372"/>
      <c r="B164" s="360" t="s">
        <v>134</v>
      </c>
      <c r="C164" s="361" t="s">
        <v>53</v>
      </c>
      <c r="D164" s="361" t="s">
        <v>111</v>
      </c>
      <c r="E164" s="362" t="s">
        <v>117</v>
      </c>
      <c r="F164" s="589"/>
      <c r="G164" s="589"/>
      <c r="H164" s="589"/>
      <c r="I164" s="589" t="s">
        <v>53</v>
      </c>
      <c r="J164" s="586" t="s">
        <v>115</v>
      </c>
      <c r="K164" s="584" t="s">
        <v>54</v>
      </c>
      <c r="L164" s="586" t="str">
        <f>IFERROR(IFERROR(VLOOKUP($D164,$Z$8:$AD$9,2,FALSE),0)/IF($D164="Inhalation",IF($K164="Central Tendency",SUMIFS('Inhalation Exposure'!$L$4:$L$60,'Inhalation Exposure'!$B$4:$B$60,$B164,'Inhalation Exposure'!$D$4:$D$60,$C164,'Inhalation Exposure'!$E$4:$E$60,$E164),SUMIFS('Inhalation Exposure'!$K$4:$K$60,'Inhalation Exposure'!$B$4:$B$60,$B164,'Inhalation Exposure'!$D$4:$D$60,$C164,'Inhalation Exposure'!$E$4:$E$60,$E164)),IF($K164="Central Tendency",SUMIFS('Dermal Crosswalk'!$P$5:$P$32,'Dermal Crosswalk'!$A$5:$A$32,'Bridge Table'!$B164,'Dermal Crosswalk'!$C$5:$C$32,'Bridge Table'!$E164),SUMIFS('Dermal Crosswalk'!$K$5:$K$32,'Dermal Crosswalk'!$A$5:$A$32,'Bridge Table'!$B164,'Dermal Crosswalk'!$C$5:$C$32,'Bridge Table'!$E164))),"--")</f>
        <v>--</v>
      </c>
      <c r="M164" s="586" t="str">
        <f>IFERROR(IFERROR(VLOOKUP($D164,$Z$8:$AD$9,3,FALSE),0)/IF($D164="Inhalation",IF($K164="Central Tendency",SUMIFS('Inhalation Exposure'!$AB$4:$AB$60,'Inhalation Exposure'!$B$4:$B$60,$B164,'Inhalation Exposure'!$D$4:$D$60,$C164,'Inhalation Exposure'!$E$4:$E$60,$E164),SUMIFS('Inhalation Exposure'!$AA$4:$AA$60,'Inhalation Exposure'!$B$4:$B$60,$B164,'Inhalation Exposure'!$D$4:$D$60,$C164,'Inhalation Exposure'!$E$4:$E$60,$E164)),IF($K164="Central Tendency",SUMIFS('Dermal Crosswalk'!$S$5:$S$32,'Dermal Crosswalk'!$A$5:$A$32,'Bridge Table'!$B164,'Dermal Crosswalk'!$C$5:$C$32,'Bridge Table'!$E164),SUMIFS('Dermal Crosswalk'!$N$5:$N$32,'Dermal Crosswalk'!$A$5:$A$32,'Bridge Table'!$B164,'Dermal Crosswalk'!$C$5:$C$32,'Bridge Table'!$E164))),"--")</f>
        <v>--</v>
      </c>
      <c r="N164" s="586" t="str">
        <f>IFERROR(IFERROR(VLOOKUP($D164,$Z$8:$AD$9,4,FALSE),0)/IF($D164="Inhalation",IF($K164="Central Tendency",SUMIFS('Inhalation Exposure'!$R$4:$R$60,'Inhalation Exposure'!$B$4:$B$60,$B164,'Inhalation Exposure'!$D$4:$D$60,$C164,'Inhalation Exposure'!$E$4:$E$60,$E164),SUMIFS('Inhalation Exposure'!$Q$4:$Q$60,'Inhalation Exposure'!$B$4:$B$60,$B164,'Inhalation Exposure'!$D$4:$D$60,$C164,'Inhalation Exposure'!$E$4:$E$60,$E164)),IF($K164="Central Tendency",SUMIFS('Dermal Crosswalk'!$Q$5:$Q$32,'Dermal Crosswalk'!$A$5:$A$32,'Bridge Table'!$B164,'Dermal Crosswalk'!$C$5:$C$32,'Bridge Table'!$E164),SUMIFS('Dermal Crosswalk'!$L$5:$L$32,'Dermal Crosswalk'!$A$5:$A$32,'Bridge Table'!$B164,'Dermal Crosswalk'!$C$5:$C$32,'Bridge Table'!$E164))),"--")</f>
        <v>--</v>
      </c>
      <c r="O164" s="586" t="str">
        <f>IF(IFERROR(VLOOKUP($D164,$Z$8:$AD$9,5,FALSE),0)*IF($D164="Inhalation",IF($K164="Central Tendency",SUMIFS('Inhalation Exposure'!$V$4:$V$60,'Inhalation Exposure'!$B$4:$B$60,$B164,'Inhalation Exposure'!$D$4:$D$60,$C164,'Inhalation Exposure'!$E$4:$E$60,$E164),SUMIFS('Inhalation Exposure'!$U$4:$U$60,'Inhalation Exposure'!$B$4:$B$60,$B164,'Inhalation Exposure'!$D$4:$D$60,$C164,'Inhalation Exposure'!$E$4:$E$60,$E164)),IF($K164="Central Tendency",SUMIFS('Dermal Crosswalk'!$R$5:$R$32,'Dermal Crosswalk'!$A$5:$A$32,'Bridge Table'!$B164,'Dermal Crosswalk'!$C$5:$C$32,'Bridge Table'!$E164),SUMIFS('Dermal Crosswalk'!$M$5:$M$32,'Dermal Crosswalk'!$A$5:$A$32,'Bridge Table'!$B164,'Dermal Crosswalk'!$C$5:$C$32,'Bridge Table'!$E164)))=0,"--",IFERROR(VLOOKUP($D164,$Z$8:$AD$9,5,FALSE),0)*IF($D164="Inhalation",IF($K164="Central Tendency",SUMIFS('Inhalation Exposure'!$V$4:$V$60,'Inhalation Exposure'!$B$4:$B$60,$B164,'Inhalation Exposure'!$D$4:$D$60,$C164,'Inhalation Exposure'!$E$4:$E$60,$E164),SUMIFS('Inhalation Exposure'!$U$4:$U$60,'Inhalation Exposure'!$B$4:$B$60,$B164,'Inhalation Exposure'!$D$4:$D$60,$C164,'Inhalation Exposure'!$E$4:$E$60,$E164)),IF($K164="Central Tendency",SUMIFS('Dermal Crosswalk'!$R$5:$R$32,'Dermal Crosswalk'!$A$5:$A$32,'Bridge Table'!$B164,'Dermal Crosswalk'!$C$5:$C$32,'Bridge Table'!$E164),SUMIFS('Dermal Crosswalk'!$M$5:$M$32,'Dermal Crosswalk'!$A$5:$A$32,'Bridge Table'!$B164,'Dermal Crosswalk'!$C$5:$C$32,'Bridge Table'!$E164))))</f>
        <v>--</v>
      </c>
      <c r="P164" s="610" t="s">
        <v>118</v>
      </c>
      <c r="Q164" s="610" t="s">
        <v>118</v>
      </c>
      <c r="R164" s="610" t="s">
        <v>118</v>
      </c>
      <c r="S164" s="610" t="s">
        <v>118</v>
      </c>
      <c r="U164" s="612" t="s">
        <v>118</v>
      </c>
      <c r="V164" s="614" t="s">
        <v>118</v>
      </c>
      <c r="W164" s="614" t="s">
        <v>118</v>
      </c>
      <c r="X164" s="616" t="s">
        <v>118</v>
      </c>
    </row>
    <row r="165" spans="1:24" ht="15" thickBot="1" x14ac:dyDescent="0.35">
      <c r="A165" s="372"/>
      <c r="B165" s="360" t="s">
        <v>134</v>
      </c>
      <c r="C165" s="361" t="s">
        <v>53</v>
      </c>
      <c r="D165" s="361" t="s">
        <v>111</v>
      </c>
      <c r="E165" s="362" t="s">
        <v>117</v>
      </c>
      <c r="F165" s="589"/>
      <c r="G165" s="589"/>
      <c r="H165" s="589"/>
      <c r="I165" s="589"/>
      <c r="J165" s="589"/>
      <c r="K165" s="585"/>
      <c r="L165" s="587"/>
      <c r="M165" s="587"/>
      <c r="N165" s="587"/>
      <c r="O165" s="587"/>
      <c r="P165" s="611"/>
      <c r="Q165" s="611"/>
      <c r="R165" s="611"/>
      <c r="S165" s="611"/>
      <c r="U165" s="613"/>
      <c r="V165" s="615"/>
      <c r="W165" s="615"/>
      <c r="X165" s="617"/>
    </row>
    <row r="166" spans="1:24" ht="15" thickBot="1" x14ac:dyDescent="0.35">
      <c r="A166" s="372"/>
      <c r="B166" s="360" t="s">
        <v>134</v>
      </c>
      <c r="C166" s="361" t="s">
        <v>53</v>
      </c>
      <c r="D166" s="361" t="s">
        <v>111</v>
      </c>
      <c r="E166" s="362" t="s">
        <v>117</v>
      </c>
      <c r="F166" s="589"/>
      <c r="G166" s="589"/>
      <c r="H166" s="589"/>
      <c r="I166" s="589"/>
      <c r="J166" s="589"/>
      <c r="K166" s="584" t="s">
        <v>88</v>
      </c>
      <c r="L166" s="586" t="str">
        <f>IFERROR(IFERROR(VLOOKUP($D166,$Z$8:$AD$9,2,FALSE),0)/IF($D166="Inhalation",IF($K166="Central Tendency",SUMIFS('Inhalation Exposure'!$L$4:$L$60,'Inhalation Exposure'!$B$4:$B$60,$B166,'Inhalation Exposure'!$D$4:$D$60,$C166,'Inhalation Exposure'!$E$4:$E$60,$E166),SUMIFS('Inhalation Exposure'!$K$4:$K$60,'Inhalation Exposure'!$B$4:$B$60,$B166,'Inhalation Exposure'!$D$4:$D$60,$C166,'Inhalation Exposure'!$E$4:$E$60,$E166)),IF($K166="Central Tendency",SUMIFS('Dermal Crosswalk'!$P$5:$P$32,'Dermal Crosswalk'!$A$5:$A$32,'Bridge Table'!$B166,'Dermal Crosswalk'!$C$5:$C$32,'Bridge Table'!$E166),SUMIFS('Dermal Crosswalk'!$K$5:$K$32,'Dermal Crosswalk'!$A$5:$A$32,'Bridge Table'!$B166,'Dermal Crosswalk'!$C$5:$C$32,'Bridge Table'!$E166))),"--")</f>
        <v>--</v>
      </c>
      <c r="M166" s="586" t="str">
        <f>IFERROR(IFERROR(VLOOKUP($D166,$Z$8:$AD$9,3,FALSE),0)/IF($D166="Inhalation",IF($K166="Central Tendency",SUMIFS('Inhalation Exposure'!$AB$4:$AB$60,'Inhalation Exposure'!$B$4:$B$60,$B166,'Inhalation Exposure'!$D$4:$D$60,$C166,'Inhalation Exposure'!$E$4:$E$60,$E166),SUMIFS('Inhalation Exposure'!$AA$4:$AA$60,'Inhalation Exposure'!$B$4:$B$60,$B166,'Inhalation Exposure'!$D$4:$D$60,$C166,'Inhalation Exposure'!$E$4:$E$60,$E166)),IF($K166="Central Tendency",SUMIFS('Dermal Crosswalk'!$S$5:$S$32,'Dermal Crosswalk'!$A$5:$A$32,'Bridge Table'!$B166,'Dermal Crosswalk'!$C$5:$C$32,'Bridge Table'!$E166),SUMIFS('Dermal Crosswalk'!$N$5:$N$32,'Dermal Crosswalk'!$A$5:$A$32,'Bridge Table'!$B166,'Dermal Crosswalk'!$C$5:$C$32,'Bridge Table'!$E166))),"--")</f>
        <v>--</v>
      </c>
      <c r="N166" s="586" t="str">
        <f>IFERROR(IFERROR(VLOOKUP($D166,$Z$8:$AD$9,4,FALSE),0)/IF($D166="Inhalation",IF($K166="Central Tendency",SUMIFS('Inhalation Exposure'!$R$4:$R$60,'Inhalation Exposure'!$B$4:$B$60,$B166,'Inhalation Exposure'!$D$4:$D$60,$C166,'Inhalation Exposure'!$E$4:$E$60,$E166),SUMIFS('Inhalation Exposure'!$Q$4:$Q$60,'Inhalation Exposure'!$B$4:$B$60,$B166,'Inhalation Exposure'!$D$4:$D$60,$C166,'Inhalation Exposure'!$E$4:$E$60,$E166)),IF($K166="Central Tendency",SUMIFS('Dermal Crosswalk'!$Q$5:$Q$32,'Dermal Crosswalk'!$A$5:$A$32,'Bridge Table'!$B166,'Dermal Crosswalk'!$C$5:$C$32,'Bridge Table'!$E166),SUMIFS('Dermal Crosswalk'!$L$5:$L$32,'Dermal Crosswalk'!$A$5:$A$32,'Bridge Table'!$B166,'Dermal Crosswalk'!$C$5:$C$32,'Bridge Table'!$E166))),"--")</f>
        <v>--</v>
      </c>
      <c r="O166" s="586" t="str">
        <f>IF(IFERROR(VLOOKUP($D166,$Z$8:$AD$9,5,FALSE),0)*IF($D166="Inhalation",IF($K166="Central Tendency",SUMIFS('Inhalation Exposure'!$V$4:$V$60,'Inhalation Exposure'!$B$4:$B$60,$B166,'Inhalation Exposure'!$D$4:$D$60,$C166,'Inhalation Exposure'!$E$4:$E$60,$E166),SUMIFS('Inhalation Exposure'!$U$4:$U$60,'Inhalation Exposure'!$B$4:$B$60,$B166,'Inhalation Exposure'!$D$4:$D$60,$C166,'Inhalation Exposure'!$E$4:$E$60,$E166)),IF($K166="Central Tendency",SUMIFS('Dermal Crosswalk'!$R$5:$R$32,'Dermal Crosswalk'!$A$5:$A$32,'Bridge Table'!$B166,'Dermal Crosswalk'!$C$5:$C$32,'Bridge Table'!$E166),SUMIFS('Dermal Crosswalk'!$M$5:$M$32,'Dermal Crosswalk'!$A$5:$A$32,'Bridge Table'!$B166,'Dermal Crosswalk'!$C$5:$C$32,'Bridge Table'!$E166)))=0,"--",IFERROR(VLOOKUP($D166,$Z$8:$AD$9,5,FALSE),0)*IF($D166="Inhalation",IF($K166="Central Tendency",SUMIFS('Inhalation Exposure'!$V$4:$V$60,'Inhalation Exposure'!$B$4:$B$60,$B166,'Inhalation Exposure'!$D$4:$D$60,$C166,'Inhalation Exposure'!$E$4:$E$60,$E166),SUMIFS('Inhalation Exposure'!$U$4:$U$60,'Inhalation Exposure'!$B$4:$B$60,$B166,'Inhalation Exposure'!$D$4:$D$60,$C166,'Inhalation Exposure'!$E$4:$E$60,$E166)),IF($K166="Central Tendency",SUMIFS('Dermal Crosswalk'!$R$5:$R$32,'Dermal Crosswalk'!$A$5:$A$32,'Bridge Table'!$B166,'Dermal Crosswalk'!$C$5:$C$32,'Bridge Table'!$E166),SUMIFS('Dermal Crosswalk'!$M$5:$M$32,'Dermal Crosswalk'!$A$5:$A$32,'Bridge Table'!$B166,'Dermal Crosswalk'!$C$5:$C$32,'Bridge Table'!$E166))))</f>
        <v>--</v>
      </c>
      <c r="P166" s="610" t="s">
        <v>118</v>
      </c>
      <c r="Q166" s="610" t="s">
        <v>118</v>
      </c>
      <c r="R166" s="610" t="s">
        <v>118</v>
      </c>
      <c r="S166" s="610" t="s">
        <v>118</v>
      </c>
      <c r="U166" s="612" t="s">
        <v>118</v>
      </c>
      <c r="V166" s="614" t="s">
        <v>118</v>
      </c>
      <c r="W166" s="614" t="s">
        <v>118</v>
      </c>
      <c r="X166" s="616" t="s">
        <v>118</v>
      </c>
    </row>
    <row r="167" spans="1:24" ht="15" thickBot="1" x14ac:dyDescent="0.35">
      <c r="A167" s="372"/>
      <c r="B167" s="360" t="s">
        <v>134</v>
      </c>
      <c r="C167" s="361" t="s">
        <v>53</v>
      </c>
      <c r="D167" s="361" t="s">
        <v>111</v>
      </c>
      <c r="E167" s="362" t="s">
        <v>117</v>
      </c>
      <c r="F167" s="589"/>
      <c r="G167" s="589"/>
      <c r="H167" s="589"/>
      <c r="I167" s="590"/>
      <c r="J167" s="590"/>
      <c r="K167" s="588"/>
      <c r="L167" s="587"/>
      <c r="M167" s="587"/>
      <c r="N167" s="587"/>
      <c r="O167" s="587"/>
      <c r="P167" s="611"/>
      <c r="Q167" s="611"/>
      <c r="R167" s="611"/>
      <c r="S167" s="611"/>
      <c r="U167" s="613"/>
      <c r="V167" s="615"/>
      <c r="W167" s="615"/>
      <c r="X167" s="617"/>
    </row>
    <row r="168" spans="1:24" ht="15.6" customHeight="1" thickTop="1" thickBot="1" x14ac:dyDescent="0.35">
      <c r="A168" s="372"/>
      <c r="B168" s="360" t="s">
        <v>134</v>
      </c>
      <c r="C168" s="361" t="s">
        <v>25</v>
      </c>
      <c r="D168" s="361" t="s">
        <v>16</v>
      </c>
      <c r="E168" s="362" t="s">
        <v>24</v>
      </c>
      <c r="F168" s="589"/>
      <c r="G168" s="589"/>
      <c r="H168" s="589"/>
      <c r="I168" s="589" t="s">
        <v>25</v>
      </c>
      <c r="J168" s="609" t="s">
        <v>16</v>
      </c>
      <c r="K168" s="607" t="s">
        <v>54</v>
      </c>
      <c r="L168" s="586">
        <f>IFERROR(IFERROR(VLOOKUP($D168,$Z$8:$AD$9,2,FALSE),0)/IF($D168="Inhalation",IF($K168="Central Tendency",SUMIFS('Inhalation Exposure'!$N$4:$N$61,'Inhalation Exposure'!$B$4:$B$61,$B168,'Inhalation Exposure'!$D$4:$D$61,$C168,'Inhalation Exposure'!$E$4:$E$61,$E168),SUMIFS('Inhalation Exposure'!$M$4:$M$61,'Inhalation Exposure'!$B$4:$B$61,$B168,'Inhalation Exposure'!$D$4:$D$61,$C168,'Inhalation Exposure'!$E$4:$E$61,$E168)),IF($K168="Central Tendency",SUMIFS('Dermal Crosswalk'!$P$5:$P$32,'Dermal Crosswalk'!$A$5:$A$32,'Bridge Table'!$B168,'Dermal Crosswalk'!$C$5:$C$32,'Bridge Table'!$E168),SUMIFS('Dermal Crosswalk'!$K$5:$K$32,'Dermal Crosswalk'!$A$5:$A$32,'Bridge Table'!$B168,'Dermal Crosswalk'!$C$5:$C$32,'Bridge Table'!$E168))),"--")</f>
        <v>31.953454692846993</v>
      </c>
      <c r="M168" s="586">
        <f>IFERROR(IFERROR(VLOOKUP($D168,$Z$8:$AD$9,3,FALSE),0)/IF($D168="Inhalation",IF($K168="Central Tendency",SUMIFS('Inhalation Exposure'!$AB$4:$AB$61,'Inhalation Exposure'!$B$4:$B$61,$B168,'Inhalation Exposure'!$D$4:$D$61,$C168,'Inhalation Exposure'!$E$4:$E$61,$E168),SUMIFS('Inhalation Exposure'!$AA$4:$AA$61,'Inhalation Exposure'!$B$4:$B$61,$B168,'Inhalation Exposure'!$D$4:$D$61,$C168,'Inhalation Exposure'!$E$4:$E$61,$E168)),IF($K168="Central Tendency",SUMIFS('Dermal Crosswalk'!$S$5:$S$32,'Dermal Crosswalk'!$A$5:$A$32,'Bridge Table'!$B168,'Dermal Crosswalk'!$C$5:$C$32,'Bridge Table'!$E168),SUMIFS('Dermal Crosswalk'!$N$5:$N$32,'Dermal Crosswalk'!$A$5:$A$32,'Bridge Table'!$B168,'Dermal Crosswalk'!$C$5:$C$32,'Bridge Table'!$E168))),"--")</f>
        <v>276.63720289050406</v>
      </c>
      <c r="N168" s="586">
        <f>IFERROR(IFERROR(VLOOKUP($D168,$Z$8:$AD$9,4,FALSE),0)/IF($D168="Inhalation",IF($K168="Central Tendency",SUMIFS('Inhalation Exposure'!$R$4:$R$61,'Inhalation Exposure'!$B$4:$B$61,$B168,'Inhalation Exposure'!$D$4:$D$61,$C168,'Inhalation Exposure'!$E$4:$E$61,$E168),SUMIFS('Inhalation Exposure'!$Q$4:$Q$61,'Inhalation Exposure'!$B$4:$B$61,$B168,'Inhalation Exposure'!$D$4:$D$61,$C168,'Inhalation Exposure'!$E$4:$E$61,$E168)),IF($K168="Central Tendency",SUMIFS('Dermal Crosswalk'!$Q$5:$Q$32,'Dermal Crosswalk'!$A$5:$A$32,'Bridge Table'!$B168,'Dermal Crosswalk'!$C$5:$C$32,'Bridge Table'!$E168),SUMIFS('Dermal Crosswalk'!$L$5:$L$32,'Dermal Crosswalk'!$A$5:$A$32,'Bridge Table'!$B168,'Dermal Crosswalk'!$C$5:$C$32,'Bridge Table'!$E168))),"--")</f>
        <v>3365.7526351677993</v>
      </c>
      <c r="O168" s="586">
        <f>IFERROR(IFERROR(VLOOKUP($D168,$Z$8:$AD$9,5,FALSE),0)*IF($D168="Inhalation",IF($K168="Central Tendency",SUMIFS('Inhalation Exposure'!$V$4:$V$61,'Inhalation Exposure'!$B$4:$B$61,$B168,'Inhalation Exposure'!$D$4:$D$61,$C168,'Inhalation Exposure'!$E$4:$E$61,$E168),SUMIFS('Inhalation Exposure'!$U$4:$U$61,'Inhalation Exposure'!$B$4:$B$61,$B168,'Inhalation Exposure'!$D$4:$D$61,$C168,'Inhalation Exposure'!$E$4:$E$61,$E168)),IF($K168="Central Tendency",SUMIFS('Dermal Crosswalk'!$R$5:$R$32,'Dermal Crosswalk'!$A$5:$A$32,'Bridge Table'!$B168,'Dermal Crosswalk'!$C$5:$C$32,'Bridge Table'!$E168),SUMIFS('Dermal Crosswalk'!$M$5:$M$32,'Dermal Crosswalk'!$A$5:$A$32,'Bridge Table'!$B168,'Dermal Crosswalk'!$C$5:$C$32,'Bridge Table'!$E168))),"--")</f>
        <v>7.8979363255180917E-6</v>
      </c>
      <c r="P168" s="382">
        <f>L168*U168</f>
        <v>159.76727346423496</v>
      </c>
      <c r="Q168" s="382">
        <f t="shared" ref="Q168" si="47">M168*V168</f>
        <v>1383.1860144525203</v>
      </c>
      <c r="R168" s="382">
        <f t="shared" ref="R168" si="48">N168*W168</f>
        <v>16828.763175838998</v>
      </c>
      <c r="S168" s="383">
        <f>O168/X168</f>
        <v>1.5795872651036183E-6</v>
      </c>
      <c r="U168" s="378">
        <v>5</v>
      </c>
      <c r="V168" s="379">
        <v>5</v>
      </c>
      <c r="W168" s="379">
        <v>5</v>
      </c>
      <c r="X168" s="380">
        <v>5</v>
      </c>
    </row>
    <row r="169" spans="1:24" ht="15" thickBot="1" x14ac:dyDescent="0.35">
      <c r="A169" s="372"/>
      <c r="B169" s="360" t="s">
        <v>134</v>
      </c>
      <c r="C169" s="361" t="s">
        <v>25</v>
      </c>
      <c r="D169" s="361" t="s">
        <v>16</v>
      </c>
      <c r="E169" s="362" t="s">
        <v>24</v>
      </c>
      <c r="F169" s="589"/>
      <c r="G169" s="589"/>
      <c r="H169" s="589"/>
      <c r="I169" s="589"/>
      <c r="J169" s="589"/>
      <c r="K169" s="608"/>
      <c r="L169" s="587"/>
      <c r="M169" s="587"/>
      <c r="N169" s="587"/>
      <c r="O169" s="587"/>
      <c r="P169" s="373" t="str">
        <f>CONCATENATE("(PF ",U168,")")</f>
        <v>(PF 5)</v>
      </c>
      <c r="Q169" s="373" t="str">
        <f>CONCATENATE("(PF ",V168,")")</f>
        <v>(PF 5)</v>
      </c>
      <c r="R169" s="373" t="str">
        <f>CONCATENATE("(PF ",W168,")")</f>
        <v>(PF 5)</v>
      </c>
      <c r="S169" s="373" t="str">
        <f>CONCATENATE("(PF ",X168,")")</f>
        <v>(PF 5)</v>
      </c>
      <c r="U169" s="374" t="s">
        <v>119</v>
      </c>
      <c r="V169" s="375" t="s">
        <v>119</v>
      </c>
      <c r="W169" s="375" t="s">
        <v>119</v>
      </c>
      <c r="X169" s="376" t="s">
        <v>119</v>
      </c>
    </row>
    <row r="170" spans="1:24" ht="15" customHeight="1" thickBot="1" x14ac:dyDescent="0.35">
      <c r="A170" s="372"/>
      <c r="B170" s="360" t="s">
        <v>134</v>
      </c>
      <c r="C170" s="361" t="s">
        <v>25</v>
      </c>
      <c r="D170" s="361" t="s">
        <v>16</v>
      </c>
      <c r="E170" s="362" t="s">
        <v>24</v>
      </c>
      <c r="F170" s="589"/>
      <c r="G170" s="589"/>
      <c r="H170" s="589"/>
      <c r="I170" s="589"/>
      <c r="J170" s="589"/>
      <c r="K170" s="584" t="s">
        <v>88</v>
      </c>
      <c r="L170" s="586">
        <f>IFERROR(IFERROR(VLOOKUP($D170,$Z$8:$AD$9,2,FALSE),0)/IF($D170="Inhalation",IF($K170="Central Tendency",SUMIFS('Inhalation Exposure'!$N$4:$N$61,'Inhalation Exposure'!$B$4:$B$61,$B170,'Inhalation Exposure'!$D$4:$D$61,$C170,'Inhalation Exposure'!$E$4:$E$61,$E170),SUMIFS('Inhalation Exposure'!$M$4:$M$61,'Inhalation Exposure'!$B$4:$B$61,$B170,'Inhalation Exposure'!$D$4:$D$61,$C170,'Inhalation Exposure'!$E$4:$E$61,$E170)),IF($K170="Central Tendency",SUMIFS('Dermal Crosswalk'!$P$5:$P$32,'Dermal Crosswalk'!$A$5:$A$32,'Bridge Table'!$B170,'Dermal Crosswalk'!$C$5:$C$32,'Bridge Table'!$E170),SUMIFS('Dermal Crosswalk'!$K$5:$K$32,'Dermal Crosswalk'!$A$5:$A$32,'Bridge Table'!$B170,'Dermal Crosswalk'!$C$5:$C$32,'Bridge Table'!$E170))),"--")</f>
        <v>5.8943265938261451</v>
      </c>
      <c r="M170" s="586">
        <f>IFERROR(IFERROR(VLOOKUP($D170,$Z$8:$AD$9,3,FALSE),0)/IF($D170="Inhalation",IF($K170="Central Tendency",SUMIFS('Inhalation Exposure'!$AB$4:$AB$61,'Inhalation Exposure'!$B$4:$B$61,$B170,'Inhalation Exposure'!$D$4:$D$61,$C170,'Inhalation Exposure'!$E$4:$E$61,$E170),SUMIFS('Inhalation Exposure'!$AA$4:$AA$61,'Inhalation Exposure'!$B$4:$B$61,$B170,'Inhalation Exposure'!$D$4:$D$61,$C170,'Inhalation Exposure'!$E$4:$E$61,$E170)),IF($K170="Central Tendency",SUMIFS('Dermal Crosswalk'!$S$5:$S$32,'Dermal Crosswalk'!$A$5:$A$32,'Bridge Table'!$B170,'Dermal Crosswalk'!$C$5:$C$32,'Bridge Table'!$E170),SUMIFS('Dermal Crosswalk'!$N$5:$N$32,'Dermal Crosswalk'!$A$5:$A$32,'Bridge Table'!$B170,'Dermal Crosswalk'!$C$5:$C$32,'Bridge Table'!$E170))),"--")</f>
        <v>51.030163639995905</v>
      </c>
      <c r="N170" s="586">
        <f>IFERROR(IFERROR(VLOOKUP($D170,$Z$8:$AD$9,4,FALSE),0)/IF($D170="Inhalation",IF($K170="Central Tendency",SUMIFS('Inhalation Exposure'!$R$4:$R$61,'Inhalation Exposure'!$B$4:$B$61,$B170,'Inhalation Exposure'!$D$4:$D$61,$C170,'Inhalation Exposure'!$E$4:$E$61,$E170),SUMIFS('Inhalation Exposure'!$Q$4:$Q$61,'Inhalation Exposure'!$B$4:$B$61,$B170,'Inhalation Exposure'!$D$4:$D$61,$C170,'Inhalation Exposure'!$E$4:$E$61,$E170)),IF($K170="Central Tendency",SUMIFS('Dermal Crosswalk'!$Q$5:$Q$32,'Dermal Crosswalk'!$A$5:$A$32,'Bridge Table'!$B170,'Dermal Crosswalk'!$C$5:$C$32,'Bridge Table'!$E170),SUMIFS('Dermal Crosswalk'!$L$5:$L$32,'Dermal Crosswalk'!$A$5:$A$32,'Bridge Table'!$B170,'Dermal Crosswalk'!$C$5:$C$32,'Bridge Table'!$E170))),"--")</f>
        <v>620.86699095328345</v>
      </c>
      <c r="O170" s="586">
        <f>IFERROR(IFERROR(VLOOKUP($D170,$Z$8:$AD$9,5,FALSE),0)*IF($D170="Inhalation",IF($K170="Central Tendency",SUMIFS('Inhalation Exposure'!$V$4:$V$61,'Inhalation Exposure'!$B$4:$B$61,$B170,'Inhalation Exposure'!$D$4:$D$61,$C170,'Inhalation Exposure'!$E$4:$E$61,$E170),SUMIFS('Inhalation Exposure'!$U$4:$U$61,'Inhalation Exposure'!$B$4:$B$61,$B170,'Inhalation Exposure'!$D$4:$D$61,$C170,'Inhalation Exposure'!$E$4:$E$61,$E170)),IF($K170="Central Tendency",SUMIFS('Dermal Crosswalk'!$R$5:$R$32,'Dermal Crosswalk'!$A$5:$A$32,'Bridge Table'!$B170,'Dermal Crosswalk'!$C$5:$C$32,'Bridge Table'!$E170),SUMIFS('Dermal Crosswalk'!$M$5:$M$32,'Dermal Crosswalk'!$A$5:$A$32,'Bridge Table'!$B170,'Dermal Crosswalk'!$C$5:$C$32,'Bridge Table'!$E170))),"--")</f>
        <v>5.5245327098700397E-5</v>
      </c>
      <c r="P170" s="382">
        <f>L170*U170</f>
        <v>29.471632969130724</v>
      </c>
      <c r="Q170" s="382">
        <f t="shared" ref="Q170" si="49">M170*V170</f>
        <v>255.15081819997954</v>
      </c>
      <c r="R170" s="382">
        <f t="shared" ref="R170" si="50">N170*W170</f>
        <v>3104.3349547664175</v>
      </c>
      <c r="S170" s="383">
        <f>O170/X170</f>
        <v>1.1049065419740079E-5</v>
      </c>
      <c r="U170" s="378">
        <v>5</v>
      </c>
      <c r="V170" s="379">
        <v>5</v>
      </c>
      <c r="W170" s="379">
        <v>5</v>
      </c>
      <c r="X170" s="380">
        <v>5</v>
      </c>
    </row>
    <row r="171" spans="1:24" ht="15" thickBot="1" x14ac:dyDescent="0.35">
      <c r="A171" s="372"/>
      <c r="B171" s="360" t="s">
        <v>134</v>
      </c>
      <c r="C171" s="361" t="s">
        <v>25</v>
      </c>
      <c r="D171" s="361" t="s">
        <v>16</v>
      </c>
      <c r="E171" s="362" t="s">
        <v>24</v>
      </c>
      <c r="F171" s="589"/>
      <c r="G171" s="589"/>
      <c r="H171" s="589"/>
      <c r="I171" s="590"/>
      <c r="J171" s="590"/>
      <c r="K171" s="588"/>
      <c r="L171" s="587"/>
      <c r="M171" s="587"/>
      <c r="N171" s="587"/>
      <c r="O171" s="587"/>
      <c r="P171" s="373" t="str">
        <f>CONCATENATE("(PF ",U170,")")</f>
        <v>(PF 5)</v>
      </c>
      <c r="Q171" s="373" t="str">
        <f>CONCATENATE("(PF ",V170,")")</f>
        <v>(PF 5)</v>
      </c>
      <c r="R171" s="373" t="str">
        <f>CONCATENATE("(PF ",W170,")")</f>
        <v>(PF 5)</v>
      </c>
      <c r="S171" s="373" t="str">
        <f>CONCATENATE("(PF ",X170,")")</f>
        <v>(PF 5)</v>
      </c>
      <c r="U171" s="374" t="s">
        <v>119</v>
      </c>
      <c r="V171" s="375" t="s">
        <v>119</v>
      </c>
      <c r="W171" s="375" t="s">
        <v>119</v>
      </c>
      <c r="X171" s="376" t="s">
        <v>119</v>
      </c>
    </row>
    <row r="172" spans="1:24" ht="15.6" customHeight="1" thickTop="1" thickBot="1" x14ac:dyDescent="0.35">
      <c r="A172" s="372"/>
      <c r="B172" s="360" t="s">
        <v>134</v>
      </c>
      <c r="C172" s="361" t="s">
        <v>25</v>
      </c>
      <c r="D172" s="361" t="s">
        <v>16</v>
      </c>
      <c r="E172" s="362" t="s">
        <v>117</v>
      </c>
      <c r="F172" s="589"/>
      <c r="G172" s="589"/>
      <c r="H172" s="589"/>
      <c r="I172" s="609" t="s">
        <v>25</v>
      </c>
      <c r="J172" s="609" t="s">
        <v>16</v>
      </c>
      <c r="K172" s="607" t="s">
        <v>54</v>
      </c>
      <c r="L172" s="586">
        <f>IFERROR(IFERROR(VLOOKUP($D172,$Z$8:$AD$9,2,FALSE),0)/IF($D172="Inhalation",IF($K172="Central Tendency",SUMIFS('Inhalation Exposure'!$N$4:$N$61,'Inhalation Exposure'!$B$4:$B$61,$B172,'Inhalation Exposure'!$D$4:$D$61,$C172,'Inhalation Exposure'!$E$4:$E$61,$E172),SUMIFS('Inhalation Exposure'!$M$4:$M$61,'Inhalation Exposure'!$B$4:$B$61,$B172,'Inhalation Exposure'!$D$4:$D$61,$C172,'Inhalation Exposure'!$E$4:$E$61,$E172)),IF($K172="Central Tendency",SUMIFS('Dermal Crosswalk'!$P$5:$P$32,'Dermal Crosswalk'!$A$5:$A$32,'Bridge Table'!$B172,'Dermal Crosswalk'!$C$5:$C$32,'Bridge Table'!$E172),SUMIFS('Dermal Crosswalk'!$K$5:$K$32,'Dermal Crosswalk'!$A$5:$A$32,'Bridge Table'!$B172,'Dermal Crosswalk'!$C$5:$C$32,'Bridge Table'!$E172))),"--")</f>
        <v>31.953454692846993</v>
      </c>
      <c r="M172" s="586">
        <f>IFERROR(IFERROR(VLOOKUP($D172,$Z$8:$AD$9,3,FALSE),0)/IF($D172="Inhalation",IF($K172="Central Tendency",SUMIFS('Inhalation Exposure'!$AB$4:$AB$61,'Inhalation Exposure'!$B$4:$B$61,$B172,'Inhalation Exposure'!$D$4:$D$61,$C172,'Inhalation Exposure'!$E$4:$E$61,$E172),SUMIFS('Inhalation Exposure'!$AA$4:$AA$61,'Inhalation Exposure'!$B$4:$B$61,$B172,'Inhalation Exposure'!$D$4:$D$61,$C172,'Inhalation Exposure'!$E$4:$E$61,$E172)),IF($K172="Central Tendency",SUMIFS('Dermal Crosswalk'!$S$5:$S$32,'Dermal Crosswalk'!$A$5:$A$32,'Bridge Table'!$B172,'Dermal Crosswalk'!$C$5:$C$32,'Bridge Table'!$E172),SUMIFS('Dermal Crosswalk'!$N$5:$N$32,'Dermal Crosswalk'!$A$5:$A$32,'Bridge Table'!$B172,'Dermal Crosswalk'!$C$5:$C$32,'Bridge Table'!$E172))),"--")</f>
        <v>276.63720289050406</v>
      </c>
      <c r="N172" s="586">
        <f>IFERROR(IFERROR(VLOOKUP($D172,$Z$8:$AD$9,4,FALSE),0)/IF($D172="Inhalation",IF($K172="Central Tendency",SUMIFS('Inhalation Exposure'!$R$4:$R$61,'Inhalation Exposure'!$B$4:$B$61,$B172,'Inhalation Exposure'!$D$4:$D$61,$C172,'Inhalation Exposure'!$E$4:$E$61,$E172),SUMIFS('Inhalation Exposure'!$Q$4:$Q$61,'Inhalation Exposure'!$B$4:$B$61,$B172,'Inhalation Exposure'!$D$4:$D$61,$C172,'Inhalation Exposure'!$E$4:$E$61,$E172)),IF($K172="Central Tendency",SUMIFS('Dermal Crosswalk'!$Q$5:$Q$32,'Dermal Crosswalk'!$A$5:$A$32,'Bridge Table'!$B172,'Dermal Crosswalk'!$C$5:$C$32,'Bridge Table'!$E172),SUMIFS('Dermal Crosswalk'!$L$5:$L$32,'Dermal Crosswalk'!$A$5:$A$32,'Bridge Table'!$B172,'Dermal Crosswalk'!$C$5:$C$32,'Bridge Table'!$E172))),"--")</f>
        <v>3365.7526351677993</v>
      </c>
      <c r="O172" s="586">
        <f>IFERROR(IFERROR(VLOOKUP($D172,$Z$8:$AD$9,5,FALSE),0)*IF($D172="Inhalation",IF($K172="Central Tendency",SUMIFS('Inhalation Exposure'!$V$4:$V$61,'Inhalation Exposure'!$B$4:$B$61,$B172,'Inhalation Exposure'!$D$4:$D$61,$C172,'Inhalation Exposure'!$E$4:$E$61,$E172),SUMIFS('Inhalation Exposure'!$U$4:$U$61,'Inhalation Exposure'!$B$4:$B$61,$B172,'Inhalation Exposure'!$D$4:$D$61,$C172,'Inhalation Exposure'!$E$4:$E$61,$E172)),IF($K172="Central Tendency",SUMIFS('Dermal Crosswalk'!$R$5:$R$32,'Dermal Crosswalk'!$A$5:$A$32,'Bridge Table'!$B172,'Dermal Crosswalk'!$C$5:$C$32,'Bridge Table'!$E172),SUMIFS('Dermal Crosswalk'!$M$5:$M$32,'Dermal Crosswalk'!$A$5:$A$32,'Bridge Table'!$B172,'Dermal Crosswalk'!$C$5:$C$32,'Bridge Table'!$E172))),"--")</f>
        <v>7.8979363255180917E-6</v>
      </c>
      <c r="P172" s="382">
        <f>L172*U172</f>
        <v>159.76727346423496</v>
      </c>
      <c r="Q172" s="382">
        <f t="shared" ref="Q172" si="51">M172*V172</f>
        <v>1383.1860144525203</v>
      </c>
      <c r="R172" s="382">
        <f t="shared" ref="R172" si="52">N172*W172</f>
        <v>16828.763175838998</v>
      </c>
      <c r="S172" s="383">
        <f>O172/X172</f>
        <v>1.5795872651036183E-6</v>
      </c>
      <c r="U172" s="378">
        <v>5</v>
      </c>
      <c r="V172" s="379">
        <v>5</v>
      </c>
      <c r="W172" s="379">
        <v>5</v>
      </c>
      <c r="X172" s="380">
        <v>5</v>
      </c>
    </row>
    <row r="173" spans="1:24" ht="15" thickBot="1" x14ac:dyDescent="0.35">
      <c r="A173" s="372"/>
      <c r="B173" s="360" t="s">
        <v>134</v>
      </c>
      <c r="C173" s="361" t="s">
        <v>25</v>
      </c>
      <c r="D173" s="361" t="s">
        <v>16</v>
      </c>
      <c r="E173" s="362" t="s">
        <v>117</v>
      </c>
      <c r="F173" s="589"/>
      <c r="G173" s="589"/>
      <c r="H173" s="589"/>
      <c r="I173" s="589"/>
      <c r="J173" s="589"/>
      <c r="K173" s="608"/>
      <c r="L173" s="587"/>
      <c r="M173" s="587"/>
      <c r="N173" s="587"/>
      <c r="O173" s="587"/>
      <c r="P173" s="373" t="str">
        <f>CONCATENATE("(PF ",U172,")")</f>
        <v>(PF 5)</v>
      </c>
      <c r="Q173" s="373" t="str">
        <f>CONCATENATE("(PF ",V172,")")</f>
        <v>(PF 5)</v>
      </c>
      <c r="R173" s="373" t="str">
        <f>CONCATENATE("(PF ",W172,")")</f>
        <v>(PF 5)</v>
      </c>
      <c r="S173" s="373" t="str">
        <f>CONCATENATE("(PF ",X172,")")</f>
        <v>(PF 5)</v>
      </c>
      <c r="U173" s="374" t="s">
        <v>119</v>
      </c>
      <c r="V173" s="375" t="s">
        <v>119</v>
      </c>
      <c r="W173" s="375" t="s">
        <v>119</v>
      </c>
      <c r="X173" s="376" t="s">
        <v>119</v>
      </c>
    </row>
    <row r="174" spans="1:24" ht="15.6" customHeight="1" thickBot="1" x14ac:dyDescent="0.35">
      <c r="A174" s="372"/>
      <c r="B174" s="360" t="s">
        <v>134</v>
      </c>
      <c r="C174" s="361" t="s">
        <v>25</v>
      </c>
      <c r="D174" s="361" t="s">
        <v>16</v>
      </c>
      <c r="E174" s="362" t="s">
        <v>117</v>
      </c>
      <c r="F174" s="589"/>
      <c r="G174" s="589"/>
      <c r="H174" s="589"/>
      <c r="I174" s="589"/>
      <c r="J174" s="589"/>
      <c r="K174" s="584" t="s">
        <v>88</v>
      </c>
      <c r="L174" s="586">
        <f>IFERROR(IFERROR(VLOOKUP($D174,$Z$8:$AD$9,2,FALSE),0)/IF($D174="Inhalation",IF($K174="Central Tendency",SUMIFS('Inhalation Exposure'!$N$4:$N$61,'Inhalation Exposure'!$B$4:$B$61,$B174,'Inhalation Exposure'!$D$4:$D$61,$C174,'Inhalation Exposure'!$E$4:$E$61,$E174),SUMIFS('Inhalation Exposure'!$M$4:$M$61,'Inhalation Exposure'!$B$4:$B$61,$B174,'Inhalation Exposure'!$D$4:$D$61,$C174,'Inhalation Exposure'!$E$4:$E$61,$E174)),IF($K174="Central Tendency",SUMIFS('Dermal Crosswalk'!$P$5:$P$32,'Dermal Crosswalk'!$A$5:$A$32,'Bridge Table'!$B174,'Dermal Crosswalk'!$C$5:$C$32,'Bridge Table'!$E174),SUMIFS('Dermal Crosswalk'!$K$5:$K$32,'Dermal Crosswalk'!$A$5:$A$32,'Bridge Table'!$B174,'Dermal Crosswalk'!$C$5:$C$32,'Bridge Table'!$E174))),"--")</f>
        <v>5.8943265938261451</v>
      </c>
      <c r="M174" s="586">
        <f>IFERROR(IFERROR(VLOOKUP($D174,$Z$8:$AD$9,3,FALSE),0)/IF($D174="Inhalation",IF($K174="Central Tendency",SUMIFS('Inhalation Exposure'!$AB$4:$AB$61,'Inhalation Exposure'!$B$4:$B$61,$B174,'Inhalation Exposure'!$D$4:$D$61,$C174,'Inhalation Exposure'!$E$4:$E$61,$E174),SUMIFS('Inhalation Exposure'!$AA$4:$AA$61,'Inhalation Exposure'!$B$4:$B$61,$B174,'Inhalation Exposure'!$D$4:$D$61,$C174,'Inhalation Exposure'!$E$4:$E$61,$E174)),IF($K174="Central Tendency",SUMIFS('Dermal Crosswalk'!$S$5:$S$32,'Dermal Crosswalk'!$A$5:$A$32,'Bridge Table'!$B174,'Dermal Crosswalk'!$C$5:$C$32,'Bridge Table'!$E174),SUMIFS('Dermal Crosswalk'!$N$5:$N$32,'Dermal Crosswalk'!$A$5:$A$32,'Bridge Table'!$B174,'Dermal Crosswalk'!$C$5:$C$32,'Bridge Table'!$E174))),"--")</f>
        <v>51.030163639995905</v>
      </c>
      <c r="N174" s="586">
        <f>IFERROR(IFERROR(VLOOKUP($D174,$Z$8:$AD$9,4,FALSE),0)/IF($D174="Inhalation",IF($K174="Central Tendency",SUMIFS('Inhalation Exposure'!$R$4:$R$61,'Inhalation Exposure'!$B$4:$B$61,$B174,'Inhalation Exposure'!$D$4:$D$61,$C174,'Inhalation Exposure'!$E$4:$E$61,$E174),SUMIFS('Inhalation Exposure'!$Q$4:$Q$61,'Inhalation Exposure'!$B$4:$B$61,$B174,'Inhalation Exposure'!$D$4:$D$61,$C174,'Inhalation Exposure'!$E$4:$E$61,$E174)),IF($K174="Central Tendency",SUMIFS('Dermal Crosswalk'!$Q$5:$Q$32,'Dermal Crosswalk'!$A$5:$A$32,'Bridge Table'!$B174,'Dermal Crosswalk'!$C$5:$C$32,'Bridge Table'!$E174),SUMIFS('Dermal Crosswalk'!$L$5:$L$32,'Dermal Crosswalk'!$A$5:$A$32,'Bridge Table'!$B174,'Dermal Crosswalk'!$C$5:$C$32,'Bridge Table'!$E174))),"--")</f>
        <v>620.86699095328345</v>
      </c>
      <c r="O174" s="586">
        <f>IFERROR(IFERROR(VLOOKUP($D174,$Z$8:$AD$9,5,FALSE),0)*IF($D174="Inhalation",IF($K174="Central Tendency",SUMIFS('Inhalation Exposure'!$V$4:$V$61,'Inhalation Exposure'!$B$4:$B$61,$B174,'Inhalation Exposure'!$D$4:$D$61,$C174,'Inhalation Exposure'!$E$4:$E$61,$E174),SUMIFS('Inhalation Exposure'!$U$4:$U$61,'Inhalation Exposure'!$B$4:$B$61,$B174,'Inhalation Exposure'!$D$4:$D$61,$C174,'Inhalation Exposure'!$E$4:$E$61,$E174)),IF($K174="Central Tendency",SUMIFS('Dermal Crosswalk'!$R$5:$R$32,'Dermal Crosswalk'!$A$5:$A$32,'Bridge Table'!$B174,'Dermal Crosswalk'!$C$5:$C$32,'Bridge Table'!$E174),SUMIFS('Dermal Crosswalk'!$M$5:$M$32,'Dermal Crosswalk'!$A$5:$A$32,'Bridge Table'!$B174,'Dermal Crosswalk'!$C$5:$C$32,'Bridge Table'!$E174))),"--")</f>
        <v>5.5245327098700397E-5</v>
      </c>
      <c r="P174" s="363">
        <f>L174*U174</f>
        <v>29.471632969130724</v>
      </c>
      <c r="Q174" s="363">
        <f t="shared" ref="Q174" si="53">M174*V174</f>
        <v>255.15081819997954</v>
      </c>
      <c r="R174" s="363">
        <f t="shared" ref="R174" si="54">N174*W174</f>
        <v>3104.3349547664175</v>
      </c>
      <c r="S174" s="364">
        <f>O174/X174</f>
        <v>1.1049065419740079E-5</v>
      </c>
      <c r="U174" s="378">
        <v>5</v>
      </c>
      <c r="V174" s="379">
        <v>5</v>
      </c>
      <c r="W174" s="379">
        <v>5</v>
      </c>
      <c r="X174" s="380">
        <v>5</v>
      </c>
    </row>
    <row r="175" spans="1:24" ht="15" thickBot="1" x14ac:dyDescent="0.35">
      <c r="A175" s="372"/>
      <c r="B175" s="360" t="s">
        <v>134</v>
      </c>
      <c r="C175" s="361" t="s">
        <v>25</v>
      </c>
      <c r="D175" s="361" t="s">
        <v>16</v>
      </c>
      <c r="E175" s="362" t="s">
        <v>117</v>
      </c>
      <c r="F175" s="589"/>
      <c r="G175" s="589"/>
      <c r="H175" s="587"/>
      <c r="I175" s="587"/>
      <c r="J175" s="587"/>
      <c r="K175" s="585"/>
      <c r="L175" s="587"/>
      <c r="M175" s="587"/>
      <c r="N175" s="587"/>
      <c r="O175" s="587"/>
      <c r="P175" s="373" t="str">
        <f>CONCATENATE("(PF ",U174,")")</f>
        <v>(PF 5)</v>
      </c>
      <c r="Q175" s="373" t="str">
        <f>CONCATENATE("(PF ",V174,")")</f>
        <v>(PF 5)</v>
      </c>
      <c r="R175" s="373" t="str">
        <f>CONCATENATE("(PF ",W174,")")</f>
        <v>(PF 5)</v>
      </c>
      <c r="S175" s="373" t="str">
        <f>CONCATENATE("(PF ",X174,")")</f>
        <v>(PF 5)</v>
      </c>
      <c r="U175" s="384" t="s">
        <v>119</v>
      </c>
      <c r="V175" s="385" t="s">
        <v>119</v>
      </c>
      <c r="W175" s="385" t="s">
        <v>119</v>
      </c>
      <c r="X175" s="386" t="s">
        <v>119</v>
      </c>
    </row>
    <row r="176" spans="1:24" ht="15" customHeight="1" thickBot="1" x14ac:dyDescent="0.35">
      <c r="A176" s="372"/>
      <c r="B176" s="360" t="s">
        <v>138</v>
      </c>
      <c r="C176" s="361" t="s">
        <v>25</v>
      </c>
      <c r="D176" s="361" t="s">
        <v>111</v>
      </c>
      <c r="E176" s="362" t="s">
        <v>24</v>
      </c>
      <c r="F176" s="589"/>
      <c r="G176" s="589"/>
      <c r="H176" s="586" t="s">
        <v>139</v>
      </c>
      <c r="I176" s="586" t="s">
        <v>25</v>
      </c>
      <c r="J176" s="586" t="s">
        <v>115</v>
      </c>
      <c r="K176" s="584" t="s">
        <v>54</v>
      </c>
      <c r="L176" s="586">
        <f>IFERROR(IFERROR(VLOOKUP($D176,$Z$8:$AD$9,2,FALSE),0)/IF($D176="Inhalation",IF($K176="Central Tendency",SUMIFS('Inhalation Exposure'!$N$4:$N$61,'Inhalation Exposure'!$B$4:$B$61,$B176,'Inhalation Exposure'!$D$4:$D$61,$C176,'Inhalation Exposure'!$E$4:$E$61,$E176),SUMIFS('Inhalation Exposure'!$M$4:$M$61,'Inhalation Exposure'!$B$4:$B$61,$B176,'Inhalation Exposure'!$D$4:$D$61,$C176,'Inhalation Exposure'!$E$4:$E$61,$E176)),IF($K176="Central Tendency",SUMIFS('Dermal Crosswalk'!$P$5:$P$32,'Dermal Crosswalk'!$A$5:$A$32,'Bridge Table'!$B176,'Dermal Crosswalk'!$C$5:$C$32,'Bridge Table'!$E176),SUMIFS('Dermal Crosswalk'!$K$5:$K$32,'Dermal Crosswalk'!$A$5:$A$32,'Bridge Table'!$B176,'Dermal Crosswalk'!$C$5:$C$32,'Bridge Table'!$E176))),"--")</f>
        <v>447.95857988165676</v>
      </c>
      <c r="M176" s="586">
        <f>IFERROR(IFERROR(VLOOKUP($D176,$Z$8:$AD$9,3,FALSE),0)/IF($D176="Inhalation",IF($K176="Central Tendency",SUMIFS('Inhalation Exposure'!$AB$4:$AB$61,'Inhalation Exposure'!$B$4:$B$61,$B176,'Inhalation Exposure'!$D$4:$D$61,$C176,'Inhalation Exposure'!$E$4:$E$61,$E176),SUMIFS('Inhalation Exposure'!$AA$4:$AA$61,'Inhalation Exposure'!$B$4:$B$61,$B176,'Inhalation Exposure'!$D$4:$D$61,$C176,'Inhalation Exposure'!$E$4:$E$61,$E176)),IF($K176="Central Tendency",SUMIFS('Dermal Crosswalk'!$S$5:$S$32,'Dermal Crosswalk'!$A$5:$A$32,'Bridge Table'!$B176,'Dermal Crosswalk'!$C$5:$C$32,'Bridge Table'!$E176),SUMIFS('Dermal Crosswalk'!$N$5:$N$32,'Dermal Crosswalk'!$A$5:$A$32,'Bridge Table'!$B176,'Dermal Crosswalk'!$C$5:$C$32,'Bridge Table'!$E176))),"--")</f>
        <v>1944.0532544378696</v>
      </c>
      <c r="N176" s="586">
        <f>IFERROR(IFERROR(VLOOKUP($D176,$Z$8:$AD$9,4,FALSE),0)/IF($D176="Inhalation",IF($K176="Central Tendency",SUMIFS('Inhalation Exposure'!$R$4:$R$61,'Inhalation Exposure'!$B$4:$B$61,$B176,'Inhalation Exposure'!$D$4:$D$61,$C176,'Inhalation Exposure'!$E$4:$E$61,$E176),SUMIFS('Inhalation Exposure'!$Q$4:$Q$61,'Inhalation Exposure'!$B$4:$B$61,$B176,'Inhalation Exposure'!$D$4:$D$61,$C176,'Inhalation Exposure'!$E$4:$E$61,$E176)),IF($K176="Central Tendency",SUMIFS('Dermal Crosswalk'!$Q$5:$Q$32,'Dermal Crosswalk'!$A$5:$A$32,'Bridge Table'!$B176,'Dermal Crosswalk'!$C$5:$C$32,'Bridge Table'!$E176),SUMIFS('Dermal Crosswalk'!$L$5:$L$32,'Dermal Crosswalk'!$A$5:$A$32,'Bridge Table'!$B176,'Dermal Crosswalk'!$C$5:$C$32,'Bridge Table'!$E176))),"--")</f>
        <v>23652.64792899408</v>
      </c>
      <c r="O176" s="586">
        <f>IFERROR(IFERROR(VLOOKUP($D176,$Z$8:$AD$9,5,FALSE),0)*IF($D176="Inhalation",IF($K176="Central Tendency",SUMIFS('Inhalation Exposure'!$V$4:$V$61,'Inhalation Exposure'!$B$4:$B$61,$B176,'Inhalation Exposure'!$D$4:$D$61,$C176,'Inhalation Exposure'!$E$4:$E$61,$E176),SUMIFS('Inhalation Exposure'!$U$4:$U$61,'Inhalation Exposure'!$B$4:$B$61,$B176,'Inhalation Exposure'!$D$4:$D$61,$C176,'Inhalation Exposure'!$E$4:$E$61,$E176)),IF($K176="Central Tendency",SUMIFS('Dermal Crosswalk'!$R$5:$R$32,'Dermal Crosswalk'!$A$5:$A$32,'Bridge Table'!$B176,'Dermal Crosswalk'!$C$5:$C$32,'Bridge Table'!$E176),SUMIFS('Dermal Crosswalk'!$M$5:$M$32,'Dermal Crosswalk'!$A$5:$A$32,'Bridge Table'!$B176,'Dermal Crosswalk'!$C$5:$C$32,'Bridge Table'!$E176))),"--")</f>
        <v>1.1291460876588079E-6</v>
      </c>
      <c r="P176" s="363">
        <f>IFERROR(L176*U176,"Not Assessed")</f>
        <v>4479.5857988165681</v>
      </c>
      <c r="Q176" s="363">
        <f>IFERROR(M176*V176,"Not Assessed")</f>
        <v>19440.532544378697</v>
      </c>
      <c r="R176" s="363">
        <f>IFERROR(N176*W176,"Not Assessed")</f>
        <v>236526.47928994079</v>
      </c>
      <c r="S176" s="364">
        <f>IFERROR(O176/X176, "Not Assessed")</f>
        <v>1.1291460876588079E-7</v>
      </c>
      <c r="U176" s="365">
        <v>10</v>
      </c>
      <c r="V176" s="366">
        <v>10</v>
      </c>
      <c r="W176" s="366">
        <v>10</v>
      </c>
      <c r="X176" s="367">
        <v>10</v>
      </c>
    </row>
    <row r="177" spans="1:24" ht="15" thickBot="1" x14ac:dyDescent="0.35">
      <c r="A177" s="372"/>
      <c r="B177" s="360" t="s">
        <v>138</v>
      </c>
      <c r="C177" s="361" t="s">
        <v>25</v>
      </c>
      <c r="D177" s="361" t="s">
        <v>111</v>
      </c>
      <c r="E177" s="362" t="s">
        <v>24</v>
      </c>
      <c r="F177" s="589"/>
      <c r="G177" s="589"/>
      <c r="H177" s="589"/>
      <c r="I177" s="589"/>
      <c r="J177" s="589"/>
      <c r="K177" s="585"/>
      <c r="L177" s="587"/>
      <c r="M177" s="587"/>
      <c r="N177" s="587"/>
      <c r="O177" s="587"/>
      <c r="P177" s="373" t="str">
        <f>CONCATENATE("(APF ",U176,")")</f>
        <v>(APF 10)</v>
      </c>
      <c r="Q177" s="373" t="str">
        <f>CONCATENATE("(APF ",V176,")")</f>
        <v>(APF 10)</v>
      </c>
      <c r="R177" s="373" t="str">
        <f>CONCATENATE("(APF ",W176,")")</f>
        <v>(APF 10)</v>
      </c>
      <c r="S177" s="373" t="str">
        <f>CONCATENATE("(APF ",X176,")")</f>
        <v>(APF 10)</v>
      </c>
      <c r="U177" s="374" t="s">
        <v>116</v>
      </c>
      <c r="V177" s="375" t="s">
        <v>116</v>
      </c>
      <c r="W177" s="375" t="s">
        <v>116</v>
      </c>
      <c r="X177" s="376" t="s">
        <v>116</v>
      </c>
    </row>
    <row r="178" spans="1:24" ht="15" thickBot="1" x14ac:dyDescent="0.35">
      <c r="A178" s="372"/>
      <c r="B178" s="360" t="s">
        <v>138</v>
      </c>
      <c r="C178" s="361" t="s">
        <v>25</v>
      </c>
      <c r="D178" s="361" t="s">
        <v>111</v>
      </c>
      <c r="E178" s="362" t="s">
        <v>24</v>
      </c>
      <c r="F178" s="589"/>
      <c r="G178" s="589"/>
      <c r="H178" s="589"/>
      <c r="I178" s="589"/>
      <c r="J178" s="589"/>
      <c r="K178" s="584" t="s">
        <v>88</v>
      </c>
      <c r="L178" s="586">
        <f>IFERROR(IFERROR(VLOOKUP($D178,$Z$8:$AD$9,2,FALSE),0)/IF($D178="Inhalation",IF($K178="Central Tendency",SUMIFS('Inhalation Exposure'!$N$4:$N$61,'Inhalation Exposure'!$B$4:$B$61,$B178,'Inhalation Exposure'!$D$4:$D$61,$C178,'Inhalation Exposure'!$E$4:$E$61,$E178),SUMIFS('Inhalation Exposure'!$M$4:$M$61,'Inhalation Exposure'!$B$4:$B$61,$B178,'Inhalation Exposure'!$D$4:$D$61,$C178,'Inhalation Exposure'!$E$4:$E$61,$E178)),IF($K178="Central Tendency",SUMIFS('Dermal Crosswalk'!$P$5:$P$32,'Dermal Crosswalk'!$A$5:$A$32,'Bridge Table'!$B178,'Dermal Crosswalk'!$C$5:$C$32,'Bridge Table'!$E178),SUMIFS('Dermal Crosswalk'!$K$5:$K$32,'Dermal Crosswalk'!$A$5:$A$32,'Bridge Table'!$B178,'Dermal Crosswalk'!$C$5:$C$32,'Bridge Table'!$E178))),"--")</f>
        <v>68.511312217194558</v>
      </c>
      <c r="M178" s="586">
        <f>IFERROR(IFERROR(VLOOKUP($D178,$Z$8:$AD$9,3,FALSE),0)/IF($D178="Inhalation",IF($K178="Central Tendency",SUMIFS('Inhalation Exposure'!$AB$4:$AB$61,'Inhalation Exposure'!$B$4:$B$61,$B178,'Inhalation Exposure'!$D$4:$D$61,$C178,'Inhalation Exposure'!$E$4:$E$61,$E178),SUMIFS('Inhalation Exposure'!$AA$4:$AA$61,'Inhalation Exposure'!$B$4:$B$61,$B178,'Inhalation Exposure'!$D$4:$D$61,$C178,'Inhalation Exposure'!$E$4:$E$61,$E178)),IF($K178="Central Tendency",SUMIFS('Dermal Crosswalk'!$S$5:$S$32,'Dermal Crosswalk'!$A$5:$A$32,'Bridge Table'!$B178,'Dermal Crosswalk'!$C$5:$C$32,'Bridge Table'!$E178),SUMIFS('Dermal Crosswalk'!$N$5:$N$32,'Dermal Crosswalk'!$A$5:$A$32,'Bridge Table'!$B178,'Dermal Crosswalk'!$C$5:$C$32,'Bridge Table'!$E178))),"--")</f>
        <v>297.32579185520359</v>
      </c>
      <c r="N178" s="586">
        <f>IFERROR(IFERROR(VLOOKUP($D178,$Z$8:$AD$9,4,FALSE),0)/IF($D178="Inhalation",IF($K178="Central Tendency",SUMIFS('Inhalation Exposure'!$R$4:$R$61,'Inhalation Exposure'!$B$4:$B$61,$B178,'Inhalation Exposure'!$D$4:$D$61,$C178,'Inhalation Exposure'!$E$4:$E$61,$E178),SUMIFS('Inhalation Exposure'!$Q$4:$Q$61,'Inhalation Exposure'!$B$4:$B$61,$B178,'Inhalation Exposure'!$D$4:$D$61,$C178,'Inhalation Exposure'!$E$4:$E$61,$E178)),IF($K178="Central Tendency",SUMIFS('Dermal Crosswalk'!$Q$5:$Q$32,'Dermal Crosswalk'!$A$5:$A$32,'Bridge Table'!$B178,'Dermal Crosswalk'!$C$5:$C$32,'Bridge Table'!$E178),SUMIFS('Dermal Crosswalk'!$L$5:$L$32,'Dermal Crosswalk'!$A$5:$A$32,'Bridge Table'!$B178,'Dermal Crosswalk'!$C$5:$C$32,'Bridge Table'!$E178))),"--")</f>
        <v>3617.4638009049768</v>
      </c>
      <c r="O178" s="586">
        <f>IFERROR(IFERROR(VLOOKUP($D178,$Z$8:$AD$9,5,FALSE),0)*IF($D178="Inhalation",IF($K178="Central Tendency",SUMIFS('Inhalation Exposure'!$V$4:$V$61,'Inhalation Exposure'!$B$4:$B$61,$B178,'Inhalation Exposure'!$D$4:$D$61,$C178,'Inhalation Exposure'!$E$4:$E$61,$E178),SUMIFS('Inhalation Exposure'!$U$4:$U$61,'Inhalation Exposure'!$B$4:$B$61,$B178,'Inhalation Exposure'!$D$4:$D$61,$C178,'Inhalation Exposure'!$E$4:$E$61,$E178)),IF($K178="Central Tendency",SUMIFS('Dermal Crosswalk'!$R$5:$R$32,'Dermal Crosswalk'!$A$5:$A$32,'Bridge Table'!$B178,'Dermal Crosswalk'!$C$5:$C$32,'Bridge Table'!$E178),SUMIFS('Dermal Crosswalk'!$M$5:$M$32,'Dermal Crosswalk'!$A$5:$A$32,'Bridge Table'!$B178,'Dermal Crosswalk'!$C$5:$C$32,'Bridge Table'!$E178))),"--")</f>
        <v>9.5262945360792758E-6</v>
      </c>
      <c r="P178" s="363">
        <f>IFERROR(L178*U178,"Not Assessed")</f>
        <v>685.11312217194563</v>
      </c>
      <c r="Q178" s="363">
        <f>IFERROR(M178*V178,"Not Assessed")</f>
        <v>2973.2579185520358</v>
      </c>
      <c r="R178" s="363">
        <f>IFERROR(N178*W178,"Not Assessed")</f>
        <v>36174.63800904977</v>
      </c>
      <c r="S178" s="364">
        <f>IFERROR(O178/X178, "Not Assessed")</f>
        <v>9.5262945360792762E-7</v>
      </c>
      <c r="U178" s="378">
        <v>10</v>
      </c>
      <c r="V178" s="379">
        <v>10</v>
      </c>
      <c r="W178" s="379">
        <v>10</v>
      </c>
      <c r="X178" s="380">
        <v>10</v>
      </c>
    </row>
    <row r="179" spans="1:24" ht="15" thickBot="1" x14ac:dyDescent="0.35">
      <c r="A179" s="372"/>
      <c r="B179" s="360" t="s">
        <v>138</v>
      </c>
      <c r="C179" s="361" t="s">
        <v>25</v>
      </c>
      <c r="D179" s="361" t="s">
        <v>111</v>
      </c>
      <c r="E179" s="362" t="s">
        <v>24</v>
      </c>
      <c r="F179" s="589"/>
      <c r="G179" s="589"/>
      <c r="H179" s="589"/>
      <c r="I179" s="590"/>
      <c r="J179" s="590"/>
      <c r="K179" s="588"/>
      <c r="L179" s="587"/>
      <c r="M179" s="587"/>
      <c r="N179" s="587"/>
      <c r="O179" s="587"/>
      <c r="P179" s="373" t="str">
        <f>CONCATENATE("(APF ",U178,")")</f>
        <v>(APF 10)</v>
      </c>
      <c r="Q179" s="373" t="str">
        <f>CONCATENATE("(APF ",V178,")")</f>
        <v>(APF 10)</v>
      </c>
      <c r="R179" s="373" t="str">
        <f>CONCATENATE("(APF ",W178,")")</f>
        <v>(APF 10)</v>
      </c>
      <c r="S179" s="373" t="str">
        <f>CONCATENATE("(APF ",X178,")")</f>
        <v>(APF 10)</v>
      </c>
      <c r="U179" s="374" t="s">
        <v>116</v>
      </c>
      <c r="V179" s="375" t="s">
        <v>116</v>
      </c>
      <c r="W179" s="375" t="s">
        <v>116</v>
      </c>
      <c r="X179" s="376" t="s">
        <v>116</v>
      </c>
    </row>
    <row r="180" spans="1:24" ht="15" customHeight="1" thickBot="1" x14ac:dyDescent="0.35">
      <c r="A180" s="372"/>
      <c r="B180" s="360" t="s">
        <v>138</v>
      </c>
      <c r="C180" s="361" t="s">
        <v>25</v>
      </c>
      <c r="D180" s="361" t="s">
        <v>111</v>
      </c>
      <c r="E180" s="362" t="s">
        <v>117</v>
      </c>
      <c r="F180" s="589"/>
      <c r="G180" s="589"/>
      <c r="H180" s="589"/>
      <c r="I180" s="589" t="s">
        <v>25</v>
      </c>
      <c r="J180" s="586" t="s">
        <v>115</v>
      </c>
      <c r="K180" s="584" t="s">
        <v>54</v>
      </c>
      <c r="L180" s="586">
        <f>IFERROR(IFERROR(VLOOKUP($D180,$Z$8:$AD$9,2,FALSE),0)/IF($D180="Inhalation",IF($K180="Central Tendency",SUMIFS('Inhalation Exposure'!$N$4:$N$61,'Inhalation Exposure'!$B$4:$B$61,$B180,'Inhalation Exposure'!$D$4:$D$61,$C180,'Inhalation Exposure'!$E$4:$E$61,$E180),SUMIFS('Inhalation Exposure'!$M$4:$M$61,'Inhalation Exposure'!$B$4:$B$61,$B180,'Inhalation Exposure'!$D$4:$D$61,$C180,'Inhalation Exposure'!$E$4:$E$61,$E180)),IF($K180="Central Tendency",SUMIFS('Dermal Crosswalk'!$P$5:$P$32,'Dermal Crosswalk'!$A$5:$A$32,'Bridge Table'!$B180,'Dermal Crosswalk'!$C$5:$C$32,'Bridge Table'!$E180),SUMIFS('Dermal Crosswalk'!$K$5:$K$32,'Dermal Crosswalk'!$A$5:$A$32,'Bridge Table'!$B180,'Dermal Crosswalk'!$C$5:$C$32,'Bridge Table'!$E180))),"--")</f>
        <v>447.95857988165676</v>
      </c>
      <c r="M180" s="586">
        <f>IFERROR(IFERROR(VLOOKUP($D180,$Z$8:$AD$9,3,FALSE),0)/IF($D180="Inhalation",IF($K180="Central Tendency",SUMIFS('Inhalation Exposure'!$AB$4:$AB$61,'Inhalation Exposure'!$B$4:$B$61,$B180,'Inhalation Exposure'!$D$4:$D$61,$C180,'Inhalation Exposure'!$E$4:$E$61,$E180),SUMIFS('Inhalation Exposure'!$AA$4:$AA$61,'Inhalation Exposure'!$B$4:$B$61,$B180,'Inhalation Exposure'!$D$4:$D$61,$C180,'Inhalation Exposure'!$E$4:$E$61,$E180)),IF($K180="Central Tendency",SUMIFS('Dermal Crosswalk'!$S$5:$S$32,'Dermal Crosswalk'!$A$5:$A$32,'Bridge Table'!$B180,'Dermal Crosswalk'!$C$5:$C$32,'Bridge Table'!$E180),SUMIFS('Dermal Crosswalk'!$N$5:$N$32,'Dermal Crosswalk'!$A$5:$A$32,'Bridge Table'!$B180,'Dermal Crosswalk'!$C$5:$C$32,'Bridge Table'!$E180))),"--")</f>
        <v>1944.0532544378696</v>
      </c>
      <c r="N180" s="586">
        <f>IFERROR(IFERROR(VLOOKUP($D180,$Z$8:$AD$9,4,FALSE),0)/IF($D180="Inhalation",IF($K180="Central Tendency",SUMIFS('Inhalation Exposure'!$R$4:$R$61,'Inhalation Exposure'!$B$4:$B$61,$B180,'Inhalation Exposure'!$D$4:$D$61,$C180,'Inhalation Exposure'!$E$4:$E$61,$E180),SUMIFS('Inhalation Exposure'!$Q$4:$Q$61,'Inhalation Exposure'!$B$4:$B$61,$B180,'Inhalation Exposure'!$D$4:$D$61,$C180,'Inhalation Exposure'!$E$4:$E$61,$E180)),IF($K180="Central Tendency",SUMIFS('Dermal Crosswalk'!$Q$5:$Q$32,'Dermal Crosswalk'!$A$5:$A$32,'Bridge Table'!$B180,'Dermal Crosswalk'!$C$5:$C$32,'Bridge Table'!$E180),SUMIFS('Dermal Crosswalk'!$L$5:$L$32,'Dermal Crosswalk'!$A$5:$A$32,'Bridge Table'!$B180,'Dermal Crosswalk'!$C$5:$C$32,'Bridge Table'!$E180))),"--")</f>
        <v>23652.64792899408</v>
      </c>
      <c r="O180" s="586">
        <f>IFERROR(IFERROR(VLOOKUP($D180,$Z$8:$AD$9,5,FALSE),0)*IF($D180="Inhalation",IF($K180="Central Tendency",SUMIFS('Inhalation Exposure'!$V$4:$V$61,'Inhalation Exposure'!$B$4:$B$61,$B180,'Inhalation Exposure'!$D$4:$D$61,$C180,'Inhalation Exposure'!$E$4:$E$61,$E180),SUMIFS('Inhalation Exposure'!$U$4:$U$61,'Inhalation Exposure'!$B$4:$B$61,$B180,'Inhalation Exposure'!$D$4:$D$61,$C180,'Inhalation Exposure'!$E$4:$E$61,$E180)),IF($K180="Central Tendency",SUMIFS('Dermal Crosswalk'!$R$5:$R$32,'Dermal Crosswalk'!$A$5:$A$32,'Bridge Table'!$B180,'Dermal Crosswalk'!$C$5:$C$32,'Bridge Table'!$E180),SUMIFS('Dermal Crosswalk'!$M$5:$M$32,'Dermal Crosswalk'!$A$5:$A$32,'Bridge Table'!$B180,'Dermal Crosswalk'!$C$5:$C$32,'Bridge Table'!$E180))),"--")</f>
        <v>1.1291460876588079E-6</v>
      </c>
      <c r="P180" s="363">
        <f>IFERROR(L180*U180,"Not Assessed")</f>
        <v>4479.5857988165681</v>
      </c>
      <c r="Q180" s="363">
        <f>IFERROR(M180*V180,"Not Assessed")</f>
        <v>19440.532544378697</v>
      </c>
      <c r="R180" s="363">
        <f>IFERROR(N180*W180,"Not Assessed")</f>
        <v>236526.47928994079</v>
      </c>
      <c r="S180" s="364">
        <f>IFERROR(O180/X180, "Not Assessed")</f>
        <v>1.1291460876588079E-7</v>
      </c>
      <c r="U180" s="378">
        <v>10</v>
      </c>
      <c r="V180" s="379">
        <v>10</v>
      </c>
      <c r="W180" s="379">
        <v>10</v>
      </c>
      <c r="X180" s="380">
        <v>10</v>
      </c>
    </row>
    <row r="181" spans="1:24" ht="15" thickBot="1" x14ac:dyDescent="0.35">
      <c r="A181" s="372"/>
      <c r="B181" s="360" t="s">
        <v>138</v>
      </c>
      <c r="C181" s="361" t="s">
        <v>25</v>
      </c>
      <c r="D181" s="361" t="s">
        <v>111</v>
      </c>
      <c r="E181" s="362" t="s">
        <v>117</v>
      </c>
      <c r="F181" s="589"/>
      <c r="G181" s="589"/>
      <c r="H181" s="589"/>
      <c r="I181" s="589"/>
      <c r="J181" s="589"/>
      <c r="K181" s="585"/>
      <c r="L181" s="587"/>
      <c r="M181" s="587"/>
      <c r="N181" s="587"/>
      <c r="O181" s="587"/>
      <c r="P181" s="373" t="str">
        <f>CONCATENATE("(APF ",U180,")")</f>
        <v>(APF 10)</v>
      </c>
      <c r="Q181" s="373" t="str">
        <f>CONCATENATE("(APF ",V180,")")</f>
        <v>(APF 10)</v>
      </c>
      <c r="R181" s="373" t="str">
        <f>CONCATENATE("(APF ",W180,")")</f>
        <v>(APF 10)</v>
      </c>
      <c r="S181" s="373" t="str">
        <f>CONCATENATE("(APF ",X180,")")</f>
        <v>(APF 10)</v>
      </c>
      <c r="U181" s="374" t="s">
        <v>116</v>
      </c>
      <c r="V181" s="375" t="s">
        <v>116</v>
      </c>
      <c r="W181" s="375" t="s">
        <v>116</v>
      </c>
      <c r="X181" s="376" t="s">
        <v>116</v>
      </c>
    </row>
    <row r="182" spans="1:24" ht="15" thickBot="1" x14ac:dyDescent="0.35">
      <c r="A182" s="372"/>
      <c r="B182" s="360" t="s">
        <v>138</v>
      </c>
      <c r="C182" s="361" t="s">
        <v>25</v>
      </c>
      <c r="D182" s="361" t="s">
        <v>111</v>
      </c>
      <c r="E182" s="362" t="s">
        <v>117</v>
      </c>
      <c r="F182" s="589"/>
      <c r="G182" s="589"/>
      <c r="H182" s="589"/>
      <c r="I182" s="589"/>
      <c r="J182" s="589"/>
      <c r="K182" s="584" t="s">
        <v>88</v>
      </c>
      <c r="L182" s="586">
        <f>IFERROR(IFERROR(VLOOKUP($D182,$Z$8:$AD$9,2,FALSE),0)/IF($D182="Inhalation",IF($K182="Central Tendency",SUMIFS('Inhalation Exposure'!$N$4:$N$61,'Inhalation Exposure'!$B$4:$B$61,$B182,'Inhalation Exposure'!$D$4:$D$61,$C182,'Inhalation Exposure'!$E$4:$E$61,$E182),SUMIFS('Inhalation Exposure'!$M$4:$M$61,'Inhalation Exposure'!$B$4:$B$61,$B182,'Inhalation Exposure'!$D$4:$D$61,$C182,'Inhalation Exposure'!$E$4:$E$61,$E182)),IF($K182="Central Tendency",SUMIFS('Dermal Crosswalk'!$P$5:$P$32,'Dermal Crosswalk'!$A$5:$A$32,'Bridge Table'!$B182,'Dermal Crosswalk'!$C$5:$C$32,'Bridge Table'!$E182),SUMIFS('Dermal Crosswalk'!$K$5:$K$32,'Dermal Crosswalk'!$A$5:$A$32,'Bridge Table'!$B182,'Dermal Crosswalk'!$C$5:$C$32,'Bridge Table'!$E182))),"--")</f>
        <v>68.511312217194558</v>
      </c>
      <c r="M182" s="586">
        <f>IFERROR(IFERROR(VLOOKUP($D182,$Z$8:$AD$9,3,FALSE),0)/IF($D182="Inhalation",IF($K182="Central Tendency",SUMIFS('Inhalation Exposure'!$AB$4:$AB$61,'Inhalation Exposure'!$B$4:$B$61,$B182,'Inhalation Exposure'!$D$4:$D$61,$C182,'Inhalation Exposure'!$E$4:$E$61,$E182),SUMIFS('Inhalation Exposure'!$AA$4:$AA$61,'Inhalation Exposure'!$B$4:$B$61,$B182,'Inhalation Exposure'!$D$4:$D$61,$C182,'Inhalation Exposure'!$E$4:$E$61,$E182)),IF($K182="Central Tendency",SUMIFS('Dermal Crosswalk'!$S$5:$S$32,'Dermal Crosswalk'!$A$5:$A$32,'Bridge Table'!$B182,'Dermal Crosswalk'!$C$5:$C$32,'Bridge Table'!$E182),SUMIFS('Dermal Crosswalk'!$N$5:$N$32,'Dermal Crosswalk'!$A$5:$A$32,'Bridge Table'!$B182,'Dermal Crosswalk'!$C$5:$C$32,'Bridge Table'!$E182))),"--")</f>
        <v>297.32579185520359</v>
      </c>
      <c r="N182" s="586">
        <f>IFERROR(IFERROR(VLOOKUP($D182,$Z$8:$AD$9,4,FALSE),0)/IF($D182="Inhalation",IF($K182="Central Tendency",SUMIFS('Inhalation Exposure'!$R$4:$R$61,'Inhalation Exposure'!$B$4:$B$61,$B182,'Inhalation Exposure'!$D$4:$D$61,$C182,'Inhalation Exposure'!$E$4:$E$61,$E182),SUMIFS('Inhalation Exposure'!$Q$4:$Q$61,'Inhalation Exposure'!$B$4:$B$61,$B182,'Inhalation Exposure'!$D$4:$D$61,$C182,'Inhalation Exposure'!$E$4:$E$61,$E182)),IF($K182="Central Tendency",SUMIFS('Dermal Crosswalk'!$Q$5:$Q$32,'Dermal Crosswalk'!$A$5:$A$32,'Bridge Table'!$B182,'Dermal Crosswalk'!$C$5:$C$32,'Bridge Table'!$E182),SUMIFS('Dermal Crosswalk'!$L$5:$L$32,'Dermal Crosswalk'!$A$5:$A$32,'Bridge Table'!$B182,'Dermal Crosswalk'!$C$5:$C$32,'Bridge Table'!$E182))),"--")</f>
        <v>3617.4638009049768</v>
      </c>
      <c r="O182" s="586">
        <f>IFERROR(IFERROR(VLOOKUP($D182,$Z$8:$AD$9,5,FALSE),0)*IF($D182="Inhalation",IF($K182="Central Tendency",SUMIFS('Inhalation Exposure'!$V$4:$V$61,'Inhalation Exposure'!$B$4:$B$61,$B182,'Inhalation Exposure'!$D$4:$D$61,$C182,'Inhalation Exposure'!$E$4:$E$61,$E182),SUMIFS('Inhalation Exposure'!$U$4:$U$61,'Inhalation Exposure'!$B$4:$B$61,$B182,'Inhalation Exposure'!$D$4:$D$61,$C182,'Inhalation Exposure'!$E$4:$E$61,$E182)),IF($K182="Central Tendency",SUMIFS('Dermal Crosswalk'!$R$5:$R$32,'Dermal Crosswalk'!$A$5:$A$32,'Bridge Table'!$B182,'Dermal Crosswalk'!$C$5:$C$32,'Bridge Table'!$E182),SUMIFS('Dermal Crosswalk'!$M$5:$M$32,'Dermal Crosswalk'!$A$5:$A$32,'Bridge Table'!$B182,'Dermal Crosswalk'!$C$5:$C$32,'Bridge Table'!$E182))),"--")</f>
        <v>9.5262945360792758E-6</v>
      </c>
      <c r="P182" s="363">
        <f>IFERROR(L182*U182,"Not Assessed")</f>
        <v>685.11312217194563</v>
      </c>
      <c r="Q182" s="363">
        <f>IFERROR(M182*V182,"Not Assessed")</f>
        <v>2973.2579185520358</v>
      </c>
      <c r="R182" s="363">
        <f>IFERROR(N182*W182,"Not Assessed")</f>
        <v>36174.63800904977</v>
      </c>
      <c r="S182" s="364">
        <f>IFERROR(O182/X182, "Not Assessed")</f>
        <v>9.5262945360792762E-7</v>
      </c>
      <c r="U182" s="378">
        <v>10</v>
      </c>
      <c r="V182" s="379">
        <v>10</v>
      </c>
      <c r="W182" s="379">
        <v>10</v>
      </c>
      <c r="X182" s="380">
        <v>10</v>
      </c>
    </row>
    <row r="183" spans="1:24" ht="15" thickBot="1" x14ac:dyDescent="0.35">
      <c r="A183" s="372"/>
      <c r="B183" s="360" t="s">
        <v>138</v>
      </c>
      <c r="C183" s="361" t="s">
        <v>25</v>
      </c>
      <c r="D183" s="361" t="s">
        <v>111</v>
      </c>
      <c r="E183" s="362" t="s">
        <v>117</v>
      </c>
      <c r="F183" s="589"/>
      <c r="G183" s="589"/>
      <c r="H183" s="589"/>
      <c r="I183" s="590"/>
      <c r="J183" s="590"/>
      <c r="K183" s="588"/>
      <c r="L183" s="587"/>
      <c r="M183" s="587"/>
      <c r="N183" s="587"/>
      <c r="O183" s="587"/>
      <c r="P183" s="373" t="str">
        <f>CONCATENATE("(APF ",U182,")")</f>
        <v>(APF 10)</v>
      </c>
      <c r="Q183" s="373" t="str">
        <f>CONCATENATE("(APF ",V182,")")</f>
        <v>(APF 10)</v>
      </c>
      <c r="R183" s="373" t="str">
        <f>CONCATENATE("(APF ",W182,")")</f>
        <v>(APF 10)</v>
      </c>
      <c r="S183" s="373" t="str">
        <f>CONCATENATE("(APF ",X182,")")</f>
        <v>(APF 10)</v>
      </c>
      <c r="U183" s="374" t="s">
        <v>116</v>
      </c>
      <c r="V183" s="375" t="s">
        <v>116</v>
      </c>
      <c r="W183" s="375" t="s">
        <v>116</v>
      </c>
      <c r="X183" s="376" t="s">
        <v>116</v>
      </c>
    </row>
    <row r="184" spans="1:24" ht="15" thickBot="1" x14ac:dyDescent="0.35">
      <c r="A184" s="372"/>
      <c r="B184" s="360" t="s">
        <v>138</v>
      </c>
      <c r="C184" s="361" t="s">
        <v>53</v>
      </c>
      <c r="D184" s="361" t="s">
        <v>111</v>
      </c>
      <c r="E184" s="362" t="s">
        <v>24</v>
      </c>
      <c r="F184" s="589"/>
      <c r="G184" s="589"/>
      <c r="H184" s="589"/>
      <c r="I184" s="589" t="s">
        <v>53</v>
      </c>
      <c r="J184" s="586" t="s">
        <v>115</v>
      </c>
      <c r="K184" s="584" t="s">
        <v>54</v>
      </c>
      <c r="L184" s="586" t="str">
        <f>IFERROR(IFERROR(VLOOKUP($D184,$Z$8:$AD$9,2,FALSE),0)/IF($D184="Inhalation",IF($K184="Central Tendency",SUMIFS('Inhalation Exposure'!$L$4:$L$60,'Inhalation Exposure'!$B$4:$B$60,$B184,'Inhalation Exposure'!$D$4:$D$60,$C184,'Inhalation Exposure'!$E$4:$E$60,$E184),SUMIFS('Inhalation Exposure'!$K$4:$K$60,'Inhalation Exposure'!$B$4:$B$60,$B184,'Inhalation Exposure'!$D$4:$D$60,$C184,'Inhalation Exposure'!$E$4:$E$60,$E184)),IF($K184="Central Tendency",SUMIFS('Dermal Crosswalk'!$P$5:$P$32,'Dermal Crosswalk'!$A$5:$A$32,'Bridge Table'!$B184,'Dermal Crosswalk'!$C$5:$C$32,'Bridge Table'!$E184),SUMIFS('Dermal Crosswalk'!$K$5:$K$32,'Dermal Crosswalk'!$A$5:$A$32,'Bridge Table'!$B184,'Dermal Crosswalk'!$C$5:$C$32,'Bridge Table'!$E184))),"--")</f>
        <v>--</v>
      </c>
      <c r="M184" s="586" t="str">
        <f>IFERROR(IFERROR(VLOOKUP($D184,$Z$8:$AD$9,3,FALSE),0)/IF($D184="Inhalation",IF($K184="Central Tendency",SUMIFS('Inhalation Exposure'!$AB$4:$AB$60,'Inhalation Exposure'!$B$4:$B$60,$B184,'Inhalation Exposure'!$D$4:$D$60,$C184,'Inhalation Exposure'!$E$4:$E$60,$E184),SUMIFS('Inhalation Exposure'!$AA$4:$AA$60,'Inhalation Exposure'!$B$4:$B$60,$B184,'Inhalation Exposure'!$D$4:$D$60,$C184,'Inhalation Exposure'!$E$4:$E$60,$E184)),IF($K184="Central Tendency",SUMIFS('Dermal Crosswalk'!$S$5:$S$32,'Dermal Crosswalk'!$A$5:$A$32,'Bridge Table'!$B184,'Dermal Crosswalk'!$C$5:$C$32,'Bridge Table'!$E184),SUMIFS('Dermal Crosswalk'!$N$5:$N$32,'Dermal Crosswalk'!$A$5:$A$32,'Bridge Table'!$B184,'Dermal Crosswalk'!$C$5:$C$32,'Bridge Table'!$E184))),"--")</f>
        <v>--</v>
      </c>
      <c r="N184" s="586" t="str">
        <f>IFERROR(IFERROR(VLOOKUP($D184,$Z$8:$AD$9,4,FALSE),0)/IF($D184="Inhalation",IF($K184="Central Tendency",SUMIFS('Inhalation Exposure'!$R$4:$R$60,'Inhalation Exposure'!$B$4:$B$60,$B184,'Inhalation Exposure'!$D$4:$D$60,$C184,'Inhalation Exposure'!$E$4:$E$60,$E184),SUMIFS('Inhalation Exposure'!$Q$4:$Q$60,'Inhalation Exposure'!$B$4:$B$60,$B184,'Inhalation Exposure'!$D$4:$D$60,$C184,'Inhalation Exposure'!$E$4:$E$60,$E184)),IF($K184="Central Tendency",SUMIFS('Dermal Crosswalk'!$Q$5:$Q$32,'Dermal Crosswalk'!$A$5:$A$32,'Bridge Table'!$B184,'Dermal Crosswalk'!$C$5:$C$32,'Bridge Table'!$E184),SUMIFS('Dermal Crosswalk'!$L$5:$L$32,'Dermal Crosswalk'!$A$5:$A$32,'Bridge Table'!$B184,'Dermal Crosswalk'!$C$5:$C$32,'Bridge Table'!$E184))),"--")</f>
        <v>--</v>
      </c>
      <c r="O184" s="586" t="str">
        <f>IF(IFERROR(VLOOKUP($D184,$Z$8:$AD$9,5,FALSE),0)*IF($D184="Inhalation",IF($K184="Central Tendency",SUMIFS('Inhalation Exposure'!$V$4:$V$60,'Inhalation Exposure'!$B$4:$B$60,$B184,'Inhalation Exposure'!$D$4:$D$60,$C184,'Inhalation Exposure'!$E$4:$E$60,$E184),SUMIFS('Inhalation Exposure'!$U$4:$U$60,'Inhalation Exposure'!$B$4:$B$60,$B184,'Inhalation Exposure'!$D$4:$D$60,$C184,'Inhalation Exposure'!$E$4:$E$60,$E184)),IF($K184="Central Tendency",SUMIFS('Dermal Crosswalk'!$R$5:$R$32,'Dermal Crosswalk'!$A$5:$A$32,'Bridge Table'!$B184,'Dermal Crosswalk'!$C$5:$C$32,'Bridge Table'!$E184),SUMIFS('Dermal Crosswalk'!$M$5:$M$32,'Dermal Crosswalk'!$A$5:$A$32,'Bridge Table'!$B184,'Dermal Crosswalk'!$C$5:$C$32,'Bridge Table'!$E184)))=0,"--",IFERROR(VLOOKUP($D184,$Z$8:$AD$9,5,FALSE),0)*IF($D184="Inhalation",IF($K184="Central Tendency",SUMIFS('Inhalation Exposure'!$V$4:$V$60,'Inhalation Exposure'!$B$4:$B$60,$B184,'Inhalation Exposure'!$D$4:$D$60,$C184,'Inhalation Exposure'!$E$4:$E$60,$E184),SUMIFS('Inhalation Exposure'!$U$4:$U$60,'Inhalation Exposure'!$B$4:$B$60,$B184,'Inhalation Exposure'!$D$4:$D$60,$C184,'Inhalation Exposure'!$E$4:$E$60,$E184)),IF($K184="Central Tendency",SUMIFS('Dermal Crosswalk'!$R$5:$R$32,'Dermal Crosswalk'!$A$5:$A$32,'Bridge Table'!$B184,'Dermal Crosswalk'!$C$5:$C$32,'Bridge Table'!$E184),SUMIFS('Dermal Crosswalk'!$M$5:$M$32,'Dermal Crosswalk'!$A$5:$A$32,'Bridge Table'!$B184,'Dermal Crosswalk'!$C$5:$C$32,'Bridge Table'!$E184))))</f>
        <v>--</v>
      </c>
      <c r="P184" s="610" t="s">
        <v>118</v>
      </c>
      <c r="Q184" s="610" t="s">
        <v>118</v>
      </c>
      <c r="R184" s="610" t="s">
        <v>118</v>
      </c>
      <c r="S184" s="610" t="s">
        <v>118</v>
      </c>
      <c r="U184" s="612" t="s">
        <v>118</v>
      </c>
      <c r="V184" s="614" t="s">
        <v>118</v>
      </c>
      <c r="W184" s="614" t="s">
        <v>118</v>
      </c>
      <c r="X184" s="616" t="s">
        <v>118</v>
      </c>
    </row>
    <row r="185" spans="1:24" ht="15" thickBot="1" x14ac:dyDescent="0.35">
      <c r="A185" s="372"/>
      <c r="B185" s="360" t="s">
        <v>138</v>
      </c>
      <c r="C185" s="361" t="s">
        <v>53</v>
      </c>
      <c r="D185" s="361" t="s">
        <v>111</v>
      </c>
      <c r="E185" s="362" t="s">
        <v>24</v>
      </c>
      <c r="F185" s="589"/>
      <c r="G185" s="589"/>
      <c r="H185" s="589"/>
      <c r="I185" s="589"/>
      <c r="J185" s="589"/>
      <c r="K185" s="585"/>
      <c r="L185" s="587"/>
      <c r="M185" s="587"/>
      <c r="N185" s="587"/>
      <c r="O185" s="587"/>
      <c r="P185" s="611"/>
      <c r="Q185" s="611"/>
      <c r="R185" s="611"/>
      <c r="S185" s="611"/>
      <c r="U185" s="613"/>
      <c r="V185" s="615"/>
      <c r="W185" s="615"/>
      <c r="X185" s="617"/>
    </row>
    <row r="186" spans="1:24" ht="15" thickBot="1" x14ac:dyDescent="0.35">
      <c r="A186" s="372"/>
      <c r="B186" s="360" t="s">
        <v>138</v>
      </c>
      <c r="C186" s="361" t="s">
        <v>53</v>
      </c>
      <c r="D186" s="361" t="s">
        <v>111</v>
      </c>
      <c r="E186" s="362" t="s">
        <v>24</v>
      </c>
      <c r="F186" s="589"/>
      <c r="G186" s="589"/>
      <c r="H186" s="589"/>
      <c r="I186" s="589"/>
      <c r="J186" s="589"/>
      <c r="K186" s="584" t="s">
        <v>88</v>
      </c>
      <c r="L186" s="586" t="str">
        <f>IFERROR(IFERROR(VLOOKUP($D186,$Z$8:$AD$9,2,FALSE),0)/IF($D186="Inhalation",IF($K186="Central Tendency",SUMIFS('Inhalation Exposure'!$L$4:$L$60,'Inhalation Exposure'!$B$4:$B$60,$B186,'Inhalation Exposure'!$D$4:$D$60,$C186,'Inhalation Exposure'!$E$4:$E$60,$E186),SUMIFS('Inhalation Exposure'!$K$4:$K$60,'Inhalation Exposure'!$B$4:$B$60,$B186,'Inhalation Exposure'!$D$4:$D$60,$C186,'Inhalation Exposure'!$E$4:$E$60,$E186)),IF($K186="Central Tendency",SUMIFS('Dermal Crosswalk'!$P$5:$P$32,'Dermal Crosswalk'!$A$5:$A$32,'Bridge Table'!$B186,'Dermal Crosswalk'!$C$5:$C$32,'Bridge Table'!$E186),SUMIFS('Dermal Crosswalk'!$K$5:$K$32,'Dermal Crosswalk'!$A$5:$A$32,'Bridge Table'!$B186,'Dermal Crosswalk'!$C$5:$C$32,'Bridge Table'!$E186))),"--")</f>
        <v>--</v>
      </c>
      <c r="M186" s="586" t="str">
        <f>IFERROR(IFERROR(VLOOKUP($D186,$Z$8:$AD$9,3,FALSE),0)/IF($D186="Inhalation",IF($K186="Central Tendency",SUMIFS('Inhalation Exposure'!$AB$4:$AB$60,'Inhalation Exposure'!$B$4:$B$60,$B186,'Inhalation Exposure'!$D$4:$D$60,$C186,'Inhalation Exposure'!$E$4:$E$60,$E186),SUMIFS('Inhalation Exposure'!$AA$4:$AA$60,'Inhalation Exposure'!$B$4:$B$60,$B186,'Inhalation Exposure'!$D$4:$D$60,$C186,'Inhalation Exposure'!$E$4:$E$60,$E186)),IF($K186="Central Tendency",SUMIFS('Dermal Crosswalk'!$S$5:$S$32,'Dermal Crosswalk'!$A$5:$A$32,'Bridge Table'!$B186,'Dermal Crosswalk'!$C$5:$C$32,'Bridge Table'!$E186),SUMIFS('Dermal Crosswalk'!$N$5:$N$32,'Dermal Crosswalk'!$A$5:$A$32,'Bridge Table'!$B186,'Dermal Crosswalk'!$C$5:$C$32,'Bridge Table'!$E186))),"--")</f>
        <v>--</v>
      </c>
      <c r="N186" s="586" t="str">
        <f>IFERROR(IFERROR(VLOOKUP($D186,$Z$8:$AD$9,4,FALSE),0)/IF($D186="Inhalation",IF($K186="Central Tendency",SUMIFS('Inhalation Exposure'!$R$4:$R$60,'Inhalation Exposure'!$B$4:$B$60,$B186,'Inhalation Exposure'!$D$4:$D$60,$C186,'Inhalation Exposure'!$E$4:$E$60,$E186),SUMIFS('Inhalation Exposure'!$Q$4:$Q$60,'Inhalation Exposure'!$B$4:$B$60,$B186,'Inhalation Exposure'!$D$4:$D$60,$C186,'Inhalation Exposure'!$E$4:$E$60,$E186)),IF($K186="Central Tendency",SUMIFS('Dermal Crosswalk'!$Q$5:$Q$32,'Dermal Crosswalk'!$A$5:$A$32,'Bridge Table'!$B186,'Dermal Crosswalk'!$C$5:$C$32,'Bridge Table'!$E186),SUMIFS('Dermal Crosswalk'!$L$5:$L$32,'Dermal Crosswalk'!$A$5:$A$32,'Bridge Table'!$B186,'Dermal Crosswalk'!$C$5:$C$32,'Bridge Table'!$E186))),"--")</f>
        <v>--</v>
      </c>
      <c r="O186" s="586" t="str">
        <f>IF(IFERROR(VLOOKUP($D186,$Z$8:$AD$9,5,FALSE),0)*IF($D186="Inhalation",IF($K186="Central Tendency",SUMIFS('Inhalation Exposure'!$V$4:$V$60,'Inhalation Exposure'!$B$4:$B$60,$B186,'Inhalation Exposure'!$D$4:$D$60,$C186,'Inhalation Exposure'!$E$4:$E$60,$E186),SUMIFS('Inhalation Exposure'!$U$4:$U$60,'Inhalation Exposure'!$B$4:$B$60,$B186,'Inhalation Exposure'!$D$4:$D$60,$C186,'Inhalation Exposure'!$E$4:$E$60,$E186)),IF($K186="Central Tendency",SUMIFS('Dermal Crosswalk'!$R$5:$R$32,'Dermal Crosswalk'!$A$5:$A$32,'Bridge Table'!$B186,'Dermal Crosswalk'!$C$5:$C$32,'Bridge Table'!$E186),SUMIFS('Dermal Crosswalk'!$M$5:$M$32,'Dermal Crosswalk'!$A$5:$A$32,'Bridge Table'!$B186,'Dermal Crosswalk'!$C$5:$C$32,'Bridge Table'!$E186)))=0,"--",IFERROR(VLOOKUP($D186,$Z$8:$AD$9,5,FALSE),0)*IF($D186="Inhalation",IF($K186="Central Tendency",SUMIFS('Inhalation Exposure'!$V$4:$V$60,'Inhalation Exposure'!$B$4:$B$60,$B186,'Inhalation Exposure'!$D$4:$D$60,$C186,'Inhalation Exposure'!$E$4:$E$60,$E186),SUMIFS('Inhalation Exposure'!$U$4:$U$60,'Inhalation Exposure'!$B$4:$B$60,$B186,'Inhalation Exposure'!$D$4:$D$60,$C186,'Inhalation Exposure'!$E$4:$E$60,$E186)),IF($K186="Central Tendency",SUMIFS('Dermal Crosswalk'!$R$5:$R$32,'Dermal Crosswalk'!$A$5:$A$32,'Bridge Table'!$B186,'Dermal Crosswalk'!$C$5:$C$32,'Bridge Table'!$E186),SUMIFS('Dermal Crosswalk'!$M$5:$M$32,'Dermal Crosswalk'!$A$5:$A$32,'Bridge Table'!$B186,'Dermal Crosswalk'!$C$5:$C$32,'Bridge Table'!$E186))))</f>
        <v>--</v>
      </c>
      <c r="P186" s="610" t="s">
        <v>118</v>
      </c>
      <c r="Q186" s="610" t="s">
        <v>118</v>
      </c>
      <c r="R186" s="610" t="s">
        <v>118</v>
      </c>
      <c r="S186" s="610" t="s">
        <v>118</v>
      </c>
      <c r="U186" s="612" t="s">
        <v>118</v>
      </c>
      <c r="V186" s="614" t="s">
        <v>118</v>
      </c>
      <c r="W186" s="614" t="s">
        <v>118</v>
      </c>
      <c r="X186" s="616" t="s">
        <v>118</v>
      </c>
    </row>
    <row r="187" spans="1:24" ht="15" thickBot="1" x14ac:dyDescent="0.35">
      <c r="A187" s="372"/>
      <c r="B187" s="360" t="s">
        <v>138</v>
      </c>
      <c r="C187" s="361" t="s">
        <v>53</v>
      </c>
      <c r="D187" s="361" t="s">
        <v>111</v>
      </c>
      <c r="E187" s="362" t="s">
        <v>24</v>
      </c>
      <c r="F187" s="589"/>
      <c r="G187" s="589"/>
      <c r="H187" s="589"/>
      <c r="I187" s="590"/>
      <c r="J187" s="590"/>
      <c r="K187" s="588"/>
      <c r="L187" s="587"/>
      <c r="M187" s="587"/>
      <c r="N187" s="587"/>
      <c r="O187" s="587"/>
      <c r="P187" s="611"/>
      <c r="Q187" s="611"/>
      <c r="R187" s="611"/>
      <c r="S187" s="611"/>
      <c r="U187" s="613"/>
      <c r="V187" s="615"/>
      <c r="W187" s="615"/>
      <c r="X187" s="617"/>
    </row>
    <row r="188" spans="1:24" ht="15" thickBot="1" x14ac:dyDescent="0.35">
      <c r="A188" s="372"/>
      <c r="B188" s="360" t="s">
        <v>138</v>
      </c>
      <c r="C188" s="361" t="s">
        <v>53</v>
      </c>
      <c r="D188" s="361" t="s">
        <v>111</v>
      </c>
      <c r="E188" s="362" t="s">
        <v>117</v>
      </c>
      <c r="F188" s="589"/>
      <c r="G188" s="589"/>
      <c r="H188" s="589"/>
      <c r="I188" s="589" t="s">
        <v>53</v>
      </c>
      <c r="J188" s="586" t="s">
        <v>115</v>
      </c>
      <c r="K188" s="584" t="s">
        <v>54</v>
      </c>
      <c r="L188" s="586" t="str">
        <f>IFERROR(IFERROR(VLOOKUP($D188,$Z$8:$AD$9,2,FALSE),0)/IF($D188="Inhalation",IF($K188="Central Tendency",SUMIFS('Inhalation Exposure'!$L$4:$L$60,'Inhalation Exposure'!$B$4:$B$60,$B188,'Inhalation Exposure'!$D$4:$D$60,$C188,'Inhalation Exposure'!$E$4:$E$60,$E188),SUMIFS('Inhalation Exposure'!$K$4:$K$60,'Inhalation Exposure'!$B$4:$B$60,$B188,'Inhalation Exposure'!$D$4:$D$60,$C188,'Inhalation Exposure'!$E$4:$E$60,$E188)),IF($K188="Central Tendency",SUMIFS('Dermal Crosswalk'!$P$5:$P$32,'Dermal Crosswalk'!$A$5:$A$32,'Bridge Table'!$B188,'Dermal Crosswalk'!$C$5:$C$32,'Bridge Table'!$E188),SUMIFS('Dermal Crosswalk'!$K$5:$K$32,'Dermal Crosswalk'!$A$5:$A$32,'Bridge Table'!$B188,'Dermal Crosswalk'!$C$5:$C$32,'Bridge Table'!$E188))),"--")</f>
        <v>--</v>
      </c>
      <c r="M188" s="586" t="str">
        <f>IFERROR(IFERROR(VLOOKUP($D188,$Z$8:$AD$9,3,FALSE),0)/IF($D188="Inhalation",IF($K188="Central Tendency",SUMIFS('Inhalation Exposure'!$AB$4:$AB$60,'Inhalation Exposure'!$B$4:$B$60,$B188,'Inhalation Exposure'!$D$4:$D$60,$C188,'Inhalation Exposure'!$E$4:$E$60,$E188),SUMIFS('Inhalation Exposure'!$AA$4:$AA$60,'Inhalation Exposure'!$B$4:$B$60,$B188,'Inhalation Exposure'!$D$4:$D$60,$C188,'Inhalation Exposure'!$E$4:$E$60,$E188)),IF($K188="Central Tendency",SUMIFS('Dermal Crosswalk'!$S$5:$S$32,'Dermal Crosswalk'!$A$5:$A$32,'Bridge Table'!$B188,'Dermal Crosswalk'!$C$5:$C$32,'Bridge Table'!$E188),SUMIFS('Dermal Crosswalk'!$N$5:$N$32,'Dermal Crosswalk'!$A$5:$A$32,'Bridge Table'!$B188,'Dermal Crosswalk'!$C$5:$C$32,'Bridge Table'!$E188))),"--")</f>
        <v>--</v>
      </c>
      <c r="N188" s="586" t="str">
        <f>IFERROR(IFERROR(VLOOKUP($D188,$Z$8:$AD$9,4,FALSE),0)/IF($D188="Inhalation",IF($K188="Central Tendency",SUMIFS('Inhalation Exposure'!$R$4:$R$60,'Inhalation Exposure'!$B$4:$B$60,$B188,'Inhalation Exposure'!$D$4:$D$60,$C188,'Inhalation Exposure'!$E$4:$E$60,$E188),SUMIFS('Inhalation Exposure'!$Q$4:$Q$60,'Inhalation Exposure'!$B$4:$B$60,$B188,'Inhalation Exposure'!$D$4:$D$60,$C188,'Inhalation Exposure'!$E$4:$E$60,$E188)),IF($K188="Central Tendency",SUMIFS('Dermal Crosswalk'!$Q$5:$Q$32,'Dermal Crosswalk'!$A$5:$A$32,'Bridge Table'!$B188,'Dermal Crosswalk'!$C$5:$C$32,'Bridge Table'!$E188),SUMIFS('Dermal Crosswalk'!$L$5:$L$32,'Dermal Crosswalk'!$A$5:$A$32,'Bridge Table'!$B188,'Dermal Crosswalk'!$C$5:$C$32,'Bridge Table'!$E188))),"--")</f>
        <v>--</v>
      </c>
      <c r="O188" s="586" t="str">
        <f>IF(IFERROR(VLOOKUP($D188,$Z$8:$AD$9,5,FALSE),0)*IF($D188="Inhalation",IF($K188="Central Tendency",SUMIFS('Inhalation Exposure'!$V$4:$V$60,'Inhalation Exposure'!$B$4:$B$60,$B188,'Inhalation Exposure'!$D$4:$D$60,$C188,'Inhalation Exposure'!$E$4:$E$60,$E188),SUMIFS('Inhalation Exposure'!$U$4:$U$60,'Inhalation Exposure'!$B$4:$B$60,$B188,'Inhalation Exposure'!$D$4:$D$60,$C188,'Inhalation Exposure'!$E$4:$E$60,$E188)),IF($K188="Central Tendency",SUMIFS('Dermal Crosswalk'!$R$5:$R$32,'Dermal Crosswalk'!$A$5:$A$32,'Bridge Table'!$B188,'Dermal Crosswalk'!$C$5:$C$32,'Bridge Table'!$E188),SUMIFS('Dermal Crosswalk'!$M$5:$M$32,'Dermal Crosswalk'!$A$5:$A$32,'Bridge Table'!$B188,'Dermal Crosswalk'!$C$5:$C$32,'Bridge Table'!$E188)))=0,"--",IFERROR(VLOOKUP($D188,$Z$8:$AD$9,5,FALSE),0)*IF($D188="Inhalation",IF($K188="Central Tendency",SUMIFS('Inhalation Exposure'!$V$4:$V$60,'Inhalation Exposure'!$B$4:$B$60,$B188,'Inhalation Exposure'!$D$4:$D$60,$C188,'Inhalation Exposure'!$E$4:$E$60,$E188),SUMIFS('Inhalation Exposure'!$U$4:$U$60,'Inhalation Exposure'!$B$4:$B$60,$B188,'Inhalation Exposure'!$D$4:$D$60,$C188,'Inhalation Exposure'!$E$4:$E$60,$E188)),IF($K188="Central Tendency",SUMIFS('Dermal Crosswalk'!$R$5:$R$32,'Dermal Crosswalk'!$A$5:$A$32,'Bridge Table'!$B188,'Dermal Crosswalk'!$C$5:$C$32,'Bridge Table'!$E188),SUMIFS('Dermal Crosswalk'!$M$5:$M$32,'Dermal Crosswalk'!$A$5:$A$32,'Bridge Table'!$B188,'Dermal Crosswalk'!$C$5:$C$32,'Bridge Table'!$E188))))</f>
        <v>--</v>
      </c>
      <c r="P188" s="610" t="s">
        <v>118</v>
      </c>
      <c r="Q188" s="610" t="s">
        <v>118</v>
      </c>
      <c r="R188" s="610" t="s">
        <v>118</v>
      </c>
      <c r="S188" s="610" t="s">
        <v>118</v>
      </c>
      <c r="U188" s="612" t="s">
        <v>118</v>
      </c>
      <c r="V188" s="614" t="s">
        <v>118</v>
      </c>
      <c r="W188" s="614" t="s">
        <v>118</v>
      </c>
      <c r="X188" s="616" t="s">
        <v>118</v>
      </c>
    </row>
    <row r="189" spans="1:24" ht="15" thickBot="1" x14ac:dyDescent="0.35">
      <c r="A189" s="372"/>
      <c r="B189" s="360" t="s">
        <v>138</v>
      </c>
      <c r="C189" s="361" t="s">
        <v>53</v>
      </c>
      <c r="D189" s="361" t="s">
        <v>111</v>
      </c>
      <c r="E189" s="362" t="s">
        <v>117</v>
      </c>
      <c r="F189" s="589"/>
      <c r="G189" s="589"/>
      <c r="H189" s="589"/>
      <c r="I189" s="589"/>
      <c r="J189" s="589"/>
      <c r="K189" s="585"/>
      <c r="L189" s="587"/>
      <c r="M189" s="587"/>
      <c r="N189" s="587"/>
      <c r="O189" s="587"/>
      <c r="P189" s="611"/>
      <c r="Q189" s="611"/>
      <c r="R189" s="611"/>
      <c r="S189" s="611"/>
      <c r="U189" s="613"/>
      <c r="V189" s="615"/>
      <c r="W189" s="615"/>
      <c r="X189" s="617"/>
    </row>
    <row r="190" spans="1:24" ht="15" thickBot="1" x14ac:dyDescent="0.35">
      <c r="A190" s="372"/>
      <c r="B190" s="360" t="s">
        <v>138</v>
      </c>
      <c r="C190" s="361" t="s">
        <v>53</v>
      </c>
      <c r="D190" s="361" t="s">
        <v>111</v>
      </c>
      <c r="E190" s="362" t="s">
        <v>117</v>
      </c>
      <c r="F190" s="589"/>
      <c r="G190" s="589"/>
      <c r="H190" s="589"/>
      <c r="I190" s="589"/>
      <c r="J190" s="589"/>
      <c r="K190" s="584" t="s">
        <v>88</v>
      </c>
      <c r="L190" s="586" t="str">
        <f>IFERROR(IFERROR(VLOOKUP($D190,$Z$8:$AD$9,2,FALSE),0)/IF($D190="Inhalation",IF($K190="Central Tendency",SUMIFS('Inhalation Exposure'!$L$4:$L$60,'Inhalation Exposure'!$B$4:$B$60,$B190,'Inhalation Exposure'!$D$4:$D$60,$C190,'Inhalation Exposure'!$E$4:$E$60,$E190),SUMIFS('Inhalation Exposure'!$K$4:$K$60,'Inhalation Exposure'!$B$4:$B$60,$B190,'Inhalation Exposure'!$D$4:$D$60,$C190,'Inhalation Exposure'!$E$4:$E$60,$E190)),IF($K190="Central Tendency",SUMIFS('Dermal Crosswalk'!$P$5:$P$32,'Dermal Crosswalk'!$A$5:$A$32,'Bridge Table'!$B190,'Dermal Crosswalk'!$C$5:$C$32,'Bridge Table'!$E190),SUMIFS('Dermal Crosswalk'!$K$5:$K$32,'Dermal Crosswalk'!$A$5:$A$32,'Bridge Table'!$B190,'Dermal Crosswalk'!$C$5:$C$32,'Bridge Table'!$E190))),"--")</f>
        <v>--</v>
      </c>
      <c r="M190" s="586" t="str">
        <f>IFERROR(IFERROR(VLOOKUP($D190,$Z$8:$AD$9,3,FALSE),0)/IF($D190="Inhalation",IF($K190="Central Tendency",SUMIFS('Inhalation Exposure'!$AB$4:$AB$60,'Inhalation Exposure'!$B$4:$B$60,$B190,'Inhalation Exposure'!$D$4:$D$60,$C190,'Inhalation Exposure'!$E$4:$E$60,$E190),SUMIFS('Inhalation Exposure'!$AA$4:$AA$60,'Inhalation Exposure'!$B$4:$B$60,$B190,'Inhalation Exposure'!$D$4:$D$60,$C190,'Inhalation Exposure'!$E$4:$E$60,$E190)),IF($K190="Central Tendency",SUMIFS('Dermal Crosswalk'!$S$5:$S$32,'Dermal Crosswalk'!$A$5:$A$32,'Bridge Table'!$B190,'Dermal Crosswalk'!$C$5:$C$32,'Bridge Table'!$E190),SUMIFS('Dermal Crosswalk'!$N$5:$N$32,'Dermal Crosswalk'!$A$5:$A$32,'Bridge Table'!$B190,'Dermal Crosswalk'!$C$5:$C$32,'Bridge Table'!$E190))),"--")</f>
        <v>--</v>
      </c>
      <c r="N190" s="586" t="str">
        <f>IFERROR(IFERROR(VLOOKUP($D190,$Z$8:$AD$9,4,FALSE),0)/IF($D190="Inhalation",IF($K190="Central Tendency",SUMIFS('Inhalation Exposure'!$R$4:$R$60,'Inhalation Exposure'!$B$4:$B$60,$B190,'Inhalation Exposure'!$D$4:$D$60,$C190,'Inhalation Exposure'!$E$4:$E$60,$E190),SUMIFS('Inhalation Exposure'!$Q$4:$Q$60,'Inhalation Exposure'!$B$4:$B$60,$B190,'Inhalation Exposure'!$D$4:$D$60,$C190,'Inhalation Exposure'!$E$4:$E$60,$E190)),IF($K190="Central Tendency",SUMIFS('Dermal Crosswalk'!$Q$5:$Q$32,'Dermal Crosswalk'!$A$5:$A$32,'Bridge Table'!$B190,'Dermal Crosswalk'!$C$5:$C$32,'Bridge Table'!$E190),SUMIFS('Dermal Crosswalk'!$L$5:$L$32,'Dermal Crosswalk'!$A$5:$A$32,'Bridge Table'!$B190,'Dermal Crosswalk'!$C$5:$C$32,'Bridge Table'!$E190))),"--")</f>
        <v>--</v>
      </c>
      <c r="O190" s="586" t="str">
        <f>IF(IFERROR(VLOOKUP($D190,$Z$8:$AD$9,5,FALSE),0)*IF($D190="Inhalation",IF($K190="Central Tendency",SUMIFS('Inhalation Exposure'!$V$4:$V$60,'Inhalation Exposure'!$B$4:$B$60,$B190,'Inhalation Exposure'!$D$4:$D$60,$C190,'Inhalation Exposure'!$E$4:$E$60,$E190),SUMIFS('Inhalation Exposure'!$U$4:$U$60,'Inhalation Exposure'!$B$4:$B$60,$B190,'Inhalation Exposure'!$D$4:$D$60,$C190,'Inhalation Exposure'!$E$4:$E$60,$E190)),IF($K190="Central Tendency",SUMIFS('Dermal Crosswalk'!$R$5:$R$32,'Dermal Crosswalk'!$A$5:$A$32,'Bridge Table'!$B190,'Dermal Crosswalk'!$C$5:$C$32,'Bridge Table'!$E190),SUMIFS('Dermal Crosswalk'!$M$5:$M$32,'Dermal Crosswalk'!$A$5:$A$32,'Bridge Table'!$B190,'Dermal Crosswalk'!$C$5:$C$32,'Bridge Table'!$E190)))=0,"--",IFERROR(VLOOKUP($D190,$Z$8:$AD$9,5,FALSE),0)*IF($D190="Inhalation",IF($K190="Central Tendency",SUMIFS('Inhalation Exposure'!$V$4:$V$60,'Inhalation Exposure'!$B$4:$B$60,$B190,'Inhalation Exposure'!$D$4:$D$60,$C190,'Inhalation Exposure'!$E$4:$E$60,$E190),SUMIFS('Inhalation Exposure'!$U$4:$U$60,'Inhalation Exposure'!$B$4:$B$60,$B190,'Inhalation Exposure'!$D$4:$D$60,$C190,'Inhalation Exposure'!$E$4:$E$60,$E190)),IF($K190="Central Tendency",SUMIFS('Dermal Crosswalk'!$R$5:$R$32,'Dermal Crosswalk'!$A$5:$A$32,'Bridge Table'!$B190,'Dermal Crosswalk'!$C$5:$C$32,'Bridge Table'!$E190),SUMIFS('Dermal Crosswalk'!$M$5:$M$32,'Dermal Crosswalk'!$A$5:$A$32,'Bridge Table'!$B190,'Dermal Crosswalk'!$C$5:$C$32,'Bridge Table'!$E190))))</f>
        <v>--</v>
      </c>
      <c r="P190" s="610" t="s">
        <v>118</v>
      </c>
      <c r="Q190" s="610" t="s">
        <v>118</v>
      </c>
      <c r="R190" s="610" t="s">
        <v>118</v>
      </c>
      <c r="S190" s="610" t="s">
        <v>118</v>
      </c>
      <c r="U190" s="612" t="s">
        <v>118</v>
      </c>
      <c r="V190" s="614" t="s">
        <v>118</v>
      </c>
      <c r="W190" s="614" t="s">
        <v>118</v>
      </c>
      <c r="X190" s="616" t="s">
        <v>118</v>
      </c>
    </row>
    <row r="191" spans="1:24" ht="15" thickBot="1" x14ac:dyDescent="0.35">
      <c r="A191" s="372"/>
      <c r="B191" s="360" t="s">
        <v>138</v>
      </c>
      <c r="C191" s="361" t="s">
        <v>53</v>
      </c>
      <c r="D191" s="361" t="s">
        <v>111</v>
      </c>
      <c r="E191" s="362" t="s">
        <v>117</v>
      </c>
      <c r="F191" s="589"/>
      <c r="G191" s="589"/>
      <c r="H191" s="589"/>
      <c r="I191" s="590"/>
      <c r="J191" s="590"/>
      <c r="K191" s="588"/>
      <c r="L191" s="587"/>
      <c r="M191" s="587"/>
      <c r="N191" s="587"/>
      <c r="O191" s="587"/>
      <c r="P191" s="611"/>
      <c r="Q191" s="611"/>
      <c r="R191" s="611"/>
      <c r="S191" s="611"/>
      <c r="U191" s="613"/>
      <c r="V191" s="615"/>
      <c r="W191" s="615"/>
      <c r="X191" s="617"/>
    </row>
    <row r="192" spans="1:24" ht="15.6" customHeight="1" thickTop="1" thickBot="1" x14ac:dyDescent="0.35">
      <c r="A192" s="372"/>
      <c r="B192" s="360" t="s">
        <v>138</v>
      </c>
      <c r="C192" s="361" t="s">
        <v>25</v>
      </c>
      <c r="D192" s="361" t="s">
        <v>16</v>
      </c>
      <c r="E192" s="362" t="s">
        <v>24</v>
      </c>
      <c r="F192" s="589"/>
      <c r="G192" s="589"/>
      <c r="H192" s="589"/>
      <c r="I192" s="589" t="s">
        <v>25</v>
      </c>
      <c r="J192" s="609" t="s">
        <v>16</v>
      </c>
      <c r="K192" s="607" t="s">
        <v>54</v>
      </c>
      <c r="L192" s="586">
        <f>IFERROR(IFERROR(VLOOKUP($D192,$Z$8:$AD$9,2,FALSE),0)/IF($D192="Inhalation",IF($K192="Central Tendency",SUMIFS('Inhalation Exposure'!$N$4:$N$61,'Inhalation Exposure'!$B$4:$B$61,$B192,'Inhalation Exposure'!$D$4:$D$61,$C192,'Inhalation Exposure'!$E$4:$E$61,$E192),SUMIFS('Inhalation Exposure'!$M$4:$M$61,'Inhalation Exposure'!$B$4:$B$61,$B192,'Inhalation Exposure'!$D$4:$D$61,$C192,'Inhalation Exposure'!$E$4:$E$61,$E192)),IF($K192="Central Tendency",SUMIFS('Dermal Crosswalk'!$P$5:$P$32,'Dermal Crosswalk'!$A$5:$A$32,'Bridge Table'!$B192,'Dermal Crosswalk'!$C$5:$C$32,'Bridge Table'!$E192),SUMIFS('Dermal Crosswalk'!$K$5:$K$32,'Dermal Crosswalk'!$A$5:$A$32,'Bridge Table'!$B192,'Dermal Crosswalk'!$C$5:$C$32,'Bridge Table'!$E192))),"--")</f>
        <v>31.953454692846993</v>
      </c>
      <c r="M192" s="586">
        <f>IFERROR(IFERROR(VLOOKUP($D192,$Z$8:$AD$9,3,FALSE),0)/IF($D192="Inhalation",IF($K192="Central Tendency",SUMIFS('Inhalation Exposure'!$AB$4:$AB$61,'Inhalation Exposure'!$B$4:$B$61,$B192,'Inhalation Exposure'!$D$4:$D$61,$C192,'Inhalation Exposure'!$E$4:$E$61,$E192),SUMIFS('Inhalation Exposure'!$AA$4:$AA$61,'Inhalation Exposure'!$B$4:$B$61,$B192,'Inhalation Exposure'!$D$4:$D$61,$C192,'Inhalation Exposure'!$E$4:$E$61,$E192)),IF($K192="Central Tendency",SUMIFS('Dermal Crosswalk'!$S$5:$S$32,'Dermal Crosswalk'!$A$5:$A$32,'Bridge Table'!$B192,'Dermal Crosswalk'!$C$5:$C$32,'Bridge Table'!$E192),SUMIFS('Dermal Crosswalk'!$N$5:$N$32,'Dermal Crosswalk'!$A$5:$A$32,'Bridge Table'!$B192,'Dermal Crosswalk'!$C$5:$C$32,'Bridge Table'!$E192))),"--")</f>
        <v>138.31860144525203</v>
      </c>
      <c r="N192" s="586">
        <f>IFERROR(IFERROR(VLOOKUP($D192,$Z$8:$AD$9,4,FALSE),0)/IF($D192="Inhalation",IF($K192="Central Tendency",SUMIFS('Inhalation Exposure'!$R$4:$R$61,'Inhalation Exposure'!$B$4:$B$61,$B192,'Inhalation Exposure'!$D$4:$D$61,$C192,'Inhalation Exposure'!$E$4:$E$61,$E192),SUMIFS('Inhalation Exposure'!$Q$4:$Q$61,'Inhalation Exposure'!$B$4:$B$61,$B192,'Inhalation Exposure'!$D$4:$D$61,$C192,'Inhalation Exposure'!$E$4:$E$61,$E192)),IF($K192="Central Tendency",SUMIFS('Dermal Crosswalk'!$Q$5:$Q$32,'Dermal Crosswalk'!$A$5:$A$32,'Bridge Table'!$B192,'Dermal Crosswalk'!$C$5:$C$32,'Bridge Table'!$E192),SUMIFS('Dermal Crosswalk'!$L$5:$L$32,'Dermal Crosswalk'!$A$5:$A$32,'Bridge Table'!$B192,'Dermal Crosswalk'!$C$5:$C$32,'Bridge Table'!$E192))),"--")</f>
        <v>1682.8763175838997</v>
      </c>
      <c r="O192" s="586">
        <f>IFERROR(IFERROR(VLOOKUP($D192,$Z$8:$AD$9,5,FALSE),0)*IF($D192="Inhalation",IF($K192="Central Tendency",SUMIFS('Inhalation Exposure'!$V$4:$V$61,'Inhalation Exposure'!$B$4:$B$61,$B192,'Inhalation Exposure'!$D$4:$D$61,$C192,'Inhalation Exposure'!$E$4:$E$61,$E192),SUMIFS('Inhalation Exposure'!$U$4:$U$61,'Inhalation Exposure'!$B$4:$B$61,$B192,'Inhalation Exposure'!$D$4:$D$61,$C192,'Inhalation Exposure'!$E$4:$E$61,$E192)),IF($K192="Central Tendency",SUMIFS('Dermal Crosswalk'!$R$5:$R$32,'Dermal Crosswalk'!$A$5:$A$32,'Bridge Table'!$B192,'Dermal Crosswalk'!$C$5:$C$32,'Bridge Table'!$E192),SUMIFS('Dermal Crosswalk'!$M$5:$M$32,'Dermal Crosswalk'!$A$5:$A$32,'Bridge Table'!$B192,'Dermal Crosswalk'!$C$5:$C$32,'Bridge Table'!$E192))),"--")</f>
        <v>1.5795872651036183E-5</v>
      </c>
      <c r="P192" s="382">
        <f>L192*U192</f>
        <v>159.76727346423496</v>
      </c>
      <c r="Q192" s="382">
        <f t="shared" ref="Q192" si="55">M192*V192</f>
        <v>691.59300722626017</v>
      </c>
      <c r="R192" s="382">
        <f t="shared" ref="R192" si="56">N192*W192</f>
        <v>8414.381587919499</v>
      </c>
      <c r="S192" s="383">
        <f>O192/X192</f>
        <v>3.1591745302072367E-6</v>
      </c>
      <c r="U192" s="378">
        <v>5</v>
      </c>
      <c r="V192" s="379">
        <v>5</v>
      </c>
      <c r="W192" s="379">
        <v>5</v>
      </c>
      <c r="X192" s="380">
        <v>5</v>
      </c>
    </row>
    <row r="193" spans="1:24" ht="15" thickBot="1" x14ac:dyDescent="0.35">
      <c r="A193" s="372"/>
      <c r="B193" s="360" t="s">
        <v>138</v>
      </c>
      <c r="C193" s="361" t="s">
        <v>25</v>
      </c>
      <c r="D193" s="361" t="s">
        <v>16</v>
      </c>
      <c r="E193" s="362" t="s">
        <v>24</v>
      </c>
      <c r="F193" s="589"/>
      <c r="G193" s="589"/>
      <c r="H193" s="589"/>
      <c r="I193" s="589"/>
      <c r="J193" s="589"/>
      <c r="K193" s="608"/>
      <c r="L193" s="587"/>
      <c r="M193" s="587"/>
      <c r="N193" s="587"/>
      <c r="O193" s="587"/>
      <c r="P193" s="373" t="str">
        <f>CONCATENATE("(PF ",U192,")")</f>
        <v>(PF 5)</v>
      </c>
      <c r="Q193" s="373" t="str">
        <f>CONCATENATE("(PF ",V192,")")</f>
        <v>(PF 5)</v>
      </c>
      <c r="R193" s="373" t="str">
        <f>CONCATENATE("(PF ",W192,")")</f>
        <v>(PF 5)</v>
      </c>
      <c r="S193" s="373" t="str">
        <f>CONCATENATE("(PF ",X192,")")</f>
        <v>(PF 5)</v>
      </c>
      <c r="U193" s="374" t="s">
        <v>119</v>
      </c>
      <c r="V193" s="375" t="s">
        <v>119</v>
      </c>
      <c r="W193" s="375" t="s">
        <v>119</v>
      </c>
      <c r="X193" s="376" t="s">
        <v>119</v>
      </c>
    </row>
    <row r="194" spans="1:24" ht="15" thickBot="1" x14ac:dyDescent="0.35">
      <c r="A194" s="372"/>
      <c r="B194" s="360" t="s">
        <v>138</v>
      </c>
      <c r="C194" s="361" t="s">
        <v>25</v>
      </c>
      <c r="D194" s="361" t="s">
        <v>16</v>
      </c>
      <c r="E194" s="362" t="s">
        <v>24</v>
      </c>
      <c r="F194" s="589"/>
      <c r="G194" s="589"/>
      <c r="H194" s="589"/>
      <c r="I194" s="589"/>
      <c r="J194" s="589"/>
      <c r="K194" s="584" t="s">
        <v>88</v>
      </c>
      <c r="L194" s="586">
        <f>IFERROR(IFERROR(VLOOKUP($D194,$Z$8:$AD$9,2,FALSE),0)/IF($D194="Inhalation",IF($K194="Central Tendency",SUMIFS('Inhalation Exposure'!$N$4:$N$61,'Inhalation Exposure'!$B$4:$B$61,$B194,'Inhalation Exposure'!$D$4:$D$61,$C194,'Inhalation Exposure'!$E$4:$E$61,$E194),SUMIFS('Inhalation Exposure'!$M$4:$M$61,'Inhalation Exposure'!$B$4:$B$61,$B194,'Inhalation Exposure'!$D$4:$D$61,$C194,'Inhalation Exposure'!$E$4:$E$61,$E194)),IF($K194="Central Tendency",SUMIFS('Dermal Crosswalk'!$P$5:$P$32,'Dermal Crosswalk'!$A$5:$A$32,'Bridge Table'!$B194,'Dermal Crosswalk'!$C$5:$C$32,'Bridge Table'!$E194),SUMIFS('Dermal Crosswalk'!$K$5:$K$32,'Dermal Crosswalk'!$A$5:$A$32,'Bridge Table'!$B194,'Dermal Crosswalk'!$C$5:$C$32,'Bridge Table'!$E194))),"--")</f>
        <v>5.8943265938261451</v>
      </c>
      <c r="M194" s="586">
        <f>IFERROR(IFERROR(VLOOKUP($D194,$Z$8:$AD$9,3,FALSE),0)/IF($D194="Inhalation",IF($K194="Central Tendency",SUMIFS('Inhalation Exposure'!$AB$4:$AB$61,'Inhalation Exposure'!$B$4:$B$61,$B194,'Inhalation Exposure'!$D$4:$D$61,$C194,'Inhalation Exposure'!$E$4:$E$61,$E194),SUMIFS('Inhalation Exposure'!$AA$4:$AA$61,'Inhalation Exposure'!$B$4:$B$61,$B194,'Inhalation Exposure'!$D$4:$D$61,$C194,'Inhalation Exposure'!$E$4:$E$61,$E194)),IF($K194="Central Tendency",SUMIFS('Dermal Crosswalk'!$S$5:$S$32,'Dermal Crosswalk'!$A$5:$A$32,'Bridge Table'!$B194,'Dermal Crosswalk'!$C$5:$C$32,'Bridge Table'!$E194),SUMIFS('Dermal Crosswalk'!$N$5:$N$32,'Dermal Crosswalk'!$A$5:$A$32,'Bridge Table'!$B194,'Dermal Crosswalk'!$C$5:$C$32,'Bridge Table'!$E194))),"--")</f>
        <v>25.515081819997953</v>
      </c>
      <c r="N194" s="586">
        <f>IFERROR(IFERROR(VLOOKUP($D194,$Z$8:$AD$9,4,FALSE),0)/IF($D194="Inhalation",IF($K194="Central Tendency",SUMIFS('Inhalation Exposure'!$R$4:$R$61,'Inhalation Exposure'!$B$4:$B$61,$B194,'Inhalation Exposure'!$D$4:$D$61,$C194,'Inhalation Exposure'!$E$4:$E$61,$E194),SUMIFS('Inhalation Exposure'!$Q$4:$Q$61,'Inhalation Exposure'!$B$4:$B$61,$B194,'Inhalation Exposure'!$D$4:$D$61,$C194,'Inhalation Exposure'!$E$4:$E$61,$E194)),IF($K194="Central Tendency",SUMIFS('Dermal Crosswalk'!$Q$5:$Q$32,'Dermal Crosswalk'!$A$5:$A$32,'Bridge Table'!$B194,'Dermal Crosswalk'!$C$5:$C$32,'Bridge Table'!$E194),SUMIFS('Dermal Crosswalk'!$L$5:$L$32,'Dermal Crosswalk'!$A$5:$A$32,'Bridge Table'!$B194,'Dermal Crosswalk'!$C$5:$C$32,'Bridge Table'!$E194))),"--")</f>
        <v>310.43349547664172</v>
      </c>
      <c r="O194" s="586">
        <f>IFERROR(IFERROR(VLOOKUP($D194,$Z$8:$AD$9,5,FALSE),0)*IF($D194="Inhalation",IF($K194="Central Tendency",SUMIFS('Inhalation Exposure'!$V$4:$V$61,'Inhalation Exposure'!$B$4:$B$61,$B194,'Inhalation Exposure'!$D$4:$D$61,$C194,'Inhalation Exposure'!$E$4:$E$61,$E194),SUMIFS('Inhalation Exposure'!$U$4:$U$61,'Inhalation Exposure'!$B$4:$B$61,$B194,'Inhalation Exposure'!$D$4:$D$61,$C194,'Inhalation Exposure'!$E$4:$E$61,$E194)),IF($K194="Central Tendency",SUMIFS('Dermal Crosswalk'!$R$5:$R$32,'Dermal Crosswalk'!$A$5:$A$32,'Bridge Table'!$B194,'Dermal Crosswalk'!$C$5:$C$32,'Bridge Table'!$E194),SUMIFS('Dermal Crosswalk'!$M$5:$M$32,'Dermal Crosswalk'!$A$5:$A$32,'Bridge Table'!$B194,'Dermal Crosswalk'!$C$5:$C$32,'Bridge Table'!$E194))),"--")</f>
        <v>1.1049065419740079E-4</v>
      </c>
      <c r="P194" s="382">
        <f>L194*U194</f>
        <v>29.471632969130724</v>
      </c>
      <c r="Q194" s="382">
        <f t="shared" ref="Q194" si="57">M194*V194</f>
        <v>127.57540909998977</v>
      </c>
      <c r="R194" s="382">
        <f t="shared" ref="R194" si="58">N194*W194</f>
        <v>1552.1674773832087</v>
      </c>
      <c r="S194" s="383">
        <f>O194/X194</f>
        <v>2.2098130839480158E-5</v>
      </c>
      <c r="U194" s="378">
        <v>5</v>
      </c>
      <c r="V194" s="379">
        <v>5</v>
      </c>
      <c r="W194" s="379">
        <v>5</v>
      </c>
      <c r="X194" s="380">
        <v>5</v>
      </c>
    </row>
    <row r="195" spans="1:24" ht="15" thickBot="1" x14ac:dyDescent="0.35">
      <c r="A195" s="372"/>
      <c r="B195" s="360" t="s">
        <v>138</v>
      </c>
      <c r="C195" s="361" t="s">
        <v>25</v>
      </c>
      <c r="D195" s="361" t="s">
        <v>16</v>
      </c>
      <c r="E195" s="362" t="s">
        <v>24</v>
      </c>
      <c r="F195" s="589"/>
      <c r="G195" s="589"/>
      <c r="H195" s="589"/>
      <c r="I195" s="590"/>
      <c r="J195" s="590"/>
      <c r="K195" s="588"/>
      <c r="L195" s="587"/>
      <c r="M195" s="587"/>
      <c r="N195" s="587"/>
      <c r="O195" s="587"/>
      <c r="P195" s="373" t="str">
        <f>CONCATENATE("(PF ",U194,")")</f>
        <v>(PF 5)</v>
      </c>
      <c r="Q195" s="373" t="str">
        <f>CONCATENATE("(PF ",V194,")")</f>
        <v>(PF 5)</v>
      </c>
      <c r="R195" s="373" t="str">
        <f>CONCATENATE("(PF ",W194,")")</f>
        <v>(PF 5)</v>
      </c>
      <c r="S195" s="373" t="str">
        <f>CONCATENATE("(PF ",X194,")")</f>
        <v>(PF 5)</v>
      </c>
      <c r="U195" s="374" t="s">
        <v>119</v>
      </c>
      <c r="V195" s="375" t="s">
        <v>119</v>
      </c>
      <c r="W195" s="375" t="s">
        <v>119</v>
      </c>
      <c r="X195" s="376" t="s">
        <v>119</v>
      </c>
    </row>
    <row r="196" spans="1:24" ht="15.6" customHeight="1" thickTop="1" thickBot="1" x14ac:dyDescent="0.35">
      <c r="A196" s="372"/>
      <c r="B196" s="360" t="s">
        <v>138</v>
      </c>
      <c r="C196" s="361" t="s">
        <v>25</v>
      </c>
      <c r="D196" s="361" t="s">
        <v>16</v>
      </c>
      <c r="E196" s="362" t="s">
        <v>117</v>
      </c>
      <c r="F196" s="589"/>
      <c r="G196" s="589"/>
      <c r="H196" s="589"/>
      <c r="I196" s="609" t="s">
        <v>25</v>
      </c>
      <c r="J196" s="609" t="s">
        <v>16</v>
      </c>
      <c r="K196" s="607" t="s">
        <v>54</v>
      </c>
      <c r="L196" s="586">
        <f>IFERROR(IFERROR(VLOOKUP($D196,$Z$8:$AD$9,2,FALSE),0)/IF($D196="Inhalation",IF($K196="Central Tendency",SUMIFS('Inhalation Exposure'!$N$4:$N$61,'Inhalation Exposure'!$B$4:$B$61,$B196,'Inhalation Exposure'!$D$4:$D$61,$C196,'Inhalation Exposure'!$E$4:$E$61,$E196),SUMIFS('Inhalation Exposure'!$M$4:$M$61,'Inhalation Exposure'!$B$4:$B$61,$B196,'Inhalation Exposure'!$D$4:$D$61,$C196,'Inhalation Exposure'!$E$4:$E$61,$E196)),IF($K196="Central Tendency",SUMIFS('Dermal Crosswalk'!$P$5:$P$32,'Dermal Crosswalk'!$A$5:$A$32,'Bridge Table'!$B196,'Dermal Crosswalk'!$C$5:$C$32,'Bridge Table'!$E196),SUMIFS('Dermal Crosswalk'!$K$5:$K$32,'Dermal Crosswalk'!$A$5:$A$32,'Bridge Table'!$B196,'Dermal Crosswalk'!$C$5:$C$32,'Bridge Table'!$E196))),"--")</f>
        <v>31.953454692846993</v>
      </c>
      <c r="M196" s="586">
        <f>IFERROR(IFERROR(VLOOKUP($D196,$Z$8:$AD$9,3,FALSE),0)/IF($D196="Inhalation",IF($K196="Central Tendency",SUMIFS('Inhalation Exposure'!$AB$4:$AB$61,'Inhalation Exposure'!$B$4:$B$61,$B196,'Inhalation Exposure'!$D$4:$D$61,$C196,'Inhalation Exposure'!$E$4:$E$61,$E196),SUMIFS('Inhalation Exposure'!$AA$4:$AA$61,'Inhalation Exposure'!$B$4:$B$61,$B196,'Inhalation Exposure'!$D$4:$D$61,$C196,'Inhalation Exposure'!$E$4:$E$61,$E196)),IF($K196="Central Tendency",SUMIFS('Dermal Crosswalk'!$S$5:$S$32,'Dermal Crosswalk'!$A$5:$A$32,'Bridge Table'!$B196,'Dermal Crosswalk'!$C$5:$C$32,'Bridge Table'!$E196),SUMIFS('Dermal Crosswalk'!$N$5:$N$32,'Dermal Crosswalk'!$A$5:$A$32,'Bridge Table'!$B196,'Dermal Crosswalk'!$C$5:$C$32,'Bridge Table'!$E196))),"--")</f>
        <v>138.31860144525203</v>
      </c>
      <c r="N196" s="586">
        <f>IFERROR(IFERROR(VLOOKUP($D196,$Z$8:$AD$9,4,FALSE),0)/IF($D196="Inhalation",IF($K196="Central Tendency",SUMIFS('Inhalation Exposure'!$R$4:$R$61,'Inhalation Exposure'!$B$4:$B$61,$B196,'Inhalation Exposure'!$D$4:$D$61,$C196,'Inhalation Exposure'!$E$4:$E$61,$E196),SUMIFS('Inhalation Exposure'!$Q$4:$Q$61,'Inhalation Exposure'!$B$4:$B$61,$B196,'Inhalation Exposure'!$D$4:$D$61,$C196,'Inhalation Exposure'!$E$4:$E$61,$E196)),IF($K196="Central Tendency",SUMIFS('Dermal Crosswalk'!$Q$5:$Q$32,'Dermal Crosswalk'!$A$5:$A$32,'Bridge Table'!$B196,'Dermal Crosswalk'!$C$5:$C$32,'Bridge Table'!$E196),SUMIFS('Dermal Crosswalk'!$L$5:$L$32,'Dermal Crosswalk'!$A$5:$A$32,'Bridge Table'!$B196,'Dermal Crosswalk'!$C$5:$C$32,'Bridge Table'!$E196))),"--")</f>
        <v>1682.8763175838997</v>
      </c>
      <c r="O196" s="586">
        <f>IFERROR(IFERROR(VLOOKUP($D196,$Z$8:$AD$9,5,FALSE),0)*IF($D196="Inhalation",IF($K196="Central Tendency",SUMIFS('Inhalation Exposure'!$V$4:$V$61,'Inhalation Exposure'!$B$4:$B$61,$B196,'Inhalation Exposure'!$D$4:$D$61,$C196,'Inhalation Exposure'!$E$4:$E$61,$E196),SUMIFS('Inhalation Exposure'!$U$4:$U$61,'Inhalation Exposure'!$B$4:$B$61,$B196,'Inhalation Exposure'!$D$4:$D$61,$C196,'Inhalation Exposure'!$E$4:$E$61,$E196)),IF($K196="Central Tendency",SUMIFS('Dermal Crosswalk'!$R$5:$R$32,'Dermal Crosswalk'!$A$5:$A$32,'Bridge Table'!$B196,'Dermal Crosswalk'!$C$5:$C$32,'Bridge Table'!$E196),SUMIFS('Dermal Crosswalk'!$M$5:$M$32,'Dermal Crosswalk'!$A$5:$A$32,'Bridge Table'!$B196,'Dermal Crosswalk'!$C$5:$C$32,'Bridge Table'!$E196))),"--")</f>
        <v>1.5795872651036183E-5</v>
      </c>
      <c r="P196" s="382">
        <f>L196*U196</f>
        <v>159.76727346423496</v>
      </c>
      <c r="Q196" s="382">
        <f t="shared" ref="Q196" si="59">M196*V196</f>
        <v>691.59300722626017</v>
      </c>
      <c r="R196" s="382">
        <f t="shared" ref="R196" si="60">N196*W196</f>
        <v>8414.381587919499</v>
      </c>
      <c r="S196" s="383">
        <f>O196/X196</f>
        <v>3.1591745302072367E-6</v>
      </c>
      <c r="U196" s="378">
        <v>5</v>
      </c>
      <c r="V196" s="379">
        <v>5</v>
      </c>
      <c r="W196" s="379">
        <v>5</v>
      </c>
      <c r="X196" s="380">
        <v>5</v>
      </c>
    </row>
    <row r="197" spans="1:24" ht="15" thickBot="1" x14ac:dyDescent="0.35">
      <c r="A197" s="372"/>
      <c r="B197" s="360" t="s">
        <v>138</v>
      </c>
      <c r="C197" s="361" t="s">
        <v>25</v>
      </c>
      <c r="D197" s="361" t="s">
        <v>16</v>
      </c>
      <c r="E197" s="362" t="s">
        <v>117</v>
      </c>
      <c r="F197" s="589"/>
      <c r="G197" s="589"/>
      <c r="H197" s="589"/>
      <c r="I197" s="589"/>
      <c r="J197" s="589"/>
      <c r="K197" s="608"/>
      <c r="L197" s="587"/>
      <c r="M197" s="587"/>
      <c r="N197" s="587"/>
      <c r="O197" s="587"/>
      <c r="P197" s="373" t="str">
        <f>CONCATENATE("(PF ",U196,")")</f>
        <v>(PF 5)</v>
      </c>
      <c r="Q197" s="373" t="str">
        <f>CONCATENATE("(PF ",V196,")")</f>
        <v>(PF 5)</v>
      </c>
      <c r="R197" s="373" t="str">
        <f>CONCATENATE("(PF ",W196,")")</f>
        <v>(PF 5)</v>
      </c>
      <c r="S197" s="373" t="str">
        <f>CONCATENATE("(PF ",X196,")")</f>
        <v>(PF 5)</v>
      </c>
      <c r="U197" s="374" t="s">
        <v>119</v>
      </c>
      <c r="V197" s="375" t="s">
        <v>119</v>
      </c>
      <c r="W197" s="375" t="s">
        <v>119</v>
      </c>
      <c r="X197" s="376" t="s">
        <v>119</v>
      </c>
    </row>
    <row r="198" spans="1:24" ht="15" customHeight="1" thickBot="1" x14ac:dyDescent="0.35">
      <c r="A198" s="372"/>
      <c r="B198" s="360" t="s">
        <v>138</v>
      </c>
      <c r="C198" s="361" t="s">
        <v>25</v>
      </c>
      <c r="D198" s="361" t="s">
        <v>16</v>
      </c>
      <c r="E198" s="362" t="s">
        <v>117</v>
      </c>
      <c r="F198" s="589"/>
      <c r="G198" s="589"/>
      <c r="H198" s="589"/>
      <c r="I198" s="589"/>
      <c r="J198" s="589"/>
      <c r="K198" s="584" t="s">
        <v>88</v>
      </c>
      <c r="L198" s="586">
        <f>IFERROR(IFERROR(VLOOKUP($D198,$Z$8:$AD$9,2,FALSE),0)/IF($D198="Inhalation",IF($K198="Central Tendency",SUMIFS('Inhalation Exposure'!$N$4:$N$61,'Inhalation Exposure'!$B$4:$B$61,$B198,'Inhalation Exposure'!$D$4:$D$61,$C198,'Inhalation Exposure'!$E$4:$E$61,$E198),SUMIFS('Inhalation Exposure'!$M$4:$M$61,'Inhalation Exposure'!$B$4:$B$61,$B198,'Inhalation Exposure'!$D$4:$D$61,$C198,'Inhalation Exposure'!$E$4:$E$61,$E198)),IF($K198="Central Tendency",SUMIFS('Dermal Crosswalk'!$P$5:$P$32,'Dermal Crosswalk'!$A$5:$A$32,'Bridge Table'!$B198,'Dermal Crosswalk'!$C$5:$C$32,'Bridge Table'!$E198),SUMIFS('Dermal Crosswalk'!$K$5:$K$32,'Dermal Crosswalk'!$A$5:$A$32,'Bridge Table'!$B198,'Dermal Crosswalk'!$C$5:$C$32,'Bridge Table'!$E198))),"--")</f>
        <v>5.8943265938261451</v>
      </c>
      <c r="M198" s="586">
        <f>IFERROR(IFERROR(VLOOKUP($D198,$Z$8:$AD$9,3,FALSE),0)/IF($D198="Inhalation",IF($K198="Central Tendency",SUMIFS('Inhalation Exposure'!$AB$4:$AB$61,'Inhalation Exposure'!$B$4:$B$61,$B198,'Inhalation Exposure'!$D$4:$D$61,$C198,'Inhalation Exposure'!$E$4:$E$61,$E198),SUMIFS('Inhalation Exposure'!$AA$4:$AA$61,'Inhalation Exposure'!$B$4:$B$61,$B198,'Inhalation Exposure'!$D$4:$D$61,$C198,'Inhalation Exposure'!$E$4:$E$61,$E198)),IF($K198="Central Tendency",SUMIFS('Dermal Crosswalk'!$S$5:$S$32,'Dermal Crosswalk'!$A$5:$A$32,'Bridge Table'!$B198,'Dermal Crosswalk'!$C$5:$C$32,'Bridge Table'!$E198),SUMIFS('Dermal Crosswalk'!$N$5:$N$32,'Dermal Crosswalk'!$A$5:$A$32,'Bridge Table'!$B198,'Dermal Crosswalk'!$C$5:$C$32,'Bridge Table'!$E198))),"--")</f>
        <v>25.515081819997953</v>
      </c>
      <c r="N198" s="586">
        <f>IFERROR(IFERROR(VLOOKUP($D198,$Z$8:$AD$9,4,FALSE),0)/IF($D198="Inhalation",IF($K198="Central Tendency",SUMIFS('Inhalation Exposure'!$R$4:$R$61,'Inhalation Exposure'!$B$4:$B$61,$B198,'Inhalation Exposure'!$D$4:$D$61,$C198,'Inhalation Exposure'!$E$4:$E$61,$E198),SUMIFS('Inhalation Exposure'!$Q$4:$Q$61,'Inhalation Exposure'!$B$4:$B$61,$B198,'Inhalation Exposure'!$D$4:$D$61,$C198,'Inhalation Exposure'!$E$4:$E$61,$E198)),IF($K198="Central Tendency",SUMIFS('Dermal Crosswalk'!$Q$5:$Q$32,'Dermal Crosswalk'!$A$5:$A$32,'Bridge Table'!$B198,'Dermal Crosswalk'!$C$5:$C$32,'Bridge Table'!$E198),SUMIFS('Dermal Crosswalk'!$L$5:$L$32,'Dermal Crosswalk'!$A$5:$A$32,'Bridge Table'!$B198,'Dermal Crosswalk'!$C$5:$C$32,'Bridge Table'!$E198))),"--")</f>
        <v>310.43349547664172</v>
      </c>
      <c r="O198" s="586">
        <f>IFERROR(IFERROR(VLOOKUP($D198,$Z$8:$AD$9,5,FALSE),0)*IF($D198="Inhalation",IF($K198="Central Tendency",SUMIFS('Inhalation Exposure'!$V$4:$V$61,'Inhalation Exposure'!$B$4:$B$61,$B198,'Inhalation Exposure'!$D$4:$D$61,$C198,'Inhalation Exposure'!$E$4:$E$61,$E198),SUMIFS('Inhalation Exposure'!$U$4:$U$61,'Inhalation Exposure'!$B$4:$B$61,$B198,'Inhalation Exposure'!$D$4:$D$61,$C198,'Inhalation Exposure'!$E$4:$E$61,$E198)),IF($K198="Central Tendency",SUMIFS('Dermal Crosswalk'!$R$5:$R$32,'Dermal Crosswalk'!$A$5:$A$32,'Bridge Table'!$B198,'Dermal Crosswalk'!$C$5:$C$32,'Bridge Table'!$E198),SUMIFS('Dermal Crosswalk'!$M$5:$M$32,'Dermal Crosswalk'!$A$5:$A$32,'Bridge Table'!$B198,'Dermal Crosswalk'!$C$5:$C$32,'Bridge Table'!$E198))),"--")</f>
        <v>1.1049065419740079E-4</v>
      </c>
      <c r="P198" s="363">
        <f>L198*U198</f>
        <v>29.471632969130724</v>
      </c>
      <c r="Q198" s="363">
        <f t="shared" ref="Q198" si="61">M198*V198</f>
        <v>127.57540909998977</v>
      </c>
      <c r="R198" s="363">
        <f t="shared" ref="R198" si="62">N198*W198</f>
        <v>1552.1674773832087</v>
      </c>
      <c r="S198" s="364">
        <f>O198/X198</f>
        <v>2.2098130839480158E-5</v>
      </c>
      <c r="U198" s="378">
        <v>5</v>
      </c>
      <c r="V198" s="379">
        <v>5</v>
      </c>
      <c r="W198" s="379">
        <v>5</v>
      </c>
      <c r="X198" s="380">
        <v>5</v>
      </c>
    </row>
    <row r="199" spans="1:24" ht="15" thickBot="1" x14ac:dyDescent="0.35">
      <c r="A199" s="372"/>
      <c r="B199" s="360" t="s">
        <v>138</v>
      </c>
      <c r="C199" s="361" t="s">
        <v>25</v>
      </c>
      <c r="D199" s="361" t="s">
        <v>16</v>
      </c>
      <c r="E199" s="362" t="s">
        <v>117</v>
      </c>
      <c r="F199" s="589"/>
      <c r="G199" s="589"/>
      <c r="H199" s="587"/>
      <c r="I199" s="587"/>
      <c r="J199" s="587"/>
      <c r="K199" s="585"/>
      <c r="L199" s="587"/>
      <c r="M199" s="587"/>
      <c r="N199" s="587"/>
      <c r="O199" s="587"/>
      <c r="P199" s="373" t="str">
        <f>CONCATENATE("(PF ",U198,")")</f>
        <v>(PF 5)</v>
      </c>
      <c r="Q199" s="373" t="str">
        <f>CONCATENATE("(PF ",V198,")")</f>
        <v>(PF 5)</v>
      </c>
      <c r="R199" s="373" t="str">
        <f>CONCATENATE("(PF ",W198,")")</f>
        <v>(PF 5)</v>
      </c>
      <c r="S199" s="373" t="str">
        <f>CONCATENATE("(PF ",X198,")")</f>
        <v>(PF 5)</v>
      </c>
      <c r="U199" s="384" t="s">
        <v>119</v>
      </c>
      <c r="V199" s="385" t="s">
        <v>119</v>
      </c>
      <c r="W199" s="385" t="s">
        <v>119</v>
      </c>
      <c r="X199" s="386" t="s">
        <v>119</v>
      </c>
    </row>
    <row r="200" spans="1:24" ht="15" customHeight="1" thickBot="1" x14ac:dyDescent="0.35">
      <c r="A200" s="372"/>
      <c r="B200" s="360" t="s">
        <v>140</v>
      </c>
      <c r="C200" s="361" t="s">
        <v>25</v>
      </c>
      <c r="D200" s="361" t="s">
        <v>111</v>
      </c>
      <c r="E200" s="362" t="s">
        <v>24</v>
      </c>
      <c r="F200" s="589"/>
      <c r="G200" s="589"/>
      <c r="H200" s="586" t="s">
        <v>141</v>
      </c>
      <c r="I200" s="586" t="s">
        <v>25</v>
      </c>
      <c r="J200" s="586" t="s">
        <v>115</v>
      </c>
      <c r="K200" s="584" t="s">
        <v>54</v>
      </c>
      <c r="L200" s="586">
        <f>IFERROR(IFERROR(VLOOKUP($D200,$Z$8:$AD$9,2,FALSE),0)/IF($D200="Inhalation",IF($K200="Central Tendency",SUMIFS('Inhalation Exposure'!$N$4:$N$61,'Inhalation Exposure'!$B$4:$B$61,$B200,'Inhalation Exposure'!$D$4:$D$61,$C200,'Inhalation Exposure'!$E$4:$E$61,$E200),SUMIFS('Inhalation Exposure'!$M$4:$M$61,'Inhalation Exposure'!$B$4:$B$61,$B200,'Inhalation Exposure'!$D$4:$D$61,$C200,'Inhalation Exposure'!$E$4:$E$61,$E200)),IF($K200="Central Tendency",SUMIFS('Dermal Crosswalk'!$P$5:$P$32,'Dermal Crosswalk'!$A$5:$A$32,'Bridge Table'!$B200,'Dermal Crosswalk'!$C$5:$C$32,'Bridge Table'!$E200),SUMIFS('Dermal Crosswalk'!$K$5:$K$32,'Dermal Crosswalk'!$A$5:$A$32,'Bridge Table'!$B200,'Dermal Crosswalk'!$C$5:$C$32,'Bridge Table'!$E200))),"--")</f>
        <v>447.95857988165676</v>
      </c>
      <c r="M200" s="586">
        <f>IFERROR(IFERROR(VLOOKUP($D200,$Z$8:$AD$9,3,FALSE),0)/IF($D200="Inhalation",IF($K200="Central Tendency",SUMIFS('Inhalation Exposure'!$AB$4:$AB$61,'Inhalation Exposure'!$B$4:$B$61,$B200,'Inhalation Exposure'!$D$4:$D$61,$C200,'Inhalation Exposure'!$E$4:$E$61,$E200),SUMIFS('Inhalation Exposure'!$AA$4:$AA$61,'Inhalation Exposure'!$B$4:$B$61,$B200,'Inhalation Exposure'!$D$4:$D$61,$C200,'Inhalation Exposure'!$E$4:$E$61,$E200)),IF($K200="Central Tendency",SUMIFS('Dermal Crosswalk'!$S$5:$S$32,'Dermal Crosswalk'!$A$5:$A$32,'Bridge Table'!$B200,'Dermal Crosswalk'!$C$5:$C$32,'Bridge Table'!$E200),SUMIFS('Dermal Crosswalk'!$N$5:$N$32,'Dermal Crosswalk'!$A$5:$A$32,'Bridge Table'!$B200,'Dermal Crosswalk'!$C$5:$C$32,'Bridge Table'!$E200))),"--")</f>
        <v>176.73211403980633</v>
      </c>
      <c r="N200" s="586">
        <f>IFERROR(IFERROR(VLOOKUP($D200,$Z$8:$AD$9,4,FALSE),0)/IF($D200="Inhalation",IF($K200="Central Tendency",SUMIFS('Inhalation Exposure'!$R$4:$R$61,'Inhalation Exposure'!$B$4:$B$61,$B200,'Inhalation Exposure'!$D$4:$D$61,$C200,'Inhalation Exposure'!$E$4:$E$61,$E200),SUMIFS('Inhalation Exposure'!$Q$4:$Q$61,'Inhalation Exposure'!$B$4:$B$61,$B200,'Inhalation Exposure'!$D$4:$D$61,$C200,'Inhalation Exposure'!$E$4:$E$61,$E200)),IF($K200="Central Tendency",SUMIFS('Dermal Crosswalk'!$Q$5:$Q$32,'Dermal Crosswalk'!$A$5:$A$32,'Bridge Table'!$B200,'Dermal Crosswalk'!$C$5:$C$32,'Bridge Table'!$E200),SUMIFS('Dermal Crosswalk'!$L$5:$L$32,'Dermal Crosswalk'!$A$5:$A$32,'Bridge Table'!$B200,'Dermal Crosswalk'!$C$5:$C$32,'Bridge Table'!$E200))),"--")</f>
        <v>189.22118343195262</v>
      </c>
      <c r="O200" s="586">
        <f>IFERROR(IFERROR(VLOOKUP($D200,$Z$8:$AD$9,5,FALSE),0)*IF($D200="Inhalation",IF($K200="Central Tendency",SUMIFS('Inhalation Exposure'!$V$4:$V$61,'Inhalation Exposure'!$B$4:$B$61,$B200,'Inhalation Exposure'!$D$4:$D$61,$C200,'Inhalation Exposure'!$E$4:$E$61,$E200),SUMIFS('Inhalation Exposure'!$U$4:$U$61,'Inhalation Exposure'!$B$4:$B$61,$B200,'Inhalation Exposure'!$D$4:$D$61,$C200,'Inhalation Exposure'!$E$4:$E$61,$E200)),IF($K200="Central Tendency",SUMIFS('Dermal Crosswalk'!$R$5:$R$32,'Dermal Crosswalk'!$A$5:$A$32,'Bridge Table'!$B200,'Dermal Crosswalk'!$C$5:$C$32,'Bridge Table'!$E200),SUMIFS('Dermal Crosswalk'!$M$5:$M$32,'Dermal Crosswalk'!$A$5:$A$32,'Bridge Table'!$B200,'Dermal Crosswalk'!$C$5:$C$32,'Bridge Table'!$E200))),"--")</f>
        <v>1.4114326095735098E-4</v>
      </c>
      <c r="P200" s="363">
        <f>IFERROR(L200*U200,"Not Assessed")</f>
        <v>4479.5857988165681</v>
      </c>
      <c r="Q200" s="363">
        <f>IFERROR(M200*V200,"Not Assessed")</f>
        <v>1767.3211403980633</v>
      </c>
      <c r="R200" s="363">
        <f>IFERROR(N200*W200,"Not Assessed")</f>
        <v>1892.2118343195261</v>
      </c>
      <c r="S200" s="364">
        <f>IFERROR(O200/X200, "Not Assessed")</f>
        <v>1.4114326095735098E-5</v>
      </c>
      <c r="U200" s="365">
        <v>10</v>
      </c>
      <c r="V200" s="366">
        <v>10</v>
      </c>
      <c r="W200" s="366">
        <v>10</v>
      </c>
      <c r="X200" s="367">
        <v>10</v>
      </c>
    </row>
    <row r="201" spans="1:24" ht="15" thickBot="1" x14ac:dyDescent="0.35">
      <c r="A201" s="372"/>
      <c r="B201" s="360" t="s">
        <v>140</v>
      </c>
      <c r="C201" s="361" t="s">
        <v>25</v>
      </c>
      <c r="D201" s="361" t="s">
        <v>111</v>
      </c>
      <c r="E201" s="362" t="s">
        <v>24</v>
      </c>
      <c r="F201" s="589"/>
      <c r="G201" s="589"/>
      <c r="H201" s="589"/>
      <c r="I201" s="589"/>
      <c r="J201" s="589"/>
      <c r="K201" s="585"/>
      <c r="L201" s="587"/>
      <c r="M201" s="587"/>
      <c r="N201" s="587"/>
      <c r="O201" s="587"/>
      <c r="P201" s="373" t="str">
        <f>CONCATENATE("(APF ",U200,")")</f>
        <v>(APF 10)</v>
      </c>
      <c r="Q201" s="373" t="str">
        <f>CONCATENATE("(APF ",V200,")")</f>
        <v>(APF 10)</v>
      </c>
      <c r="R201" s="373" t="str">
        <f>CONCATENATE("(APF ",W200,")")</f>
        <v>(APF 10)</v>
      </c>
      <c r="S201" s="373" t="str">
        <f>CONCATENATE("(APF ",X200,")")</f>
        <v>(APF 10)</v>
      </c>
      <c r="U201" s="374" t="s">
        <v>116</v>
      </c>
      <c r="V201" s="375" t="s">
        <v>116</v>
      </c>
      <c r="W201" s="375" t="s">
        <v>116</v>
      </c>
      <c r="X201" s="376" t="s">
        <v>116</v>
      </c>
    </row>
    <row r="202" spans="1:24" ht="15.6" customHeight="1" thickBot="1" x14ac:dyDescent="0.35">
      <c r="A202" s="372"/>
      <c r="B202" s="360" t="s">
        <v>140</v>
      </c>
      <c r="C202" s="361" t="s">
        <v>25</v>
      </c>
      <c r="D202" s="361" t="s">
        <v>111</v>
      </c>
      <c r="E202" s="362" t="s">
        <v>24</v>
      </c>
      <c r="F202" s="589"/>
      <c r="G202" s="589"/>
      <c r="H202" s="589"/>
      <c r="I202" s="589"/>
      <c r="J202" s="589"/>
      <c r="K202" s="584" t="s">
        <v>88</v>
      </c>
      <c r="L202" s="586">
        <f>IFERROR(IFERROR(VLOOKUP($D202,$Z$8:$AD$9,2,FALSE),0)/IF($D202="Inhalation",IF($K202="Central Tendency",SUMIFS('Inhalation Exposure'!$N$4:$N$61,'Inhalation Exposure'!$B$4:$B$61,$B202,'Inhalation Exposure'!$D$4:$D$61,$C202,'Inhalation Exposure'!$E$4:$E$61,$E202),SUMIFS('Inhalation Exposure'!$M$4:$M$61,'Inhalation Exposure'!$B$4:$B$61,$B202,'Inhalation Exposure'!$D$4:$D$61,$C202,'Inhalation Exposure'!$E$4:$E$61,$E202)),IF($K202="Central Tendency",SUMIFS('Dermal Crosswalk'!$P$5:$P$32,'Dermal Crosswalk'!$A$5:$A$32,'Bridge Table'!$B202,'Dermal Crosswalk'!$C$5:$C$32,'Bridge Table'!$E202),SUMIFS('Dermal Crosswalk'!$K$5:$K$32,'Dermal Crosswalk'!$A$5:$A$32,'Bridge Table'!$B202,'Dermal Crosswalk'!$C$5:$C$32,'Bridge Table'!$E202))),"--")</f>
        <v>68.511312217194558</v>
      </c>
      <c r="M202" s="586">
        <f>IFERROR(IFERROR(VLOOKUP($D202,$Z$8:$AD$9,3,FALSE),0)/IF($D202="Inhalation",IF($K202="Central Tendency",SUMIFS('Inhalation Exposure'!$AB$4:$AB$61,'Inhalation Exposure'!$B$4:$B$61,$B202,'Inhalation Exposure'!$D$4:$D$61,$C202,'Inhalation Exposure'!$E$4:$E$61,$E202),SUMIFS('Inhalation Exposure'!$AA$4:$AA$61,'Inhalation Exposure'!$B$4:$B$61,$B202,'Inhalation Exposure'!$D$4:$D$61,$C202,'Inhalation Exposure'!$E$4:$E$61,$E202)),IF($K202="Central Tendency",SUMIFS('Dermal Crosswalk'!$S$5:$S$32,'Dermal Crosswalk'!$A$5:$A$32,'Bridge Table'!$B202,'Dermal Crosswalk'!$C$5:$C$32,'Bridge Table'!$E202),SUMIFS('Dermal Crosswalk'!$N$5:$N$32,'Dermal Crosswalk'!$A$5:$A$32,'Bridge Table'!$B202,'Dermal Crosswalk'!$C$5:$C$32,'Bridge Table'!$E202))),"--")</f>
        <v>27.02961744138214</v>
      </c>
      <c r="N202" s="586">
        <f>IFERROR(IFERROR(VLOOKUP($D202,$Z$8:$AD$9,4,FALSE),0)/IF($D202="Inhalation",IF($K202="Central Tendency",SUMIFS('Inhalation Exposure'!$R$4:$R$61,'Inhalation Exposure'!$B$4:$B$61,$B202,'Inhalation Exposure'!$D$4:$D$61,$C202,'Inhalation Exposure'!$E$4:$E$61,$E202),SUMIFS('Inhalation Exposure'!$Q$4:$Q$61,'Inhalation Exposure'!$B$4:$B$61,$B202,'Inhalation Exposure'!$D$4:$D$61,$C202,'Inhalation Exposure'!$E$4:$E$61,$E202)),IF($K202="Central Tendency",SUMIFS('Dermal Crosswalk'!$Q$5:$Q$32,'Dermal Crosswalk'!$A$5:$A$32,'Bridge Table'!$B202,'Dermal Crosswalk'!$C$5:$C$32,'Bridge Table'!$E202),SUMIFS('Dermal Crosswalk'!$L$5:$L$32,'Dermal Crosswalk'!$A$5:$A$32,'Bridge Table'!$B202,'Dermal Crosswalk'!$C$5:$C$32,'Bridge Table'!$E202))),"--")</f>
        <v>28.939710407239815</v>
      </c>
      <c r="O202" s="586">
        <f>IFERROR(IFERROR(VLOOKUP($D202,$Z$8:$AD$9,5,FALSE),0)*IF($D202="Inhalation",IF($K202="Central Tendency",SUMIFS('Inhalation Exposure'!$V$4:$V$61,'Inhalation Exposure'!$B$4:$B$61,$B202,'Inhalation Exposure'!$D$4:$D$61,$C202,'Inhalation Exposure'!$E$4:$E$61,$E202),SUMIFS('Inhalation Exposure'!$U$4:$U$61,'Inhalation Exposure'!$B$4:$B$61,$B202,'Inhalation Exposure'!$D$4:$D$61,$C202,'Inhalation Exposure'!$E$4:$E$61,$E202)),IF($K202="Central Tendency",SUMIFS('Dermal Crosswalk'!$R$5:$R$32,'Dermal Crosswalk'!$A$5:$A$32,'Bridge Table'!$B202,'Dermal Crosswalk'!$C$5:$C$32,'Bridge Table'!$E202),SUMIFS('Dermal Crosswalk'!$M$5:$M$32,'Dermal Crosswalk'!$A$5:$A$32,'Bridge Table'!$B202,'Dermal Crosswalk'!$C$5:$C$32,'Bridge Table'!$E202))),"--")</f>
        <v>1.1907868170099093E-3</v>
      </c>
      <c r="P202" s="363">
        <f>IFERROR(L202*U202,"Not Assessed")</f>
        <v>685.11312217194563</v>
      </c>
      <c r="Q202" s="363">
        <f>IFERROR(M202*V202,"Not Assessed")</f>
        <v>270.2961744138214</v>
      </c>
      <c r="R202" s="363">
        <f>IFERROR(N202*W202,"Not Assessed")</f>
        <v>289.39710407239818</v>
      </c>
      <c r="S202" s="364">
        <f>IFERROR(O202/X202, "Not Assessed")</f>
        <v>1.1907868170099093E-4</v>
      </c>
      <c r="U202" s="378">
        <v>10</v>
      </c>
      <c r="V202" s="379">
        <v>10</v>
      </c>
      <c r="W202" s="379">
        <v>10</v>
      </c>
      <c r="X202" s="380">
        <v>10</v>
      </c>
    </row>
    <row r="203" spans="1:24" ht="15" thickBot="1" x14ac:dyDescent="0.35">
      <c r="A203" s="372"/>
      <c r="B203" s="360" t="s">
        <v>140</v>
      </c>
      <c r="C203" s="361" t="s">
        <v>25</v>
      </c>
      <c r="D203" s="361" t="s">
        <v>111</v>
      </c>
      <c r="E203" s="362" t="s">
        <v>24</v>
      </c>
      <c r="F203" s="589"/>
      <c r="G203" s="589"/>
      <c r="H203" s="589"/>
      <c r="I203" s="590"/>
      <c r="J203" s="590"/>
      <c r="K203" s="588"/>
      <c r="L203" s="587"/>
      <c r="M203" s="587"/>
      <c r="N203" s="587"/>
      <c r="O203" s="587"/>
      <c r="P203" s="373" t="str">
        <f>CONCATENATE("(APF ",U202,")")</f>
        <v>(APF 10)</v>
      </c>
      <c r="Q203" s="373" t="str">
        <f>CONCATENATE("(APF ",V202,")")</f>
        <v>(APF 10)</v>
      </c>
      <c r="R203" s="373" t="str">
        <f>CONCATENATE("(APF ",W202,")")</f>
        <v>(APF 10)</v>
      </c>
      <c r="S203" s="373" t="str">
        <f>CONCATENATE("(APF ",X202,")")</f>
        <v>(APF 10)</v>
      </c>
      <c r="U203" s="374" t="s">
        <v>116</v>
      </c>
      <c r="V203" s="375" t="s">
        <v>116</v>
      </c>
      <c r="W203" s="375" t="s">
        <v>116</v>
      </c>
      <c r="X203" s="376" t="s">
        <v>116</v>
      </c>
    </row>
    <row r="204" spans="1:24" ht="15" customHeight="1" thickBot="1" x14ac:dyDescent="0.35">
      <c r="A204" s="372"/>
      <c r="B204" s="360" t="s">
        <v>140</v>
      </c>
      <c r="C204" s="361" t="s">
        <v>25</v>
      </c>
      <c r="D204" s="361" t="s">
        <v>111</v>
      </c>
      <c r="E204" s="362" t="s">
        <v>117</v>
      </c>
      <c r="F204" s="589"/>
      <c r="G204" s="589"/>
      <c r="H204" s="589"/>
      <c r="I204" s="589" t="s">
        <v>25</v>
      </c>
      <c r="J204" s="586" t="s">
        <v>115</v>
      </c>
      <c r="K204" s="584" t="s">
        <v>54</v>
      </c>
      <c r="L204" s="586">
        <f>IFERROR(IFERROR(VLOOKUP($D204,$Z$8:$AD$9,2,FALSE),0)/IF($D204="Inhalation",IF($K204="Central Tendency",SUMIFS('Inhalation Exposure'!$N$4:$N$61,'Inhalation Exposure'!$B$4:$B$61,$B204,'Inhalation Exposure'!$D$4:$D$61,$C204,'Inhalation Exposure'!$E$4:$E$61,$E204),SUMIFS('Inhalation Exposure'!$M$4:$M$61,'Inhalation Exposure'!$B$4:$B$61,$B204,'Inhalation Exposure'!$D$4:$D$61,$C204,'Inhalation Exposure'!$E$4:$E$61,$E204)),IF($K204="Central Tendency",SUMIFS('Dermal Crosswalk'!$P$5:$P$32,'Dermal Crosswalk'!$A$5:$A$32,'Bridge Table'!$B204,'Dermal Crosswalk'!$C$5:$C$32,'Bridge Table'!$E204),SUMIFS('Dermal Crosswalk'!$K$5:$K$32,'Dermal Crosswalk'!$A$5:$A$32,'Bridge Table'!$B204,'Dermal Crosswalk'!$C$5:$C$32,'Bridge Table'!$E204))),"--")</f>
        <v>447.95857988165676</v>
      </c>
      <c r="M204" s="586">
        <f>IFERROR(IFERROR(VLOOKUP($D204,$Z$8:$AD$9,3,FALSE),0)/IF($D204="Inhalation",IF($K204="Central Tendency",SUMIFS('Inhalation Exposure'!$AB$4:$AB$61,'Inhalation Exposure'!$B$4:$B$61,$B204,'Inhalation Exposure'!$D$4:$D$61,$C204,'Inhalation Exposure'!$E$4:$E$61,$E204),SUMIFS('Inhalation Exposure'!$AA$4:$AA$61,'Inhalation Exposure'!$B$4:$B$61,$B204,'Inhalation Exposure'!$D$4:$D$61,$C204,'Inhalation Exposure'!$E$4:$E$61,$E204)),IF($K204="Central Tendency",SUMIFS('Dermal Crosswalk'!$S$5:$S$32,'Dermal Crosswalk'!$A$5:$A$32,'Bridge Table'!$B204,'Dermal Crosswalk'!$C$5:$C$32,'Bridge Table'!$E204),SUMIFS('Dermal Crosswalk'!$N$5:$N$32,'Dermal Crosswalk'!$A$5:$A$32,'Bridge Table'!$B204,'Dermal Crosswalk'!$C$5:$C$32,'Bridge Table'!$E204))),"--")</f>
        <v>176.73211403980633</v>
      </c>
      <c r="N204" s="586">
        <f>IFERROR(IFERROR(VLOOKUP($D204,$Z$8:$AD$9,4,FALSE),0)/IF($D204="Inhalation",IF($K204="Central Tendency",SUMIFS('Inhalation Exposure'!$R$4:$R$61,'Inhalation Exposure'!$B$4:$B$61,$B204,'Inhalation Exposure'!$D$4:$D$61,$C204,'Inhalation Exposure'!$E$4:$E$61,$E204),SUMIFS('Inhalation Exposure'!$Q$4:$Q$61,'Inhalation Exposure'!$B$4:$B$61,$B204,'Inhalation Exposure'!$D$4:$D$61,$C204,'Inhalation Exposure'!$E$4:$E$61,$E204)),IF($K204="Central Tendency",SUMIFS('Dermal Crosswalk'!$Q$5:$Q$32,'Dermal Crosswalk'!$A$5:$A$32,'Bridge Table'!$B204,'Dermal Crosswalk'!$C$5:$C$32,'Bridge Table'!$E204),SUMIFS('Dermal Crosswalk'!$L$5:$L$32,'Dermal Crosswalk'!$A$5:$A$32,'Bridge Table'!$B204,'Dermal Crosswalk'!$C$5:$C$32,'Bridge Table'!$E204))),"--")</f>
        <v>189.22118343195262</v>
      </c>
      <c r="O204" s="586">
        <f>IFERROR(IFERROR(VLOOKUP($D204,$Z$8:$AD$9,5,FALSE),0)*IF($D204="Inhalation",IF($K204="Central Tendency",SUMIFS('Inhalation Exposure'!$V$4:$V$61,'Inhalation Exposure'!$B$4:$B$61,$B204,'Inhalation Exposure'!$D$4:$D$61,$C204,'Inhalation Exposure'!$E$4:$E$61,$E204),SUMIFS('Inhalation Exposure'!$U$4:$U$61,'Inhalation Exposure'!$B$4:$B$61,$B204,'Inhalation Exposure'!$D$4:$D$61,$C204,'Inhalation Exposure'!$E$4:$E$61,$E204)),IF($K204="Central Tendency",SUMIFS('Dermal Crosswalk'!$R$5:$R$32,'Dermal Crosswalk'!$A$5:$A$32,'Bridge Table'!$B204,'Dermal Crosswalk'!$C$5:$C$32,'Bridge Table'!$E204),SUMIFS('Dermal Crosswalk'!$M$5:$M$32,'Dermal Crosswalk'!$A$5:$A$32,'Bridge Table'!$B204,'Dermal Crosswalk'!$C$5:$C$32,'Bridge Table'!$E204))),"--")</f>
        <v>1.4114326095735098E-4</v>
      </c>
      <c r="P204" s="363">
        <f>IFERROR(L204*U204,"Not Assessed")</f>
        <v>4479.5857988165681</v>
      </c>
      <c r="Q204" s="363">
        <f>IFERROR(M204*V204,"Not Assessed")</f>
        <v>1767.3211403980633</v>
      </c>
      <c r="R204" s="363">
        <f>IFERROR(N204*W204,"Not Assessed")</f>
        <v>1892.2118343195261</v>
      </c>
      <c r="S204" s="364">
        <f>IFERROR(O204/X204, "Not Assessed")</f>
        <v>1.4114326095735098E-5</v>
      </c>
      <c r="U204" s="378">
        <v>10</v>
      </c>
      <c r="V204" s="379">
        <v>10</v>
      </c>
      <c r="W204" s="379">
        <v>10</v>
      </c>
      <c r="X204" s="380">
        <v>10</v>
      </c>
    </row>
    <row r="205" spans="1:24" ht="15" thickBot="1" x14ac:dyDescent="0.35">
      <c r="A205" s="372"/>
      <c r="B205" s="360" t="s">
        <v>140</v>
      </c>
      <c r="C205" s="361" t="s">
        <v>25</v>
      </c>
      <c r="D205" s="361" t="s">
        <v>111</v>
      </c>
      <c r="E205" s="362" t="s">
        <v>117</v>
      </c>
      <c r="F205" s="589"/>
      <c r="G205" s="589"/>
      <c r="H205" s="589"/>
      <c r="I205" s="589"/>
      <c r="J205" s="589"/>
      <c r="K205" s="585"/>
      <c r="L205" s="587"/>
      <c r="M205" s="587"/>
      <c r="N205" s="587"/>
      <c r="O205" s="587"/>
      <c r="P205" s="373" t="str">
        <f>CONCATENATE("(APF ",U204,")")</f>
        <v>(APF 10)</v>
      </c>
      <c r="Q205" s="373" t="str">
        <f>CONCATENATE("(APF ",V204,")")</f>
        <v>(APF 10)</v>
      </c>
      <c r="R205" s="373" t="str">
        <f>CONCATENATE("(APF ",W204,")")</f>
        <v>(APF 10)</v>
      </c>
      <c r="S205" s="373" t="str">
        <f>CONCATENATE("(APF ",X204,")")</f>
        <v>(APF 10)</v>
      </c>
      <c r="U205" s="374" t="s">
        <v>116</v>
      </c>
      <c r="V205" s="375" t="s">
        <v>116</v>
      </c>
      <c r="W205" s="375" t="s">
        <v>116</v>
      </c>
      <c r="X205" s="376" t="s">
        <v>116</v>
      </c>
    </row>
    <row r="206" spans="1:24" ht="15" thickBot="1" x14ac:dyDescent="0.35">
      <c r="A206" s="372"/>
      <c r="B206" s="360" t="s">
        <v>140</v>
      </c>
      <c r="C206" s="361" t="s">
        <v>25</v>
      </c>
      <c r="D206" s="361" t="s">
        <v>111</v>
      </c>
      <c r="E206" s="362" t="s">
        <v>117</v>
      </c>
      <c r="F206" s="589"/>
      <c r="G206" s="589"/>
      <c r="H206" s="589"/>
      <c r="I206" s="589"/>
      <c r="J206" s="589"/>
      <c r="K206" s="584" t="s">
        <v>88</v>
      </c>
      <c r="L206" s="586">
        <f>IFERROR(IFERROR(VLOOKUP($D206,$Z$8:$AD$9,2,FALSE),0)/IF($D206="Inhalation",IF($K206="Central Tendency",SUMIFS('Inhalation Exposure'!$N$4:$N$61,'Inhalation Exposure'!$B$4:$B$61,$B206,'Inhalation Exposure'!$D$4:$D$61,$C206,'Inhalation Exposure'!$E$4:$E$61,$E206),SUMIFS('Inhalation Exposure'!$M$4:$M$61,'Inhalation Exposure'!$B$4:$B$61,$B206,'Inhalation Exposure'!$D$4:$D$61,$C206,'Inhalation Exposure'!$E$4:$E$61,$E206)),IF($K206="Central Tendency",SUMIFS('Dermal Crosswalk'!$P$5:$P$32,'Dermal Crosswalk'!$A$5:$A$32,'Bridge Table'!$B206,'Dermal Crosswalk'!$C$5:$C$32,'Bridge Table'!$E206),SUMIFS('Dermal Crosswalk'!$K$5:$K$32,'Dermal Crosswalk'!$A$5:$A$32,'Bridge Table'!$B206,'Dermal Crosswalk'!$C$5:$C$32,'Bridge Table'!$E206))),"--")</f>
        <v>68.511312217194558</v>
      </c>
      <c r="M206" s="586">
        <f>IFERROR(IFERROR(VLOOKUP($D206,$Z$8:$AD$9,3,FALSE),0)/IF($D206="Inhalation",IF($K206="Central Tendency",SUMIFS('Inhalation Exposure'!$AB$4:$AB$61,'Inhalation Exposure'!$B$4:$B$61,$B206,'Inhalation Exposure'!$D$4:$D$61,$C206,'Inhalation Exposure'!$E$4:$E$61,$E206),SUMIFS('Inhalation Exposure'!$AA$4:$AA$61,'Inhalation Exposure'!$B$4:$B$61,$B206,'Inhalation Exposure'!$D$4:$D$61,$C206,'Inhalation Exposure'!$E$4:$E$61,$E206)),IF($K206="Central Tendency",SUMIFS('Dermal Crosswalk'!$S$5:$S$32,'Dermal Crosswalk'!$A$5:$A$32,'Bridge Table'!$B206,'Dermal Crosswalk'!$C$5:$C$32,'Bridge Table'!$E206),SUMIFS('Dermal Crosswalk'!$N$5:$N$32,'Dermal Crosswalk'!$A$5:$A$32,'Bridge Table'!$B206,'Dermal Crosswalk'!$C$5:$C$32,'Bridge Table'!$E206))),"--")</f>
        <v>27.02961744138214</v>
      </c>
      <c r="N206" s="586">
        <f>IFERROR(IFERROR(VLOOKUP($D206,$Z$8:$AD$9,4,FALSE),0)/IF($D206="Inhalation",IF($K206="Central Tendency",SUMIFS('Inhalation Exposure'!$R$4:$R$61,'Inhalation Exposure'!$B$4:$B$61,$B206,'Inhalation Exposure'!$D$4:$D$61,$C206,'Inhalation Exposure'!$E$4:$E$61,$E206),SUMIFS('Inhalation Exposure'!$Q$4:$Q$61,'Inhalation Exposure'!$B$4:$B$61,$B206,'Inhalation Exposure'!$D$4:$D$61,$C206,'Inhalation Exposure'!$E$4:$E$61,$E206)),IF($K206="Central Tendency",SUMIFS('Dermal Crosswalk'!$Q$5:$Q$32,'Dermal Crosswalk'!$A$5:$A$32,'Bridge Table'!$B206,'Dermal Crosswalk'!$C$5:$C$32,'Bridge Table'!$E206),SUMIFS('Dermal Crosswalk'!$L$5:$L$32,'Dermal Crosswalk'!$A$5:$A$32,'Bridge Table'!$B206,'Dermal Crosswalk'!$C$5:$C$32,'Bridge Table'!$E206))),"--")</f>
        <v>28.939710407239815</v>
      </c>
      <c r="O206" s="586">
        <f>IFERROR(IFERROR(VLOOKUP($D206,$Z$8:$AD$9,5,FALSE),0)*IF($D206="Inhalation",IF($K206="Central Tendency",SUMIFS('Inhalation Exposure'!$V$4:$V$61,'Inhalation Exposure'!$B$4:$B$61,$B206,'Inhalation Exposure'!$D$4:$D$61,$C206,'Inhalation Exposure'!$E$4:$E$61,$E206),SUMIFS('Inhalation Exposure'!$U$4:$U$61,'Inhalation Exposure'!$B$4:$B$61,$B206,'Inhalation Exposure'!$D$4:$D$61,$C206,'Inhalation Exposure'!$E$4:$E$61,$E206)),IF($K206="Central Tendency",SUMIFS('Dermal Crosswalk'!$R$5:$R$32,'Dermal Crosswalk'!$A$5:$A$32,'Bridge Table'!$B206,'Dermal Crosswalk'!$C$5:$C$32,'Bridge Table'!$E206),SUMIFS('Dermal Crosswalk'!$M$5:$M$32,'Dermal Crosswalk'!$A$5:$A$32,'Bridge Table'!$B206,'Dermal Crosswalk'!$C$5:$C$32,'Bridge Table'!$E206))),"--")</f>
        <v>1.1907868170099093E-3</v>
      </c>
      <c r="P206" s="363">
        <f>IFERROR(L206*U206,"Not Assessed")</f>
        <v>685.11312217194563</v>
      </c>
      <c r="Q206" s="363">
        <f>IFERROR(M206*V206,"Not Assessed")</f>
        <v>270.2961744138214</v>
      </c>
      <c r="R206" s="363">
        <f>IFERROR(N206*W206,"Not Assessed")</f>
        <v>289.39710407239818</v>
      </c>
      <c r="S206" s="364">
        <f>IFERROR(O206/X206, "Not Assessed")</f>
        <v>1.1907868170099093E-4</v>
      </c>
      <c r="U206" s="378">
        <v>10</v>
      </c>
      <c r="V206" s="379">
        <v>10</v>
      </c>
      <c r="W206" s="379">
        <v>10</v>
      </c>
      <c r="X206" s="380">
        <v>10</v>
      </c>
    </row>
    <row r="207" spans="1:24" ht="15" thickBot="1" x14ac:dyDescent="0.35">
      <c r="A207" s="372"/>
      <c r="B207" s="360" t="s">
        <v>140</v>
      </c>
      <c r="C207" s="361" t="s">
        <v>25</v>
      </c>
      <c r="D207" s="361" t="s">
        <v>111</v>
      </c>
      <c r="E207" s="362" t="s">
        <v>117</v>
      </c>
      <c r="F207" s="589"/>
      <c r="G207" s="589"/>
      <c r="H207" s="589"/>
      <c r="I207" s="590"/>
      <c r="J207" s="590"/>
      <c r="K207" s="588"/>
      <c r="L207" s="587"/>
      <c r="M207" s="587"/>
      <c r="N207" s="587"/>
      <c r="O207" s="587"/>
      <c r="P207" s="373" t="str">
        <f>CONCATENATE("(APF ",U206,")")</f>
        <v>(APF 10)</v>
      </c>
      <c r="Q207" s="373" t="str">
        <f>CONCATENATE("(APF ",V206,")")</f>
        <v>(APF 10)</v>
      </c>
      <c r="R207" s="373" t="str">
        <f>CONCATENATE("(APF ",W206,")")</f>
        <v>(APF 10)</v>
      </c>
      <c r="S207" s="373" t="str">
        <f>CONCATENATE("(APF ",X206,")")</f>
        <v>(APF 10)</v>
      </c>
      <c r="U207" s="374" t="s">
        <v>116</v>
      </c>
      <c r="V207" s="375" t="s">
        <v>116</v>
      </c>
      <c r="W207" s="375" t="s">
        <v>116</v>
      </c>
      <c r="X207" s="376" t="s">
        <v>116</v>
      </c>
    </row>
    <row r="208" spans="1:24" ht="15" thickBot="1" x14ac:dyDescent="0.35">
      <c r="A208" s="372"/>
      <c r="B208" s="360" t="s">
        <v>140</v>
      </c>
      <c r="C208" s="361" t="s">
        <v>53</v>
      </c>
      <c r="D208" s="361" t="s">
        <v>111</v>
      </c>
      <c r="E208" s="362" t="s">
        <v>24</v>
      </c>
      <c r="F208" s="589"/>
      <c r="G208" s="589"/>
      <c r="H208" s="589"/>
      <c r="I208" s="589" t="s">
        <v>53</v>
      </c>
      <c r="J208" s="586" t="s">
        <v>115</v>
      </c>
      <c r="K208" s="584" t="s">
        <v>54</v>
      </c>
      <c r="L208" s="586" t="str">
        <f>IFERROR(IFERROR(VLOOKUP($D208,$Z$8:$AD$9,2,FALSE),0)/IF($D208="Inhalation",IF($K208="Central Tendency",SUMIFS('Inhalation Exposure'!$L$4:$L$60,'Inhalation Exposure'!$B$4:$B$60,$B208,'Inhalation Exposure'!$D$4:$D$60,$C208,'Inhalation Exposure'!$E$4:$E$60,$E208),SUMIFS('Inhalation Exposure'!$K$4:$K$60,'Inhalation Exposure'!$B$4:$B$60,$B208,'Inhalation Exposure'!$D$4:$D$60,$C208,'Inhalation Exposure'!$E$4:$E$60,$E208)),IF($K208="Central Tendency",SUMIFS('Dermal Crosswalk'!$P$5:$P$32,'Dermal Crosswalk'!$A$5:$A$32,'Bridge Table'!$B208,'Dermal Crosswalk'!$C$5:$C$32,'Bridge Table'!$E208),SUMIFS('Dermal Crosswalk'!$K$5:$K$32,'Dermal Crosswalk'!$A$5:$A$32,'Bridge Table'!$B208,'Dermal Crosswalk'!$C$5:$C$32,'Bridge Table'!$E208))),"--")</f>
        <v>--</v>
      </c>
      <c r="M208" s="586" t="str">
        <f>IFERROR(IFERROR(VLOOKUP($D208,$Z$8:$AD$9,3,FALSE),0)/IF($D208="Inhalation",IF($K208="Central Tendency",SUMIFS('Inhalation Exposure'!$AB$4:$AB$60,'Inhalation Exposure'!$B$4:$B$60,$B208,'Inhalation Exposure'!$D$4:$D$60,$C208,'Inhalation Exposure'!$E$4:$E$60,$E208),SUMIFS('Inhalation Exposure'!$AA$4:$AA$60,'Inhalation Exposure'!$B$4:$B$60,$B208,'Inhalation Exposure'!$D$4:$D$60,$C208,'Inhalation Exposure'!$E$4:$E$60,$E208)),IF($K208="Central Tendency",SUMIFS('Dermal Crosswalk'!$S$5:$S$32,'Dermal Crosswalk'!$A$5:$A$32,'Bridge Table'!$B208,'Dermal Crosswalk'!$C$5:$C$32,'Bridge Table'!$E208),SUMIFS('Dermal Crosswalk'!$N$5:$N$32,'Dermal Crosswalk'!$A$5:$A$32,'Bridge Table'!$B208,'Dermal Crosswalk'!$C$5:$C$32,'Bridge Table'!$E208))),"--")</f>
        <v>--</v>
      </c>
      <c r="N208" s="586" t="str">
        <f>IFERROR(IFERROR(VLOOKUP($D208,$Z$8:$AD$9,4,FALSE),0)/IF($D208="Inhalation",IF($K208="Central Tendency",SUMIFS('Inhalation Exposure'!$R$4:$R$60,'Inhalation Exposure'!$B$4:$B$60,$B208,'Inhalation Exposure'!$D$4:$D$60,$C208,'Inhalation Exposure'!$E$4:$E$60,$E208),SUMIFS('Inhalation Exposure'!$Q$4:$Q$60,'Inhalation Exposure'!$B$4:$B$60,$B208,'Inhalation Exposure'!$D$4:$D$60,$C208,'Inhalation Exposure'!$E$4:$E$60,$E208)),IF($K208="Central Tendency",SUMIFS('Dermal Crosswalk'!$Q$5:$Q$32,'Dermal Crosswalk'!$A$5:$A$32,'Bridge Table'!$B208,'Dermal Crosswalk'!$C$5:$C$32,'Bridge Table'!$E208),SUMIFS('Dermal Crosswalk'!$L$5:$L$32,'Dermal Crosswalk'!$A$5:$A$32,'Bridge Table'!$B208,'Dermal Crosswalk'!$C$5:$C$32,'Bridge Table'!$E208))),"--")</f>
        <v>--</v>
      </c>
      <c r="O208" s="586" t="str">
        <f>IF(IFERROR(VLOOKUP($D208,$Z$8:$AD$9,5,FALSE),0)*IF($D208="Inhalation",IF($K208="Central Tendency",SUMIFS('Inhalation Exposure'!$V$4:$V$60,'Inhalation Exposure'!$B$4:$B$60,$B208,'Inhalation Exposure'!$D$4:$D$60,$C208,'Inhalation Exposure'!$E$4:$E$60,$E208),SUMIFS('Inhalation Exposure'!$U$4:$U$60,'Inhalation Exposure'!$B$4:$B$60,$B208,'Inhalation Exposure'!$D$4:$D$60,$C208,'Inhalation Exposure'!$E$4:$E$60,$E208)),IF($K208="Central Tendency",SUMIFS('Dermal Crosswalk'!$R$5:$R$32,'Dermal Crosswalk'!$A$5:$A$32,'Bridge Table'!$B208,'Dermal Crosswalk'!$C$5:$C$32,'Bridge Table'!$E208),SUMIFS('Dermal Crosswalk'!$M$5:$M$32,'Dermal Crosswalk'!$A$5:$A$32,'Bridge Table'!$B208,'Dermal Crosswalk'!$C$5:$C$32,'Bridge Table'!$E208)))=0,"--",IFERROR(VLOOKUP($D208,$Z$8:$AD$9,5,FALSE),0)*IF($D208="Inhalation",IF($K208="Central Tendency",SUMIFS('Inhalation Exposure'!$V$4:$V$60,'Inhalation Exposure'!$B$4:$B$60,$B208,'Inhalation Exposure'!$D$4:$D$60,$C208,'Inhalation Exposure'!$E$4:$E$60,$E208),SUMIFS('Inhalation Exposure'!$U$4:$U$60,'Inhalation Exposure'!$B$4:$B$60,$B208,'Inhalation Exposure'!$D$4:$D$60,$C208,'Inhalation Exposure'!$E$4:$E$60,$E208)),IF($K208="Central Tendency",SUMIFS('Dermal Crosswalk'!$R$5:$R$32,'Dermal Crosswalk'!$A$5:$A$32,'Bridge Table'!$B208,'Dermal Crosswalk'!$C$5:$C$32,'Bridge Table'!$E208),SUMIFS('Dermal Crosswalk'!$M$5:$M$32,'Dermal Crosswalk'!$A$5:$A$32,'Bridge Table'!$B208,'Dermal Crosswalk'!$C$5:$C$32,'Bridge Table'!$E208))))</f>
        <v>--</v>
      </c>
      <c r="P208" s="610" t="s">
        <v>118</v>
      </c>
      <c r="Q208" s="610" t="s">
        <v>118</v>
      </c>
      <c r="R208" s="610" t="s">
        <v>118</v>
      </c>
      <c r="S208" s="610" t="s">
        <v>118</v>
      </c>
      <c r="U208" s="612" t="s">
        <v>118</v>
      </c>
      <c r="V208" s="614" t="s">
        <v>118</v>
      </c>
      <c r="W208" s="614" t="s">
        <v>118</v>
      </c>
      <c r="X208" s="616" t="s">
        <v>118</v>
      </c>
    </row>
    <row r="209" spans="1:24" ht="15" thickBot="1" x14ac:dyDescent="0.35">
      <c r="A209" s="372"/>
      <c r="B209" s="360" t="s">
        <v>140</v>
      </c>
      <c r="C209" s="361" t="s">
        <v>53</v>
      </c>
      <c r="D209" s="361" t="s">
        <v>111</v>
      </c>
      <c r="E209" s="362" t="s">
        <v>24</v>
      </c>
      <c r="F209" s="589"/>
      <c r="G209" s="589"/>
      <c r="H209" s="589"/>
      <c r="I209" s="589"/>
      <c r="J209" s="589"/>
      <c r="K209" s="585"/>
      <c r="L209" s="587"/>
      <c r="M209" s="587"/>
      <c r="N209" s="587"/>
      <c r="O209" s="587"/>
      <c r="P209" s="611"/>
      <c r="Q209" s="611"/>
      <c r="R209" s="611"/>
      <c r="S209" s="611"/>
      <c r="U209" s="613"/>
      <c r="V209" s="615"/>
      <c r="W209" s="615"/>
      <c r="X209" s="617"/>
    </row>
    <row r="210" spans="1:24" ht="15" thickBot="1" x14ac:dyDescent="0.35">
      <c r="A210" s="372"/>
      <c r="B210" s="360" t="s">
        <v>140</v>
      </c>
      <c r="C210" s="361" t="s">
        <v>53</v>
      </c>
      <c r="D210" s="361" t="s">
        <v>111</v>
      </c>
      <c r="E210" s="362" t="s">
        <v>24</v>
      </c>
      <c r="F210" s="589"/>
      <c r="G210" s="589"/>
      <c r="H210" s="589"/>
      <c r="I210" s="589"/>
      <c r="J210" s="589"/>
      <c r="K210" s="584" t="s">
        <v>88</v>
      </c>
      <c r="L210" s="586" t="str">
        <f>IFERROR(IFERROR(VLOOKUP($D210,$Z$8:$AD$9,2,FALSE),0)/IF($D210="Inhalation",IF($K210="Central Tendency",SUMIFS('Inhalation Exposure'!$L$4:$L$60,'Inhalation Exposure'!$B$4:$B$60,$B210,'Inhalation Exposure'!$D$4:$D$60,$C210,'Inhalation Exposure'!$E$4:$E$60,$E210),SUMIFS('Inhalation Exposure'!$K$4:$K$60,'Inhalation Exposure'!$B$4:$B$60,$B210,'Inhalation Exposure'!$D$4:$D$60,$C210,'Inhalation Exposure'!$E$4:$E$60,$E210)),IF($K210="Central Tendency",SUMIFS('Dermal Crosswalk'!$P$5:$P$32,'Dermal Crosswalk'!$A$5:$A$32,'Bridge Table'!$B210,'Dermal Crosswalk'!$C$5:$C$32,'Bridge Table'!$E210),SUMIFS('Dermal Crosswalk'!$K$5:$K$32,'Dermal Crosswalk'!$A$5:$A$32,'Bridge Table'!$B210,'Dermal Crosswalk'!$C$5:$C$32,'Bridge Table'!$E210))),"--")</f>
        <v>--</v>
      </c>
      <c r="M210" s="586" t="str">
        <f>IFERROR(IFERROR(VLOOKUP($D210,$Z$8:$AD$9,3,FALSE),0)/IF($D210="Inhalation",IF($K210="Central Tendency",SUMIFS('Inhalation Exposure'!$AB$4:$AB$60,'Inhalation Exposure'!$B$4:$B$60,$B210,'Inhalation Exposure'!$D$4:$D$60,$C210,'Inhalation Exposure'!$E$4:$E$60,$E210),SUMIFS('Inhalation Exposure'!$AA$4:$AA$60,'Inhalation Exposure'!$B$4:$B$60,$B210,'Inhalation Exposure'!$D$4:$D$60,$C210,'Inhalation Exposure'!$E$4:$E$60,$E210)),IF($K210="Central Tendency",SUMIFS('Dermal Crosswalk'!$S$5:$S$32,'Dermal Crosswalk'!$A$5:$A$32,'Bridge Table'!$B210,'Dermal Crosswalk'!$C$5:$C$32,'Bridge Table'!$E210),SUMIFS('Dermal Crosswalk'!$N$5:$N$32,'Dermal Crosswalk'!$A$5:$A$32,'Bridge Table'!$B210,'Dermal Crosswalk'!$C$5:$C$32,'Bridge Table'!$E210))),"--")</f>
        <v>--</v>
      </c>
      <c r="N210" s="586" t="str">
        <f>IFERROR(IFERROR(VLOOKUP($D210,$Z$8:$AD$9,4,FALSE),0)/IF($D210="Inhalation",IF($K210="Central Tendency",SUMIFS('Inhalation Exposure'!$R$4:$R$60,'Inhalation Exposure'!$B$4:$B$60,$B210,'Inhalation Exposure'!$D$4:$D$60,$C210,'Inhalation Exposure'!$E$4:$E$60,$E210),SUMIFS('Inhalation Exposure'!$Q$4:$Q$60,'Inhalation Exposure'!$B$4:$B$60,$B210,'Inhalation Exposure'!$D$4:$D$60,$C210,'Inhalation Exposure'!$E$4:$E$60,$E210)),IF($K210="Central Tendency",SUMIFS('Dermal Crosswalk'!$Q$5:$Q$32,'Dermal Crosswalk'!$A$5:$A$32,'Bridge Table'!$B210,'Dermal Crosswalk'!$C$5:$C$32,'Bridge Table'!$E210),SUMIFS('Dermal Crosswalk'!$L$5:$L$32,'Dermal Crosswalk'!$A$5:$A$32,'Bridge Table'!$B210,'Dermal Crosswalk'!$C$5:$C$32,'Bridge Table'!$E210))),"--")</f>
        <v>--</v>
      </c>
      <c r="O210" s="586" t="str">
        <f>IF(IFERROR(VLOOKUP($D210,$Z$8:$AD$9,5,FALSE),0)*IF($D210="Inhalation",IF($K210="Central Tendency",SUMIFS('Inhalation Exposure'!$V$4:$V$60,'Inhalation Exposure'!$B$4:$B$60,$B210,'Inhalation Exposure'!$D$4:$D$60,$C210,'Inhalation Exposure'!$E$4:$E$60,$E210),SUMIFS('Inhalation Exposure'!$U$4:$U$60,'Inhalation Exposure'!$B$4:$B$60,$B210,'Inhalation Exposure'!$D$4:$D$60,$C210,'Inhalation Exposure'!$E$4:$E$60,$E210)),IF($K210="Central Tendency",SUMIFS('Dermal Crosswalk'!$R$5:$R$32,'Dermal Crosswalk'!$A$5:$A$32,'Bridge Table'!$B210,'Dermal Crosswalk'!$C$5:$C$32,'Bridge Table'!$E210),SUMIFS('Dermal Crosswalk'!$M$5:$M$32,'Dermal Crosswalk'!$A$5:$A$32,'Bridge Table'!$B210,'Dermal Crosswalk'!$C$5:$C$32,'Bridge Table'!$E210)))=0,"--",IFERROR(VLOOKUP($D210,$Z$8:$AD$9,5,FALSE),0)*IF($D210="Inhalation",IF($K210="Central Tendency",SUMIFS('Inhalation Exposure'!$V$4:$V$60,'Inhalation Exposure'!$B$4:$B$60,$B210,'Inhalation Exposure'!$D$4:$D$60,$C210,'Inhalation Exposure'!$E$4:$E$60,$E210),SUMIFS('Inhalation Exposure'!$U$4:$U$60,'Inhalation Exposure'!$B$4:$B$60,$B210,'Inhalation Exposure'!$D$4:$D$60,$C210,'Inhalation Exposure'!$E$4:$E$60,$E210)),IF($K210="Central Tendency",SUMIFS('Dermal Crosswalk'!$R$5:$R$32,'Dermal Crosswalk'!$A$5:$A$32,'Bridge Table'!$B210,'Dermal Crosswalk'!$C$5:$C$32,'Bridge Table'!$E210),SUMIFS('Dermal Crosswalk'!$M$5:$M$32,'Dermal Crosswalk'!$A$5:$A$32,'Bridge Table'!$B210,'Dermal Crosswalk'!$C$5:$C$32,'Bridge Table'!$E210))))</f>
        <v>--</v>
      </c>
      <c r="P210" s="610" t="s">
        <v>118</v>
      </c>
      <c r="Q210" s="610" t="s">
        <v>118</v>
      </c>
      <c r="R210" s="610" t="s">
        <v>118</v>
      </c>
      <c r="S210" s="610" t="s">
        <v>118</v>
      </c>
      <c r="U210" s="612" t="s">
        <v>118</v>
      </c>
      <c r="V210" s="614" t="s">
        <v>118</v>
      </c>
      <c r="W210" s="614" t="s">
        <v>118</v>
      </c>
      <c r="X210" s="616" t="s">
        <v>118</v>
      </c>
    </row>
    <row r="211" spans="1:24" ht="15" thickBot="1" x14ac:dyDescent="0.35">
      <c r="A211" s="372"/>
      <c r="B211" s="360" t="s">
        <v>140</v>
      </c>
      <c r="C211" s="361" t="s">
        <v>53</v>
      </c>
      <c r="D211" s="361" t="s">
        <v>111</v>
      </c>
      <c r="E211" s="362" t="s">
        <v>24</v>
      </c>
      <c r="F211" s="589"/>
      <c r="G211" s="589"/>
      <c r="H211" s="589"/>
      <c r="I211" s="590"/>
      <c r="J211" s="590"/>
      <c r="K211" s="588"/>
      <c r="L211" s="587"/>
      <c r="M211" s="587"/>
      <c r="N211" s="587"/>
      <c r="O211" s="587"/>
      <c r="P211" s="611"/>
      <c r="Q211" s="611"/>
      <c r="R211" s="611"/>
      <c r="S211" s="611"/>
      <c r="U211" s="613"/>
      <c r="V211" s="615"/>
      <c r="W211" s="615"/>
      <c r="X211" s="617"/>
    </row>
    <row r="212" spans="1:24" ht="15" thickBot="1" x14ac:dyDescent="0.35">
      <c r="A212" s="372"/>
      <c r="B212" s="360" t="s">
        <v>140</v>
      </c>
      <c r="C212" s="361" t="s">
        <v>53</v>
      </c>
      <c r="D212" s="361" t="s">
        <v>111</v>
      </c>
      <c r="E212" s="362" t="s">
        <v>117</v>
      </c>
      <c r="F212" s="589"/>
      <c r="G212" s="589"/>
      <c r="H212" s="589"/>
      <c r="I212" s="589" t="s">
        <v>53</v>
      </c>
      <c r="J212" s="586" t="s">
        <v>115</v>
      </c>
      <c r="K212" s="584" t="s">
        <v>54</v>
      </c>
      <c r="L212" s="586" t="str">
        <f>IFERROR(IFERROR(VLOOKUP($D212,$Z$8:$AD$9,2,FALSE),0)/IF($D212="Inhalation",IF($K212="Central Tendency",SUMIFS('Inhalation Exposure'!$L$4:$L$60,'Inhalation Exposure'!$B$4:$B$60,$B212,'Inhalation Exposure'!$D$4:$D$60,$C212,'Inhalation Exposure'!$E$4:$E$60,$E212),SUMIFS('Inhalation Exposure'!$K$4:$K$60,'Inhalation Exposure'!$B$4:$B$60,$B212,'Inhalation Exposure'!$D$4:$D$60,$C212,'Inhalation Exposure'!$E$4:$E$60,$E212)),IF($K212="Central Tendency",SUMIFS('Dermal Crosswalk'!$P$5:$P$32,'Dermal Crosswalk'!$A$5:$A$32,'Bridge Table'!$B212,'Dermal Crosswalk'!$C$5:$C$32,'Bridge Table'!$E212),SUMIFS('Dermal Crosswalk'!$K$5:$K$32,'Dermal Crosswalk'!$A$5:$A$32,'Bridge Table'!$B212,'Dermal Crosswalk'!$C$5:$C$32,'Bridge Table'!$E212))),"--")</f>
        <v>--</v>
      </c>
      <c r="M212" s="586" t="str">
        <f>IFERROR(IFERROR(VLOOKUP($D212,$Z$8:$AD$9,3,FALSE),0)/IF($D212="Inhalation",IF($K212="Central Tendency",SUMIFS('Inhalation Exposure'!$AB$4:$AB$60,'Inhalation Exposure'!$B$4:$B$60,$B212,'Inhalation Exposure'!$D$4:$D$60,$C212,'Inhalation Exposure'!$E$4:$E$60,$E212),SUMIFS('Inhalation Exposure'!$AA$4:$AA$60,'Inhalation Exposure'!$B$4:$B$60,$B212,'Inhalation Exposure'!$D$4:$D$60,$C212,'Inhalation Exposure'!$E$4:$E$60,$E212)),IF($K212="Central Tendency",SUMIFS('Dermal Crosswalk'!$S$5:$S$32,'Dermal Crosswalk'!$A$5:$A$32,'Bridge Table'!$B212,'Dermal Crosswalk'!$C$5:$C$32,'Bridge Table'!$E212),SUMIFS('Dermal Crosswalk'!$N$5:$N$32,'Dermal Crosswalk'!$A$5:$A$32,'Bridge Table'!$B212,'Dermal Crosswalk'!$C$5:$C$32,'Bridge Table'!$E212))),"--")</f>
        <v>--</v>
      </c>
      <c r="N212" s="586" t="str">
        <f>IFERROR(IFERROR(VLOOKUP($D212,$Z$8:$AD$9,4,FALSE),0)/IF($D212="Inhalation",IF($K212="Central Tendency",SUMIFS('Inhalation Exposure'!$R$4:$R$60,'Inhalation Exposure'!$B$4:$B$60,$B212,'Inhalation Exposure'!$D$4:$D$60,$C212,'Inhalation Exposure'!$E$4:$E$60,$E212),SUMIFS('Inhalation Exposure'!$Q$4:$Q$60,'Inhalation Exposure'!$B$4:$B$60,$B212,'Inhalation Exposure'!$D$4:$D$60,$C212,'Inhalation Exposure'!$E$4:$E$60,$E212)),IF($K212="Central Tendency",SUMIFS('Dermal Crosswalk'!$Q$5:$Q$32,'Dermal Crosswalk'!$A$5:$A$32,'Bridge Table'!$B212,'Dermal Crosswalk'!$C$5:$C$32,'Bridge Table'!$E212),SUMIFS('Dermal Crosswalk'!$L$5:$L$32,'Dermal Crosswalk'!$A$5:$A$32,'Bridge Table'!$B212,'Dermal Crosswalk'!$C$5:$C$32,'Bridge Table'!$E212))),"--")</f>
        <v>--</v>
      </c>
      <c r="O212" s="586" t="str">
        <f>IF(IFERROR(VLOOKUP($D212,$Z$8:$AD$9,5,FALSE),0)*IF($D212="Inhalation",IF($K212="Central Tendency",SUMIFS('Inhalation Exposure'!$V$4:$V$60,'Inhalation Exposure'!$B$4:$B$60,$B212,'Inhalation Exposure'!$D$4:$D$60,$C212,'Inhalation Exposure'!$E$4:$E$60,$E212),SUMIFS('Inhalation Exposure'!$U$4:$U$60,'Inhalation Exposure'!$B$4:$B$60,$B212,'Inhalation Exposure'!$D$4:$D$60,$C212,'Inhalation Exposure'!$E$4:$E$60,$E212)),IF($K212="Central Tendency",SUMIFS('Dermal Crosswalk'!$R$5:$R$32,'Dermal Crosswalk'!$A$5:$A$32,'Bridge Table'!$B212,'Dermal Crosswalk'!$C$5:$C$32,'Bridge Table'!$E212),SUMIFS('Dermal Crosswalk'!$M$5:$M$32,'Dermal Crosswalk'!$A$5:$A$32,'Bridge Table'!$B212,'Dermal Crosswalk'!$C$5:$C$32,'Bridge Table'!$E212)))=0,"--",IFERROR(VLOOKUP($D212,$Z$8:$AD$9,5,FALSE),0)*IF($D212="Inhalation",IF($K212="Central Tendency",SUMIFS('Inhalation Exposure'!$V$4:$V$60,'Inhalation Exposure'!$B$4:$B$60,$B212,'Inhalation Exposure'!$D$4:$D$60,$C212,'Inhalation Exposure'!$E$4:$E$60,$E212),SUMIFS('Inhalation Exposure'!$U$4:$U$60,'Inhalation Exposure'!$B$4:$B$60,$B212,'Inhalation Exposure'!$D$4:$D$60,$C212,'Inhalation Exposure'!$E$4:$E$60,$E212)),IF($K212="Central Tendency",SUMIFS('Dermal Crosswalk'!$R$5:$R$32,'Dermal Crosswalk'!$A$5:$A$32,'Bridge Table'!$B212,'Dermal Crosswalk'!$C$5:$C$32,'Bridge Table'!$E212),SUMIFS('Dermal Crosswalk'!$M$5:$M$32,'Dermal Crosswalk'!$A$5:$A$32,'Bridge Table'!$B212,'Dermal Crosswalk'!$C$5:$C$32,'Bridge Table'!$E212))))</f>
        <v>--</v>
      </c>
      <c r="P212" s="610" t="s">
        <v>118</v>
      </c>
      <c r="Q212" s="610" t="s">
        <v>118</v>
      </c>
      <c r="R212" s="610" t="s">
        <v>118</v>
      </c>
      <c r="S212" s="610" t="s">
        <v>118</v>
      </c>
      <c r="U212" s="612" t="s">
        <v>118</v>
      </c>
      <c r="V212" s="614" t="s">
        <v>118</v>
      </c>
      <c r="W212" s="614" t="s">
        <v>118</v>
      </c>
      <c r="X212" s="616" t="s">
        <v>118</v>
      </c>
    </row>
    <row r="213" spans="1:24" ht="15" thickBot="1" x14ac:dyDescent="0.35">
      <c r="A213" s="372"/>
      <c r="B213" s="360" t="s">
        <v>140</v>
      </c>
      <c r="C213" s="361" t="s">
        <v>53</v>
      </c>
      <c r="D213" s="361" t="s">
        <v>111</v>
      </c>
      <c r="E213" s="362" t="s">
        <v>117</v>
      </c>
      <c r="F213" s="589"/>
      <c r="G213" s="589"/>
      <c r="H213" s="589"/>
      <c r="I213" s="589"/>
      <c r="J213" s="589"/>
      <c r="K213" s="585"/>
      <c r="L213" s="587"/>
      <c r="M213" s="587"/>
      <c r="N213" s="587"/>
      <c r="O213" s="587"/>
      <c r="P213" s="611"/>
      <c r="Q213" s="611"/>
      <c r="R213" s="611"/>
      <c r="S213" s="611"/>
      <c r="U213" s="613"/>
      <c r="V213" s="615"/>
      <c r="W213" s="615"/>
      <c r="X213" s="617"/>
    </row>
    <row r="214" spans="1:24" ht="15" thickBot="1" x14ac:dyDescent="0.35">
      <c r="A214" s="372"/>
      <c r="B214" s="360" t="s">
        <v>140</v>
      </c>
      <c r="C214" s="361" t="s">
        <v>53</v>
      </c>
      <c r="D214" s="361" t="s">
        <v>111</v>
      </c>
      <c r="E214" s="362" t="s">
        <v>117</v>
      </c>
      <c r="F214" s="589"/>
      <c r="G214" s="589"/>
      <c r="H214" s="589"/>
      <c r="I214" s="589"/>
      <c r="J214" s="589"/>
      <c r="K214" s="584" t="s">
        <v>88</v>
      </c>
      <c r="L214" s="586" t="str">
        <f>IFERROR(IFERROR(VLOOKUP($D214,$Z$8:$AD$9,2,FALSE),0)/IF($D214="Inhalation",IF($K214="Central Tendency",SUMIFS('Inhalation Exposure'!$L$4:$L$60,'Inhalation Exposure'!$B$4:$B$60,$B214,'Inhalation Exposure'!$D$4:$D$60,$C214,'Inhalation Exposure'!$E$4:$E$60,$E214),SUMIFS('Inhalation Exposure'!$K$4:$K$60,'Inhalation Exposure'!$B$4:$B$60,$B214,'Inhalation Exposure'!$D$4:$D$60,$C214,'Inhalation Exposure'!$E$4:$E$60,$E214)),IF($K214="Central Tendency",SUMIFS('Dermal Crosswalk'!$P$5:$P$32,'Dermal Crosswalk'!$A$5:$A$32,'Bridge Table'!$B214,'Dermal Crosswalk'!$C$5:$C$32,'Bridge Table'!$E214),SUMIFS('Dermal Crosswalk'!$K$5:$K$32,'Dermal Crosswalk'!$A$5:$A$32,'Bridge Table'!$B214,'Dermal Crosswalk'!$C$5:$C$32,'Bridge Table'!$E214))),"--")</f>
        <v>--</v>
      </c>
      <c r="M214" s="586" t="str">
        <f>IFERROR(IFERROR(VLOOKUP($D214,$Z$8:$AD$9,3,FALSE),0)/IF($D214="Inhalation",IF($K214="Central Tendency",SUMIFS('Inhalation Exposure'!$AB$4:$AB$60,'Inhalation Exposure'!$B$4:$B$60,$B214,'Inhalation Exposure'!$D$4:$D$60,$C214,'Inhalation Exposure'!$E$4:$E$60,$E214),SUMIFS('Inhalation Exposure'!$AA$4:$AA$60,'Inhalation Exposure'!$B$4:$B$60,$B214,'Inhalation Exposure'!$D$4:$D$60,$C214,'Inhalation Exposure'!$E$4:$E$60,$E214)),IF($K214="Central Tendency",SUMIFS('Dermal Crosswalk'!$S$5:$S$32,'Dermal Crosswalk'!$A$5:$A$32,'Bridge Table'!$B214,'Dermal Crosswalk'!$C$5:$C$32,'Bridge Table'!$E214),SUMIFS('Dermal Crosswalk'!$N$5:$N$32,'Dermal Crosswalk'!$A$5:$A$32,'Bridge Table'!$B214,'Dermal Crosswalk'!$C$5:$C$32,'Bridge Table'!$E214))),"--")</f>
        <v>--</v>
      </c>
      <c r="N214" s="586" t="str">
        <f>IFERROR(IFERROR(VLOOKUP($D214,$Z$8:$AD$9,4,FALSE),0)/IF($D214="Inhalation",IF($K214="Central Tendency",SUMIFS('Inhalation Exposure'!$R$4:$R$60,'Inhalation Exposure'!$B$4:$B$60,$B214,'Inhalation Exposure'!$D$4:$D$60,$C214,'Inhalation Exposure'!$E$4:$E$60,$E214),SUMIFS('Inhalation Exposure'!$Q$4:$Q$60,'Inhalation Exposure'!$B$4:$B$60,$B214,'Inhalation Exposure'!$D$4:$D$60,$C214,'Inhalation Exposure'!$E$4:$E$60,$E214)),IF($K214="Central Tendency",SUMIFS('Dermal Crosswalk'!$Q$5:$Q$32,'Dermal Crosswalk'!$A$5:$A$32,'Bridge Table'!$B214,'Dermal Crosswalk'!$C$5:$C$32,'Bridge Table'!$E214),SUMIFS('Dermal Crosswalk'!$L$5:$L$32,'Dermal Crosswalk'!$A$5:$A$32,'Bridge Table'!$B214,'Dermal Crosswalk'!$C$5:$C$32,'Bridge Table'!$E214))),"--")</f>
        <v>--</v>
      </c>
      <c r="O214" s="586" t="str">
        <f>IF(IFERROR(VLOOKUP($D214,$Z$8:$AD$9,5,FALSE),0)*IF($D214="Inhalation",IF($K214="Central Tendency",SUMIFS('Inhalation Exposure'!$V$4:$V$60,'Inhalation Exposure'!$B$4:$B$60,$B214,'Inhalation Exposure'!$D$4:$D$60,$C214,'Inhalation Exposure'!$E$4:$E$60,$E214),SUMIFS('Inhalation Exposure'!$U$4:$U$60,'Inhalation Exposure'!$B$4:$B$60,$B214,'Inhalation Exposure'!$D$4:$D$60,$C214,'Inhalation Exposure'!$E$4:$E$60,$E214)),IF($K214="Central Tendency",SUMIFS('Dermal Crosswalk'!$R$5:$R$32,'Dermal Crosswalk'!$A$5:$A$32,'Bridge Table'!$B214,'Dermal Crosswalk'!$C$5:$C$32,'Bridge Table'!$E214),SUMIFS('Dermal Crosswalk'!$M$5:$M$32,'Dermal Crosswalk'!$A$5:$A$32,'Bridge Table'!$B214,'Dermal Crosswalk'!$C$5:$C$32,'Bridge Table'!$E214)))=0,"--",IFERROR(VLOOKUP($D214,$Z$8:$AD$9,5,FALSE),0)*IF($D214="Inhalation",IF($K214="Central Tendency",SUMIFS('Inhalation Exposure'!$V$4:$V$60,'Inhalation Exposure'!$B$4:$B$60,$B214,'Inhalation Exposure'!$D$4:$D$60,$C214,'Inhalation Exposure'!$E$4:$E$60,$E214),SUMIFS('Inhalation Exposure'!$U$4:$U$60,'Inhalation Exposure'!$B$4:$B$60,$B214,'Inhalation Exposure'!$D$4:$D$60,$C214,'Inhalation Exposure'!$E$4:$E$60,$E214)),IF($K214="Central Tendency",SUMIFS('Dermal Crosswalk'!$R$5:$R$32,'Dermal Crosswalk'!$A$5:$A$32,'Bridge Table'!$B214,'Dermal Crosswalk'!$C$5:$C$32,'Bridge Table'!$E214),SUMIFS('Dermal Crosswalk'!$M$5:$M$32,'Dermal Crosswalk'!$A$5:$A$32,'Bridge Table'!$B214,'Dermal Crosswalk'!$C$5:$C$32,'Bridge Table'!$E214))))</f>
        <v>--</v>
      </c>
      <c r="P214" s="610" t="s">
        <v>118</v>
      </c>
      <c r="Q214" s="610" t="s">
        <v>118</v>
      </c>
      <c r="R214" s="610" t="s">
        <v>118</v>
      </c>
      <c r="S214" s="610" t="s">
        <v>118</v>
      </c>
      <c r="U214" s="612" t="s">
        <v>118</v>
      </c>
      <c r="V214" s="614" t="s">
        <v>118</v>
      </c>
      <c r="W214" s="614" t="s">
        <v>118</v>
      </c>
      <c r="X214" s="616" t="s">
        <v>118</v>
      </c>
    </row>
    <row r="215" spans="1:24" ht="15" thickBot="1" x14ac:dyDescent="0.35">
      <c r="A215" s="372"/>
      <c r="B215" s="360" t="s">
        <v>140</v>
      </c>
      <c r="C215" s="361" t="s">
        <v>53</v>
      </c>
      <c r="D215" s="361" t="s">
        <v>111</v>
      </c>
      <c r="E215" s="362" t="s">
        <v>117</v>
      </c>
      <c r="F215" s="589"/>
      <c r="G215" s="589"/>
      <c r="H215" s="589"/>
      <c r="I215" s="590"/>
      <c r="J215" s="590"/>
      <c r="K215" s="588"/>
      <c r="L215" s="587"/>
      <c r="M215" s="587"/>
      <c r="N215" s="587"/>
      <c r="O215" s="587"/>
      <c r="P215" s="611"/>
      <c r="Q215" s="611"/>
      <c r="R215" s="611"/>
      <c r="S215" s="611"/>
      <c r="U215" s="613"/>
      <c r="V215" s="615"/>
      <c r="W215" s="615"/>
      <c r="X215" s="617"/>
    </row>
    <row r="216" spans="1:24" ht="15" customHeight="1" thickTop="1" thickBot="1" x14ac:dyDescent="0.35">
      <c r="A216" s="372"/>
      <c r="B216" s="360" t="s">
        <v>140</v>
      </c>
      <c r="C216" s="361" t="s">
        <v>25</v>
      </c>
      <c r="D216" s="361" t="s">
        <v>16</v>
      </c>
      <c r="E216" s="362" t="s">
        <v>24</v>
      </c>
      <c r="F216" s="589"/>
      <c r="G216" s="589"/>
      <c r="H216" s="589"/>
      <c r="I216" s="589" t="s">
        <v>25</v>
      </c>
      <c r="J216" s="609" t="s">
        <v>16</v>
      </c>
      <c r="K216" s="607" t="s">
        <v>54</v>
      </c>
      <c r="L216" s="586">
        <f>IFERROR(IFERROR(VLOOKUP($D216,$Z$8:$AD$9,2,FALSE),0)/IF($D216="Inhalation",IF($K216="Central Tendency",SUMIFS('Inhalation Exposure'!$N$4:$N$61,'Inhalation Exposure'!$B$4:$B$61,$B216,'Inhalation Exposure'!$D$4:$D$61,$C216,'Inhalation Exposure'!$E$4:$E$61,$E216),SUMIFS('Inhalation Exposure'!$M$4:$M$61,'Inhalation Exposure'!$B$4:$B$61,$B216,'Inhalation Exposure'!$D$4:$D$61,$C216,'Inhalation Exposure'!$E$4:$E$61,$E216)),IF($K216="Central Tendency",SUMIFS('Dermal Crosswalk'!$P$5:$P$32,'Dermal Crosswalk'!$A$5:$A$32,'Bridge Table'!$B216,'Dermal Crosswalk'!$C$5:$C$32,'Bridge Table'!$E216),SUMIFS('Dermal Crosswalk'!$K$5:$K$32,'Dermal Crosswalk'!$A$5:$A$32,'Bridge Table'!$B216,'Dermal Crosswalk'!$C$5:$C$32,'Bridge Table'!$E216))),"--")</f>
        <v>31.953454692846993</v>
      </c>
      <c r="M216" s="586">
        <f>IFERROR(IFERROR(VLOOKUP($D216,$Z$8:$AD$9,3,FALSE),0)/IF($D216="Inhalation",IF($K216="Central Tendency",SUMIFS('Inhalation Exposure'!$AB$4:$AB$61,'Inhalation Exposure'!$B$4:$B$61,$B216,'Inhalation Exposure'!$D$4:$D$61,$C216,'Inhalation Exposure'!$E$4:$E$61,$E216),SUMIFS('Inhalation Exposure'!$AA$4:$AA$61,'Inhalation Exposure'!$B$4:$B$61,$B216,'Inhalation Exposure'!$D$4:$D$61,$C216,'Inhalation Exposure'!$E$4:$E$61,$E216)),IF($K216="Central Tendency",SUMIFS('Dermal Crosswalk'!$S$5:$S$32,'Dermal Crosswalk'!$A$5:$A$32,'Bridge Table'!$B216,'Dermal Crosswalk'!$C$5:$C$32,'Bridge Table'!$E216),SUMIFS('Dermal Crosswalk'!$N$5:$N$32,'Dermal Crosswalk'!$A$5:$A$32,'Bridge Table'!$B216,'Dermal Crosswalk'!$C$5:$C$32,'Bridge Table'!$E216))),"--")</f>
        <v>12.574418313204731</v>
      </c>
      <c r="N216" s="586">
        <f>IFERROR(IFERROR(VLOOKUP($D216,$Z$8:$AD$9,4,FALSE),0)/IF($D216="Inhalation",IF($K216="Central Tendency",SUMIFS('Inhalation Exposure'!$R$4:$R$61,'Inhalation Exposure'!$B$4:$B$61,$B216,'Inhalation Exposure'!$D$4:$D$61,$C216,'Inhalation Exposure'!$E$4:$E$61,$E216),SUMIFS('Inhalation Exposure'!$Q$4:$Q$61,'Inhalation Exposure'!$B$4:$B$61,$B216,'Inhalation Exposure'!$D$4:$D$61,$C216,'Inhalation Exposure'!$E$4:$E$61,$E216)),IF($K216="Central Tendency",SUMIFS('Dermal Crosswalk'!$Q$5:$Q$32,'Dermal Crosswalk'!$A$5:$A$32,'Bridge Table'!$B216,'Dermal Crosswalk'!$C$5:$C$32,'Bridge Table'!$E216),SUMIFS('Dermal Crosswalk'!$L$5:$L$32,'Dermal Crosswalk'!$A$5:$A$32,'Bridge Table'!$B216,'Dermal Crosswalk'!$C$5:$C$32,'Bridge Table'!$E216))),"--")</f>
        <v>13.463010540671201</v>
      </c>
      <c r="O216" s="586">
        <f>IFERROR(IFERROR(VLOOKUP($D216,$Z$8:$AD$9,5,FALSE),0)*IF($D216="Inhalation",IF($K216="Central Tendency",SUMIFS('Inhalation Exposure'!$V$4:$V$61,'Inhalation Exposure'!$B$4:$B$61,$B216,'Inhalation Exposure'!$D$4:$D$61,$C216,'Inhalation Exposure'!$E$4:$E$61,$E216),SUMIFS('Inhalation Exposure'!$U$4:$U$61,'Inhalation Exposure'!$B$4:$B$61,$B216,'Inhalation Exposure'!$D$4:$D$61,$C216,'Inhalation Exposure'!$E$4:$E$61,$E216)),IF($K216="Central Tendency",SUMIFS('Dermal Crosswalk'!$R$5:$R$32,'Dermal Crosswalk'!$A$5:$A$32,'Bridge Table'!$B216,'Dermal Crosswalk'!$C$5:$C$32,'Bridge Table'!$E216),SUMIFS('Dermal Crosswalk'!$M$5:$M$32,'Dermal Crosswalk'!$A$5:$A$32,'Bridge Table'!$B216,'Dermal Crosswalk'!$C$5:$C$32,'Bridge Table'!$E216))),"--")</f>
        <v>1.9744840813795224E-3</v>
      </c>
      <c r="P216" s="382">
        <f>L216*U216</f>
        <v>159.76727346423496</v>
      </c>
      <c r="Q216" s="382">
        <f t="shared" ref="Q216" si="63">M216*V216</f>
        <v>62.872091566023656</v>
      </c>
      <c r="R216" s="382">
        <f t="shared" ref="R216" si="64">N216*W216</f>
        <v>67.315052703356002</v>
      </c>
      <c r="S216" s="383">
        <f>O216/X216</f>
        <v>3.9489681627590445E-4</v>
      </c>
      <c r="U216" s="378">
        <v>5</v>
      </c>
      <c r="V216" s="379">
        <v>5</v>
      </c>
      <c r="W216" s="379">
        <v>5</v>
      </c>
      <c r="X216" s="380">
        <v>5</v>
      </c>
    </row>
    <row r="217" spans="1:24" ht="15" thickBot="1" x14ac:dyDescent="0.35">
      <c r="A217" s="372"/>
      <c r="B217" s="360" t="s">
        <v>140</v>
      </c>
      <c r="C217" s="361" t="s">
        <v>25</v>
      </c>
      <c r="D217" s="361" t="s">
        <v>16</v>
      </c>
      <c r="E217" s="362" t="s">
        <v>24</v>
      </c>
      <c r="F217" s="589"/>
      <c r="G217" s="589"/>
      <c r="H217" s="589"/>
      <c r="I217" s="589"/>
      <c r="J217" s="589"/>
      <c r="K217" s="608"/>
      <c r="L217" s="587"/>
      <c r="M217" s="587"/>
      <c r="N217" s="587"/>
      <c r="O217" s="587"/>
      <c r="P217" s="373" t="str">
        <f>CONCATENATE("(PF ",U216,")")</f>
        <v>(PF 5)</v>
      </c>
      <c r="Q217" s="373" t="str">
        <f>CONCATENATE("(PF ",V216,")")</f>
        <v>(PF 5)</v>
      </c>
      <c r="R217" s="373" t="str">
        <f>CONCATENATE("(PF ",W216,")")</f>
        <v>(PF 5)</v>
      </c>
      <c r="S217" s="373" t="str">
        <f>CONCATENATE("(PF ",X216,")")</f>
        <v>(PF 5)</v>
      </c>
      <c r="U217" s="374" t="s">
        <v>119</v>
      </c>
      <c r="V217" s="375" t="s">
        <v>119</v>
      </c>
      <c r="W217" s="375" t="s">
        <v>119</v>
      </c>
      <c r="X217" s="376" t="s">
        <v>119</v>
      </c>
    </row>
    <row r="218" spans="1:24" ht="15" thickBot="1" x14ac:dyDescent="0.35">
      <c r="A218" s="372"/>
      <c r="B218" s="360" t="s">
        <v>140</v>
      </c>
      <c r="C218" s="361" t="s">
        <v>25</v>
      </c>
      <c r="D218" s="361" t="s">
        <v>16</v>
      </c>
      <c r="E218" s="362" t="s">
        <v>24</v>
      </c>
      <c r="F218" s="589"/>
      <c r="G218" s="589"/>
      <c r="H218" s="589"/>
      <c r="I218" s="589"/>
      <c r="J218" s="589"/>
      <c r="K218" s="584" t="s">
        <v>88</v>
      </c>
      <c r="L218" s="586">
        <f>IFERROR(IFERROR(VLOOKUP($D218,$Z$8:$AD$9,2,FALSE),0)/IF($D218="Inhalation",IF($K218="Central Tendency",SUMIFS('Inhalation Exposure'!$N$4:$N$61,'Inhalation Exposure'!$B$4:$B$61,$B218,'Inhalation Exposure'!$D$4:$D$61,$C218,'Inhalation Exposure'!$E$4:$E$61,$E218),SUMIFS('Inhalation Exposure'!$M$4:$M$61,'Inhalation Exposure'!$B$4:$B$61,$B218,'Inhalation Exposure'!$D$4:$D$61,$C218,'Inhalation Exposure'!$E$4:$E$61,$E218)),IF($K218="Central Tendency",SUMIFS('Dermal Crosswalk'!$P$5:$P$32,'Dermal Crosswalk'!$A$5:$A$32,'Bridge Table'!$B218,'Dermal Crosswalk'!$C$5:$C$32,'Bridge Table'!$E218),SUMIFS('Dermal Crosswalk'!$K$5:$K$32,'Dermal Crosswalk'!$A$5:$A$32,'Bridge Table'!$B218,'Dermal Crosswalk'!$C$5:$C$32,'Bridge Table'!$E218))),"--")</f>
        <v>5.8943265938261451</v>
      </c>
      <c r="M218" s="586">
        <f>IFERROR(IFERROR(VLOOKUP($D218,$Z$8:$AD$9,3,FALSE),0)/IF($D218="Inhalation",IF($K218="Central Tendency",SUMIFS('Inhalation Exposure'!$AB$4:$AB$61,'Inhalation Exposure'!$B$4:$B$61,$B218,'Inhalation Exposure'!$D$4:$D$61,$C218,'Inhalation Exposure'!$E$4:$E$61,$E218),SUMIFS('Inhalation Exposure'!$AA$4:$AA$61,'Inhalation Exposure'!$B$4:$B$61,$B218,'Inhalation Exposure'!$D$4:$D$61,$C218,'Inhalation Exposure'!$E$4:$E$61,$E218)),IF($K218="Central Tendency",SUMIFS('Dermal Crosswalk'!$S$5:$S$32,'Dermal Crosswalk'!$A$5:$A$32,'Bridge Table'!$B218,'Dermal Crosswalk'!$C$5:$C$32,'Bridge Table'!$E218),SUMIFS('Dermal Crosswalk'!$N$5:$N$32,'Dermal Crosswalk'!$A$5:$A$32,'Bridge Table'!$B218,'Dermal Crosswalk'!$C$5:$C$32,'Bridge Table'!$E218))),"--")</f>
        <v>2.3195528927270868</v>
      </c>
      <c r="N218" s="586">
        <f>IFERROR(IFERROR(VLOOKUP($D218,$Z$8:$AD$9,4,FALSE),0)/IF($D218="Inhalation",IF($K218="Central Tendency",SUMIFS('Inhalation Exposure'!$R$4:$R$61,'Inhalation Exposure'!$B$4:$B$61,$B218,'Inhalation Exposure'!$D$4:$D$61,$C218,'Inhalation Exposure'!$E$4:$E$61,$E218),SUMIFS('Inhalation Exposure'!$Q$4:$Q$61,'Inhalation Exposure'!$B$4:$B$61,$B218,'Inhalation Exposure'!$D$4:$D$61,$C218,'Inhalation Exposure'!$E$4:$E$61,$E218)),IF($K218="Central Tendency",SUMIFS('Dermal Crosswalk'!$Q$5:$Q$32,'Dermal Crosswalk'!$A$5:$A$32,'Bridge Table'!$B218,'Dermal Crosswalk'!$C$5:$C$32,'Bridge Table'!$E218),SUMIFS('Dermal Crosswalk'!$L$5:$L$32,'Dermal Crosswalk'!$A$5:$A$32,'Bridge Table'!$B218,'Dermal Crosswalk'!$C$5:$C$32,'Bridge Table'!$E218))),"--")</f>
        <v>2.4834679638131338</v>
      </c>
      <c r="O218" s="586">
        <f>IFERROR(IFERROR(VLOOKUP($D218,$Z$8:$AD$9,5,FALSE),0)*IF($D218="Inhalation",IF($K218="Central Tendency",SUMIFS('Inhalation Exposure'!$V$4:$V$61,'Inhalation Exposure'!$B$4:$B$61,$B218,'Inhalation Exposure'!$D$4:$D$61,$C218,'Inhalation Exposure'!$E$4:$E$61,$E218),SUMIFS('Inhalation Exposure'!$U$4:$U$61,'Inhalation Exposure'!$B$4:$B$61,$B218,'Inhalation Exposure'!$D$4:$D$61,$C218,'Inhalation Exposure'!$E$4:$E$61,$E218)),IF($K218="Central Tendency",SUMIFS('Dermal Crosswalk'!$R$5:$R$32,'Dermal Crosswalk'!$A$5:$A$32,'Bridge Table'!$B218,'Dermal Crosswalk'!$C$5:$C$32,'Bridge Table'!$E218),SUMIFS('Dermal Crosswalk'!$M$5:$M$32,'Dermal Crosswalk'!$A$5:$A$32,'Bridge Table'!$B218,'Dermal Crosswalk'!$C$5:$C$32,'Bridge Table'!$E218))),"--")</f>
        <v>1.3811331774675098E-2</v>
      </c>
      <c r="P218" s="382">
        <f>L218*U218</f>
        <v>29.471632969130724</v>
      </c>
      <c r="Q218" s="382">
        <f t="shared" ref="Q218" si="65">M218*V218</f>
        <v>11.597764463635434</v>
      </c>
      <c r="R218" s="382">
        <f t="shared" ref="R218" si="66">N218*W218</f>
        <v>12.417339819065669</v>
      </c>
      <c r="S218" s="383">
        <f>O218/X218</f>
        <v>2.7622663549350195E-3</v>
      </c>
      <c r="U218" s="378">
        <v>5</v>
      </c>
      <c r="V218" s="379">
        <v>5</v>
      </c>
      <c r="W218" s="379">
        <v>5</v>
      </c>
      <c r="X218" s="380">
        <v>5</v>
      </c>
    </row>
    <row r="219" spans="1:24" ht="15" thickBot="1" x14ac:dyDescent="0.35">
      <c r="A219" s="372"/>
      <c r="B219" s="360" t="s">
        <v>140</v>
      </c>
      <c r="C219" s="361" t="s">
        <v>25</v>
      </c>
      <c r="D219" s="361" t="s">
        <v>16</v>
      </c>
      <c r="E219" s="362" t="s">
        <v>24</v>
      </c>
      <c r="F219" s="589"/>
      <c r="G219" s="589"/>
      <c r="H219" s="589"/>
      <c r="I219" s="590"/>
      <c r="J219" s="590"/>
      <c r="K219" s="588"/>
      <c r="L219" s="587"/>
      <c r="M219" s="587"/>
      <c r="N219" s="587"/>
      <c r="O219" s="587"/>
      <c r="P219" s="373" t="str">
        <f>CONCATENATE("(PF ",U218,")")</f>
        <v>(PF 5)</v>
      </c>
      <c r="Q219" s="373" t="str">
        <f>CONCATENATE("(PF ",V218,")")</f>
        <v>(PF 5)</v>
      </c>
      <c r="R219" s="373" t="str">
        <f>CONCATENATE("(PF ",W218,")")</f>
        <v>(PF 5)</v>
      </c>
      <c r="S219" s="373" t="str">
        <f>CONCATENATE("(PF ",X218,")")</f>
        <v>(PF 5)</v>
      </c>
      <c r="U219" s="374" t="s">
        <v>119</v>
      </c>
      <c r="V219" s="375" t="s">
        <v>119</v>
      </c>
      <c r="W219" s="375" t="s">
        <v>119</v>
      </c>
      <c r="X219" s="376" t="s">
        <v>119</v>
      </c>
    </row>
    <row r="220" spans="1:24" ht="15.6" customHeight="1" thickTop="1" thickBot="1" x14ac:dyDescent="0.35">
      <c r="A220" s="372"/>
      <c r="B220" s="360" t="s">
        <v>140</v>
      </c>
      <c r="C220" s="361" t="s">
        <v>25</v>
      </c>
      <c r="D220" s="361" t="s">
        <v>16</v>
      </c>
      <c r="E220" s="362" t="s">
        <v>117</v>
      </c>
      <c r="F220" s="589"/>
      <c r="G220" s="589"/>
      <c r="H220" s="589"/>
      <c r="I220" s="609" t="s">
        <v>25</v>
      </c>
      <c r="J220" s="609" t="s">
        <v>16</v>
      </c>
      <c r="K220" s="607" t="s">
        <v>54</v>
      </c>
      <c r="L220" s="586">
        <f>IFERROR(IFERROR(VLOOKUP($D220,$Z$8:$AD$9,2,FALSE),0)/IF($D220="Inhalation",IF($K220="Central Tendency",SUMIFS('Inhalation Exposure'!$N$4:$N$61,'Inhalation Exposure'!$B$4:$B$61,$B220,'Inhalation Exposure'!$D$4:$D$61,$C220,'Inhalation Exposure'!$E$4:$E$61,$E220),SUMIFS('Inhalation Exposure'!$M$4:$M$61,'Inhalation Exposure'!$B$4:$B$61,$B220,'Inhalation Exposure'!$D$4:$D$61,$C220,'Inhalation Exposure'!$E$4:$E$61,$E220)),IF($K220="Central Tendency",SUMIFS('Dermal Crosswalk'!$P$5:$P$32,'Dermal Crosswalk'!$A$5:$A$32,'Bridge Table'!$B220,'Dermal Crosswalk'!$C$5:$C$32,'Bridge Table'!$E220),SUMIFS('Dermal Crosswalk'!$K$5:$K$32,'Dermal Crosswalk'!$A$5:$A$32,'Bridge Table'!$B220,'Dermal Crosswalk'!$C$5:$C$32,'Bridge Table'!$E220))),"--")</f>
        <v>31.953454692846993</v>
      </c>
      <c r="M220" s="586">
        <f>IFERROR(IFERROR(VLOOKUP($D220,$Z$8:$AD$9,3,FALSE),0)/IF($D220="Inhalation",IF($K220="Central Tendency",SUMIFS('Inhalation Exposure'!$AB$4:$AB$61,'Inhalation Exposure'!$B$4:$B$61,$B220,'Inhalation Exposure'!$D$4:$D$61,$C220,'Inhalation Exposure'!$E$4:$E$61,$E220),SUMIFS('Inhalation Exposure'!$AA$4:$AA$61,'Inhalation Exposure'!$B$4:$B$61,$B220,'Inhalation Exposure'!$D$4:$D$61,$C220,'Inhalation Exposure'!$E$4:$E$61,$E220)),IF($K220="Central Tendency",SUMIFS('Dermal Crosswalk'!$S$5:$S$32,'Dermal Crosswalk'!$A$5:$A$32,'Bridge Table'!$B220,'Dermal Crosswalk'!$C$5:$C$32,'Bridge Table'!$E220),SUMIFS('Dermal Crosswalk'!$N$5:$N$32,'Dermal Crosswalk'!$A$5:$A$32,'Bridge Table'!$B220,'Dermal Crosswalk'!$C$5:$C$32,'Bridge Table'!$E220))),"--")</f>
        <v>12.574418313204731</v>
      </c>
      <c r="N220" s="586">
        <f>IFERROR(IFERROR(VLOOKUP($D220,$Z$8:$AD$9,4,FALSE),0)/IF($D220="Inhalation",IF($K220="Central Tendency",SUMIFS('Inhalation Exposure'!$R$4:$R$61,'Inhalation Exposure'!$B$4:$B$61,$B220,'Inhalation Exposure'!$D$4:$D$61,$C220,'Inhalation Exposure'!$E$4:$E$61,$E220),SUMIFS('Inhalation Exposure'!$Q$4:$Q$61,'Inhalation Exposure'!$B$4:$B$61,$B220,'Inhalation Exposure'!$D$4:$D$61,$C220,'Inhalation Exposure'!$E$4:$E$61,$E220)),IF($K220="Central Tendency",SUMIFS('Dermal Crosswalk'!$Q$5:$Q$32,'Dermal Crosswalk'!$A$5:$A$32,'Bridge Table'!$B220,'Dermal Crosswalk'!$C$5:$C$32,'Bridge Table'!$E220),SUMIFS('Dermal Crosswalk'!$L$5:$L$32,'Dermal Crosswalk'!$A$5:$A$32,'Bridge Table'!$B220,'Dermal Crosswalk'!$C$5:$C$32,'Bridge Table'!$E220))),"--")</f>
        <v>13.463010540671201</v>
      </c>
      <c r="O220" s="586">
        <f>IFERROR(IFERROR(VLOOKUP($D220,$Z$8:$AD$9,5,FALSE),0)*IF($D220="Inhalation",IF($K220="Central Tendency",SUMIFS('Inhalation Exposure'!$V$4:$V$61,'Inhalation Exposure'!$B$4:$B$61,$B220,'Inhalation Exposure'!$D$4:$D$61,$C220,'Inhalation Exposure'!$E$4:$E$61,$E220),SUMIFS('Inhalation Exposure'!$U$4:$U$61,'Inhalation Exposure'!$B$4:$B$61,$B220,'Inhalation Exposure'!$D$4:$D$61,$C220,'Inhalation Exposure'!$E$4:$E$61,$E220)),IF($K220="Central Tendency",SUMIFS('Dermal Crosswalk'!$R$5:$R$32,'Dermal Crosswalk'!$A$5:$A$32,'Bridge Table'!$B220,'Dermal Crosswalk'!$C$5:$C$32,'Bridge Table'!$E220),SUMIFS('Dermal Crosswalk'!$M$5:$M$32,'Dermal Crosswalk'!$A$5:$A$32,'Bridge Table'!$B220,'Dermal Crosswalk'!$C$5:$C$32,'Bridge Table'!$E220))),"--")</f>
        <v>1.9744840813795224E-3</v>
      </c>
      <c r="P220" s="382">
        <f>L220*U220</f>
        <v>159.76727346423496</v>
      </c>
      <c r="Q220" s="382">
        <f t="shared" ref="Q220" si="67">M220*V220</f>
        <v>62.872091566023656</v>
      </c>
      <c r="R220" s="382">
        <f t="shared" ref="R220" si="68">N220*W220</f>
        <v>67.315052703356002</v>
      </c>
      <c r="S220" s="383">
        <f>O220/X220</f>
        <v>3.9489681627590445E-4</v>
      </c>
      <c r="U220" s="378">
        <v>5</v>
      </c>
      <c r="V220" s="379">
        <v>5</v>
      </c>
      <c r="W220" s="379">
        <v>5</v>
      </c>
      <c r="X220" s="380">
        <v>5</v>
      </c>
    </row>
    <row r="221" spans="1:24" ht="15" thickBot="1" x14ac:dyDescent="0.35">
      <c r="A221" s="372"/>
      <c r="B221" s="360" t="s">
        <v>140</v>
      </c>
      <c r="C221" s="361" t="s">
        <v>25</v>
      </c>
      <c r="D221" s="361" t="s">
        <v>16</v>
      </c>
      <c r="E221" s="362" t="s">
        <v>117</v>
      </c>
      <c r="F221" s="589"/>
      <c r="G221" s="589"/>
      <c r="H221" s="589"/>
      <c r="I221" s="589"/>
      <c r="J221" s="589"/>
      <c r="K221" s="608"/>
      <c r="L221" s="587"/>
      <c r="M221" s="587"/>
      <c r="N221" s="587"/>
      <c r="O221" s="587"/>
      <c r="P221" s="373" t="str">
        <f>CONCATENATE("(PF ",U220,")")</f>
        <v>(PF 5)</v>
      </c>
      <c r="Q221" s="373" t="str">
        <f>CONCATENATE("(PF ",V220,")")</f>
        <v>(PF 5)</v>
      </c>
      <c r="R221" s="373" t="str">
        <f>CONCATENATE("(PF ",W220,")")</f>
        <v>(PF 5)</v>
      </c>
      <c r="S221" s="373" t="str">
        <f>CONCATENATE("(PF ",X220,")")</f>
        <v>(PF 5)</v>
      </c>
      <c r="U221" s="374" t="s">
        <v>119</v>
      </c>
      <c r="V221" s="375" t="s">
        <v>119</v>
      </c>
      <c r="W221" s="375" t="s">
        <v>119</v>
      </c>
      <c r="X221" s="376" t="s">
        <v>119</v>
      </c>
    </row>
    <row r="222" spans="1:24" ht="15" thickBot="1" x14ac:dyDescent="0.35">
      <c r="A222" s="372"/>
      <c r="B222" s="360" t="s">
        <v>140</v>
      </c>
      <c r="C222" s="361" t="s">
        <v>25</v>
      </c>
      <c r="D222" s="361" t="s">
        <v>16</v>
      </c>
      <c r="E222" s="362" t="s">
        <v>117</v>
      </c>
      <c r="F222" s="589"/>
      <c r="G222" s="589"/>
      <c r="H222" s="589"/>
      <c r="I222" s="589"/>
      <c r="J222" s="589"/>
      <c r="K222" s="584" t="s">
        <v>88</v>
      </c>
      <c r="L222" s="586">
        <f>IFERROR(IFERROR(VLOOKUP($D222,$Z$8:$AD$9,2,FALSE),0)/IF($D222="Inhalation",IF($K222="Central Tendency",SUMIFS('Inhalation Exposure'!$N$4:$N$61,'Inhalation Exposure'!$B$4:$B$61,$B222,'Inhalation Exposure'!$D$4:$D$61,$C222,'Inhalation Exposure'!$E$4:$E$61,$E222),SUMIFS('Inhalation Exposure'!$M$4:$M$61,'Inhalation Exposure'!$B$4:$B$61,$B222,'Inhalation Exposure'!$D$4:$D$61,$C222,'Inhalation Exposure'!$E$4:$E$61,$E222)),IF($K222="Central Tendency",SUMIFS('Dermal Crosswalk'!$P$5:$P$32,'Dermal Crosswalk'!$A$5:$A$32,'Bridge Table'!$B222,'Dermal Crosswalk'!$C$5:$C$32,'Bridge Table'!$E222),SUMIFS('Dermal Crosswalk'!$K$5:$K$32,'Dermal Crosswalk'!$A$5:$A$32,'Bridge Table'!$B222,'Dermal Crosswalk'!$C$5:$C$32,'Bridge Table'!$E222))),"--")</f>
        <v>5.8943265938261451</v>
      </c>
      <c r="M222" s="586">
        <f>IFERROR(IFERROR(VLOOKUP($D222,$Z$8:$AD$9,3,FALSE),0)/IF($D222="Inhalation",IF($K222="Central Tendency",SUMIFS('Inhalation Exposure'!$AB$4:$AB$61,'Inhalation Exposure'!$B$4:$B$61,$B222,'Inhalation Exposure'!$D$4:$D$61,$C222,'Inhalation Exposure'!$E$4:$E$61,$E222),SUMIFS('Inhalation Exposure'!$AA$4:$AA$61,'Inhalation Exposure'!$B$4:$B$61,$B222,'Inhalation Exposure'!$D$4:$D$61,$C222,'Inhalation Exposure'!$E$4:$E$61,$E222)),IF($K222="Central Tendency",SUMIFS('Dermal Crosswalk'!$S$5:$S$32,'Dermal Crosswalk'!$A$5:$A$32,'Bridge Table'!$B222,'Dermal Crosswalk'!$C$5:$C$32,'Bridge Table'!$E222),SUMIFS('Dermal Crosswalk'!$N$5:$N$32,'Dermal Crosswalk'!$A$5:$A$32,'Bridge Table'!$B222,'Dermal Crosswalk'!$C$5:$C$32,'Bridge Table'!$E222))),"--")</f>
        <v>2.3195528927270868</v>
      </c>
      <c r="N222" s="586">
        <f>IFERROR(IFERROR(VLOOKUP($D222,$Z$8:$AD$9,4,FALSE),0)/IF($D222="Inhalation",IF($K222="Central Tendency",SUMIFS('Inhalation Exposure'!$R$4:$R$61,'Inhalation Exposure'!$B$4:$B$61,$B222,'Inhalation Exposure'!$D$4:$D$61,$C222,'Inhalation Exposure'!$E$4:$E$61,$E222),SUMIFS('Inhalation Exposure'!$Q$4:$Q$61,'Inhalation Exposure'!$B$4:$B$61,$B222,'Inhalation Exposure'!$D$4:$D$61,$C222,'Inhalation Exposure'!$E$4:$E$61,$E222)),IF($K222="Central Tendency",SUMIFS('Dermal Crosswalk'!$Q$5:$Q$32,'Dermal Crosswalk'!$A$5:$A$32,'Bridge Table'!$B222,'Dermal Crosswalk'!$C$5:$C$32,'Bridge Table'!$E222),SUMIFS('Dermal Crosswalk'!$L$5:$L$32,'Dermal Crosswalk'!$A$5:$A$32,'Bridge Table'!$B222,'Dermal Crosswalk'!$C$5:$C$32,'Bridge Table'!$E222))),"--")</f>
        <v>2.4834679638131338</v>
      </c>
      <c r="O222" s="586">
        <f>IFERROR(IFERROR(VLOOKUP($D222,$Z$8:$AD$9,5,FALSE),0)*IF($D222="Inhalation",IF($K222="Central Tendency",SUMIFS('Inhalation Exposure'!$V$4:$V$61,'Inhalation Exposure'!$B$4:$B$61,$B222,'Inhalation Exposure'!$D$4:$D$61,$C222,'Inhalation Exposure'!$E$4:$E$61,$E222),SUMIFS('Inhalation Exposure'!$U$4:$U$61,'Inhalation Exposure'!$B$4:$B$61,$B222,'Inhalation Exposure'!$D$4:$D$61,$C222,'Inhalation Exposure'!$E$4:$E$61,$E222)),IF($K222="Central Tendency",SUMIFS('Dermal Crosswalk'!$R$5:$R$32,'Dermal Crosswalk'!$A$5:$A$32,'Bridge Table'!$B222,'Dermal Crosswalk'!$C$5:$C$32,'Bridge Table'!$E222),SUMIFS('Dermal Crosswalk'!$M$5:$M$32,'Dermal Crosswalk'!$A$5:$A$32,'Bridge Table'!$B222,'Dermal Crosswalk'!$C$5:$C$32,'Bridge Table'!$E222))),"--")</f>
        <v>1.3811331774675098E-2</v>
      </c>
      <c r="P222" s="363">
        <f>L222*U222</f>
        <v>29.471632969130724</v>
      </c>
      <c r="Q222" s="363">
        <f t="shared" ref="Q222" si="69">M222*V222</f>
        <v>11.597764463635434</v>
      </c>
      <c r="R222" s="363">
        <f t="shared" ref="R222" si="70">N222*W222</f>
        <v>12.417339819065669</v>
      </c>
      <c r="S222" s="364">
        <f>O222/X222</f>
        <v>2.7622663549350195E-3</v>
      </c>
      <c r="U222" s="378">
        <v>5</v>
      </c>
      <c r="V222" s="379">
        <v>5</v>
      </c>
      <c r="W222" s="379">
        <v>5</v>
      </c>
      <c r="X222" s="380">
        <v>5</v>
      </c>
    </row>
    <row r="223" spans="1:24" ht="15" thickBot="1" x14ac:dyDescent="0.35">
      <c r="A223" s="372"/>
      <c r="B223" s="360" t="s">
        <v>140</v>
      </c>
      <c r="C223" s="361" t="s">
        <v>25</v>
      </c>
      <c r="D223" s="361" t="s">
        <v>16</v>
      </c>
      <c r="E223" s="362" t="s">
        <v>117</v>
      </c>
      <c r="F223" s="589"/>
      <c r="G223" s="589"/>
      <c r="H223" s="587"/>
      <c r="I223" s="587"/>
      <c r="J223" s="587"/>
      <c r="K223" s="585"/>
      <c r="L223" s="587"/>
      <c r="M223" s="587"/>
      <c r="N223" s="587"/>
      <c r="O223" s="587"/>
      <c r="P223" s="373" t="str">
        <f>CONCATENATE("(PF ",U222,")")</f>
        <v>(PF 5)</v>
      </c>
      <c r="Q223" s="373" t="str">
        <f>CONCATENATE("(PF ",V222,")")</f>
        <v>(PF 5)</v>
      </c>
      <c r="R223" s="373" t="str">
        <f>CONCATENATE("(PF ",W222,")")</f>
        <v>(PF 5)</v>
      </c>
      <c r="S223" s="373" t="str">
        <f>CONCATENATE("(PF ",X222,")")</f>
        <v>(PF 5)</v>
      </c>
      <c r="U223" s="384" t="s">
        <v>119</v>
      </c>
      <c r="V223" s="385" t="s">
        <v>119</v>
      </c>
      <c r="W223" s="385" t="s">
        <v>119</v>
      </c>
      <c r="X223" s="386" t="s">
        <v>119</v>
      </c>
    </row>
    <row r="224" spans="1:24" ht="15" customHeight="1" thickBot="1" x14ac:dyDescent="0.35">
      <c r="A224" s="372"/>
      <c r="B224" s="360" t="s">
        <v>142</v>
      </c>
      <c r="C224" s="361" t="s">
        <v>25</v>
      </c>
      <c r="D224" s="361" t="s">
        <v>111</v>
      </c>
      <c r="E224" s="362" t="s">
        <v>24</v>
      </c>
      <c r="F224" s="589"/>
      <c r="G224" s="589"/>
      <c r="H224" s="586" t="s">
        <v>143</v>
      </c>
      <c r="I224" s="586" t="s">
        <v>25</v>
      </c>
      <c r="J224" s="586" t="s">
        <v>115</v>
      </c>
      <c r="K224" s="584" t="s">
        <v>54</v>
      </c>
      <c r="L224" s="586">
        <f>IFERROR(IFERROR(VLOOKUP($D224,$Z$8:$AD$9,2,FALSE),0)/IF($D224="Inhalation",IF($K224="Central Tendency",SUMIFS('Inhalation Exposure'!$N$4:$N$61,'Inhalation Exposure'!$B$4:$B$61,$B224,'Inhalation Exposure'!$D$4:$D$61,$C224,'Inhalation Exposure'!$E$4:$E$61,$E224),SUMIFS('Inhalation Exposure'!$M$4:$M$61,'Inhalation Exposure'!$B$4:$B$61,$B224,'Inhalation Exposure'!$D$4:$D$61,$C224,'Inhalation Exposure'!$E$4:$E$61,$E224)),IF($K224="Central Tendency",SUMIFS('Dermal Crosswalk'!$P$5:$P$32,'Dermal Crosswalk'!$A$5:$A$32,'Bridge Table'!$B224,'Dermal Crosswalk'!$C$5:$C$32,'Bridge Table'!$E224),SUMIFS('Dermal Crosswalk'!$K$5:$K$32,'Dermal Crosswalk'!$A$5:$A$32,'Bridge Table'!$B224,'Dermal Crosswalk'!$C$5:$C$32,'Bridge Table'!$E224))),"--")</f>
        <v>89.591715976331344</v>
      </c>
      <c r="M224" s="586">
        <f>IFERROR(IFERROR(VLOOKUP($D224,$Z$8:$AD$9,3,FALSE),0)/IF($D224="Inhalation",IF($K224="Central Tendency",SUMIFS('Inhalation Exposure'!$AB$4:$AB$61,'Inhalation Exposure'!$B$4:$B$61,$B224,'Inhalation Exposure'!$D$4:$D$61,$C224,'Inhalation Exposure'!$E$4:$E$61,$E224),SUMIFS('Inhalation Exposure'!$AA$4:$AA$61,'Inhalation Exposure'!$B$4:$B$61,$B224,'Inhalation Exposure'!$D$4:$D$61,$C224,'Inhalation Exposure'!$E$4:$E$61,$E224)),IF($K224="Central Tendency",SUMIFS('Dermal Crosswalk'!$S$5:$S$32,'Dermal Crosswalk'!$A$5:$A$32,'Bridge Table'!$B224,'Dermal Crosswalk'!$C$5:$C$32,'Bridge Table'!$E224),SUMIFS('Dermal Crosswalk'!$N$5:$N$32,'Dermal Crosswalk'!$A$5:$A$32,'Bridge Table'!$B224,'Dermal Crosswalk'!$C$5:$C$32,'Bridge Table'!$E224))),"--")</f>
        <v>777.6213017751478</v>
      </c>
      <c r="N224" s="586">
        <f>IFERROR(IFERROR(VLOOKUP($D224,$Z$8:$AD$9,4,FALSE),0)/IF($D224="Inhalation",IF($K224="Central Tendency",SUMIFS('Inhalation Exposure'!$R$4:$R$61,'Inhalation Exposure'!$B$4:$B$61,$B224,'Inhalation Exposure'!$D$4:$D$61,$C224,'Inhalation Exposure'!$E$4:$E$61,$E224),SUMIFS('Inhalation Exposure'!$Q$4:$Q$61,'Inhalation Exposure'!$B$4:$B$61,$B224,'Inhalation Exposure'!$D$4:$D$61,$C224,'Inhalation Exposure'!$E$4:$E$61,$E224)),IF($K224="Central Tendency",SUMIFS('Dermal Crosswalk'!$Q$5:$Q$32,'Dermal Crosswalk'!$A$5:$A$32,'Bridge Table'!$B224,'Dermal Crosswalk'!$C$5:$C$32,'Bridge Table'!$E224),SUMIFS('Dermal Crosswalk'!$L$5:$L$32,'Dermal Crosswalk'!$A$5:$A$32,'Bridge Table'!$B224,'Dermal Crosswalk'!$C$5:$C$32,'Bridge Table'!$E224))),"--")</f>
        <v>9461.0591715976316</v>
      </c>
      <c r="O224" s="586">
        <f>IFERROR(IFERROR(VLOOKUP($D224,$Z$8:$AD$9,5,FALSE),0)*IF($D224="Inhalation",IF($K224="Central Tendency",SUMIFS('Inhalation Exposure'!$V$4:$V$61,'Inhalation Exposure'!$B$4:$B$61,$B224,'Inhalation Exposure'!$D$4:$D$61,$C224,'Inhalation Exposure'!$E$4:$E$61,$E224),SUMIFS('Inhalation Exposure'!$U$4:$U$61,'Inhalation Exposure'!$B$4:$B$61,$B224,'Inhalation Exposure'!$D$4:$D$61,$C224,'Inhalation Exposure'!$E$4:$E$61,$E224)),IF($K224="Central Tendency",SUMIFS('Dermal Crosswalk'!$R$5:$R$32,'Dermal Crosswalk'!$A$5:$A$32,'Bridge Table'!$B224,'Dermal Crosswalk'!$C$5:$C$32,'Bridge Table'!$E224),SUMIFS('Dermal Crosswalk'!$M$5:$M$32,'Dermal Crosswalk'!$A$5:$A$32,'Bridge Table'!$B224,'Dermal Crosswalk'!$C$5:$C$32,'Bridge Table'!$E224))),"--")</f>
        <v>2.8228652191470198E-6</v>
      </c>
      <c r="P224" s="363">
        <f>IFERROR(L224*U224,"Not Assessed")</f>
        <v>895.91715976331341</v>
      </c>
      <c r="Q224" s="363">
        <f>IFERROR(M224*V224,"Not Assessed")</f>
        <v>7776.2130177514782</v>
      </c>
      <c r="R224" s="363">
        <f>IFERROR(N224*W224,"Not Assessed")</f>
        <v>94610.591715976319</v>
      </c>
      <c r="S224" s="364">
        <f>IFERROR(O224/X224, "Not Assessed")</f>
        <v>2.8228652191470199E-7</v>
      </c>
      <c r="U224" s="365">
        <v>10</v>
      </c>
      <c r="V224" s="366">
        <v>10</v>
      </c>
      <c r="W224" s="366">
        <v>10</v>
      </c>
      <c r="X224" s="367">
        <v>10</v>
      </c>
    </row>
    <row r="225" spans="1:29" ht="15" thickBot="1" x14ac:dyDescent="0.35">
      <c r="A225" s="372"/>
      <c r="B225" s="360" t="s">
        <v>142</v>
      </c>
      <c r="C225" s="361" t="s">
        <v>25</v>
      </c>
      <c r="D225" s="361" t="s">
        <v>111</v>
      </c>
      <c r="E225" s="362" t="s">
        <v>24</v>
      </c>
      <c r="F225" s="589"/>
      <c r="G225" s="589"/>
      <c r="H225" s="589"/>
      <c r="I225" s="589"/>
      <c r="J225" s="589"/>
      <c r="K225" s="585"/>
      <c r="L225" s="587"/>
      <c r="M225" s="587"/>
      <c r="N225" s="587"/>
      <c r="O225" s="587"/>
      <c r="P225" s="373" t="str">
        <f>CONCATENATE("(APF ",U224,")")</f>
        <v>(APF 10)</v>
      </c>
      <c r="Q225" s="373" t="str">
        <f>CONCATENATE("(APF ",V224,")")</f>
        <v>(APF 10)</v>
      </c>
      <c r="R225" s="373" t="str">
        <f>CONCATENATE("(APF ",W224,")")</f>
        <v>(APF 10)</v>
      </c>
      <c r="S225" s="373" t="str">
        <f>CONCATENATE("(APF ",X224,")")</f>
        <v>(APF 10)</v>
      </c>
      <c r="U225" s="374" t="s">
        <v>116</v>
      </c>
      <c r="V225" s="375" t="s">
        <v>116</v>
      </c>
      <c r="W225" s="375" t="s">
        <v>116</v>
      </c>
      <c r="X225" s="376" t="s">
        <v>116</v>
      </c>
    </row>
    <row r="226" spans="1:29" ht="15" customHeight="1" thickBot="1" x14ac:dyDescent="0.35">
      <c r="A226" s="372"/>
      <c r="B226" s="360" t="s">
        <v>142</v>
      </c>
      <c r="C226" s="361" t="s">
        <v>25</v>
      </c>
      <c r="D226" s="361" t="s">
        <v>111</v>
      </c>
      <c r="E226" s="362" t="s">
        <v>24</v>
      </c>
      <c r="F226" s="589"/>
      <c r="G226" s="589"/>
      <c r="H226" s="589"/>
      <c r="I226" s="589"/>
      <c r="J226" s="589"/>
      <c r="K226" s="584" t="s">
        <v>88</v>
      </c>
      <c r="L226" s="586">
        <f>IFERROR(IFERROR(VLOOKUP($D226,$Z$8:$AD$9,2,FALSE),0)/IF($D226="Inhalation",IF($K226="Central Tendency",SUMIFS('Inhalation Exposure'!$N$4:$N$61,'Inhalation Exposure'!$B$4:$B$61,$B226,'Inhalation Exposure'!$D$4:$D$61,$C226,'Inhalation Exposure'!$E$4:$E$61,$E226),SUMIFS('Inhalation Exposure'!$M$4:$M$61,'Inhalation Exposure'!$B$4:$B$61,$B226,'Inhalation Exposure'!$D$4:$D$61,$C226,'Inhalation Exposure'!$E$4:$E$61,$E226)),IF($K226="Central Tendency",SUMIFS('Dermal Crosswalk'!$P$5:$P$32,'Dermal Crosswalk'!$A$5:$A$32,'Bridge Table'!$B226,'Dermal Crosswalk'!$C$5:$C$32,'Bridge Table'!$E226),SUMIFS('Dermal Crosswalk'!$K$5:$K$32,'Dermal Crosswalk'!$A$5:$A$32,'Bridge Table'!$B226,'Dermal Crosswalk'!$C$5:$C$32,'Bridge Table'!$E226))),"--")</f>
        <v>13.702262443438913</v>
      </c>
      <c r="M226" s="586">
        <f>IFERROR(IFERROR(VLOOKUP($D226,$Z$8:$AD$9,3,FALSE),0)/IF($D226="Inhalation",IF($K226="Central Tendency",SUMIFS('Inhalation Exposure'!$AB$4:$AB$61,'Inhalation Exposure'!$B$4:$B$61,$B226,'Inhalation Exposure'!$D$4:$D$61,$C226,'Inhalation Exposure'!$E$4:$E$61,$E226),SUMIFS('Inhalation Exposure'!$AA$4:$AA$61,'Inhalation Exposure'!$B$4:$B$61,$B226,'Inhalation Exposure'!$D$4:$D$61,$C226,'Inhalation Exposure'!$E$4:$E$61,$E226)),IF($K226="Central Tendency",SUMIFS('Dermal Crosswalk'!$S$5:$S$32,'Dermal Crosswalk'!$A$5:$A$32,'Bridge Table'!$B226,'Dermal Crosswalk'!$C$5:$C$32,'Bridge Table'!$E226),SUMIFS('Dermal Crosswalk'!$N$5:$N$32,'Dermal Crosswalk'!$A$5:$A$32,'Bridge Table'!$B226,'Dermal Crosswalk'!$C$5:$C$32,'Bridge Table'!$E226))),"--")</f>
        <v>118.93031674208143</v>
      </c>
      <c r="N226" s="586">
        <f>IFERROR(IFERROR(VLOOKUP($D226,$Z$8:$AD$9,4,FALSE),0)/IF($D226="Inhalation",IF($K226="Central Tendency",SUMIFS('Inhalation Exposure'!$R$4:$R$61,'Inhalation Exposure'!$B$4:$B$61,$B226,'Inhalation Exposure'!$D$4:$D$61,$C226,'Inhalation Exposure'!$E$4:$E$61,$E226),SUMIFS('Inhalation Exposure'!$Q$4:$Q$61,'Inhalation Exposure'!$B$4:$B$61,$B226,'Inhalation Exposure'!$D$4:$D$61,$C226,'Inhalation Exposure'!$E$4:$E$61,$E226)),IF($K226="Central Tendency",SUMIFS('Dermal Crosswalk'!$Q$5:$Q$32,'Dermal Crosswalk'!$A$5:$A$32,'Bridge Table'!$B226,'Dermal Crosswalk'!$C$5:$C$32,'Bridge Table'!$E226),SUMIFS('Dermal Crosswalk'!$L$5:$L$32,'Dermal Crosswalk'!$A$5:$A$32,'Bridge Table'!$B226,'Dermal Crosswalk'!$C$5:$C$32,'Bridge Table'!$E226))),"--")</f>
        <v>1446.9855203619911</v>
      </c>
      <c r="O226" s="586">
        <f>IFERROR(IFERROR(VLOOKUP($D226,$Z$8:$AD$9,5,FALSE),0)*IF($D226="Inhalation",IF($K226="Central Tendency",SUMIFS('Inhalation Exposure'!$V$4:$V$61,'Inhalation Exposure'!$B$4:$B$61,$B226,'Inhalation Exposure'!$D$4:$D$61,$C226,'Inhalation Exposure'!$E$4:$E$61,$E226),SUMIFS('Inhalation Exposure'!$U$4:$U$61,'Inhalation Exposure'!$B$4:$B$61,$B226,'Inhalation Exposure'!$D$4:$D$61,$C226,'Inhalation Exposure'!$E$4:$E$61,$E226)),IF($K226="Central Tendency",SUMIFS('Dermal Crosswalk'!$R$5:$R$32,'Dermal Crosswalk'!$A$5:$A$32,'Bridge Table'!$B226,'Dermal Crosswalk'!$C$5:$C$32,'Bridge Table'!$E226),SUMIFS('Dermal Crosswalk'!$M$5:$M$32,'Dermal Crosswalk'!$A$5:$A$32,'Bridge Table'!$B226,'Dermal Crosswalk'!$C$5:$C$32,'Bridge Table'!$E226))),"--")</f>
        <v>2.3815736340198184E-5</v>
      </c>
      <c r="P226" s="363">
        <f>IFERROR(L226*U226,"Not Assessed")</f>
        <v>137.02262443438914</v>
      </c>
      <c r="Q226" s="363">
        <f>IFERROR(M226*V226,"Not Assessed")</f>
        <v>1189.3031674208144</v>
      </c>
      <c r="R226" s="363">
        <f>IFERROR(N226*W226,"Not Assessed")</f>
        <v>14469.855203619911</v>
      </c>
      <c r="S226" s="364">
        <f>IFERROR(O226/X226, "Not Assessed")</f>
        <v>2.3815736340198185E-6</v>
      </c>
      <c r="U226" s="378">
        <v>10</v>
      </c>
      <c r="V226" s="379">
        <v>10</v>
      </c>
      <c r="W226" s="379">
        <v>10</v>
      </c>
      <c r="X226" s="380">
        <v>10</v>
      </c>
      <c r="AC226" s="388"/>
    </row>
    <row r="227" spans="1:29" ht="15" thickBot="1" x14ac:dyDescent="0.35">
      <c r="A227" s="372"/>
      <c r="B227" s="360" t="s">
        <v>142</v>
      </c>
      <c r="C227" s="361" t="s">
        <v>25</v>
      </c>
      <c r="D227" s="361" t="s">
        <v>111</v>
      </c>
      <c r="E227" s="362" t="s">
        <v>24</v>
      </c>
      <c r="F227" s="589"/>
      <c r="G227" s="589"/>
      <c r="H227" s="589"/>
      <c r="I227" s="590"/>
      <c r="J227" s="590"/>
      <c r="K227" s="588"/>
      <c r="L227" s="587"/>
      <c r="M227" s="587"/>
      <c r="N227" s="587"/>
      <c r="O227" s="587"/>
      <c r="P227" s="373" t="str">
        <f>CONCATENATE("(APF ",U226,")")</f>
        <v>(APF 10)</v>
      </c>
      <c r="Q227" s="373" t="str">
        <f>CONCATENATE("(APF ",V226,")")</f>
        <v>(APF 10)</v>
      </c>
      <c r="R227" s="373" t="str">
        <f>CONCATENATE("(APF ",W226,")")</f>
        <v>(APF 10)</v>
      </c>
      <c r="S227" s="373" t="str">
        <f>CONCATENATE("(APF ",X226,")")</f>
        <v>(APF 10)</v>
      </c>
      <c r="U227" s="374" t="s">
        <v>116</v>
      </c>
      <c r="V227" s="375" t="s">
        <v>116</v>
      </c>
      <c r="W227" s="375" t="s">
        <v>116</v>
      </c>
      <c r="X227" s="376" t="s">
        <v>116</v>
      </c>
    </row>
    <row r="228" spans="1:29" ht="15" customHeight="1" thickBot="1" x14ac:dyDescent="0.35">
      <c r="A228" s="372"/>
      <c r="B228" s="360" t="s">
        <v>142</v>
      </c>
      <c r="C228" s="361" t="s">
        <v>25</v>
      </c>
      <c r="D228" s="361" t="s">
        <v>111</v>
      </c>
      <c r="E228" s="362" t="s">
        <v>117</v>
      </c>
      <c r="F228" s="589"/>
      <c r="G228" s="589"/>
      <c r="H228" s="589"/>
      <c r="I228" s="589" t="s">
        <v>25</v>
      </c>
      <c r="J228" s="586" t="s">
        <v>115</v>
      </c>
      <c r="K228" s="584" t="s">
        <v>54</v>
      </c>
      <c r="L228" s="586">
        <f>IFERROR(IFERROR(VLOOKUP($D228,$Z$8:$AD$9,2,FALSE),0)/IF($D228="Inhalation",IF($K228="Central Tendency",SUMIFS('Inhalation Exposure'!$N$4:$N$61,'Inhalation Exposure'!$B$4:$B$61,$B228,'Inhalation Exposure'!$D$4:$D$61,$C228,'Inhalation Exposure'!$E$4:$E$61,$E228),SUMIFS('Inhalation Exposure'!$M$4:$M$61,'Inhalation Exposure'!$B$4:$B$61,$B228,'Inhalation Exposure'!$D$4:$D$61,$C228,'Inhalation Exposure'!$E$4:$E$61,$E228)),IF($K228="Central Tendency",SUMIFS('Dermal Crosswalk'!$P$5:$P$32,'Dermal Crosswalk'!$A$5:$A$32,'Bridge Table'!$B228,'Dermal Crosswalk'!$C$5:$C$32,'Bridge Table'!$E228),SUMIFS('Dermal Crosswalk'!$K$5:$K$32,'Dermal Crosswalk'!$A$5:$A$32,'Bridge Table'!$B228,'Dermal Crosswalk'!$C$5:$C$32,'Bridge Table'!$E228))),"--")</f>
        <v>89.591715976331344</v>
      </c>
      <c r="M228" s="586">
        <f>IFERROR(IFERROR(VLOOKUP($D228,$Z$8:$AD$9,3,FALSE),0)/IF($D228="Inhalation",IF($K228="Central Tendency",SUMIFS('Inhalation Exposure'!$AB$4:$AB$61,'Inhalation Exposure'!$B$4:$B$61,$B228,'Inhalation Exposure'!$D$4:$D$61,$C228,'Inhalation Exposure'!$E$4:$E$61,$E228),SUMIFS('Inhalation Exposure'!$AA$4:$AA$61,'Inhalation Exposure'!$B$4:$B$61,$B228,'Inhalation Exposure'!$D$4:$D$61,$C228,'Inhalation Exposure'!$E$4:$E$61,$E228)),IF($K228="Central Tendency",SUMIFS('Dermal Crosswalk'!$S$5:$S$32,'Dermal Crosswalk'!$A$5:$A$32,'Bridge Table'!$B228,'Dermal Crosswalk'!$C$5:$C$32,'Bridge Table'!$E228),SUMIFS('Dermal Crosswalk'!$N$5:$N$32,'Dermal Crosswalk'!$A$5:$A$32,'Bridge Table'!$B228,'Dermal Crosswalk'!$C$5:$C$32,'Bridge Table'!$E228))),"--")</f>
        <v>777.6213017751478</v>
      </c>
      <c r="N228" s="586">
        <f>IFERROR(IFERROR(VLOOKUP($D228,$Z$8:$AD$9,4,FALSE),0)/IF($D228="Inhalation",IF($K228="Central Tendency",SUMIFS('Inhalation Exposure'!$R$4:$R$61,'Inhalation Exposure'!$B$4:$B$61,$B228,'Inhalation Exposure'!$D$4:$D$61,$C228,'Inhalation Exposure'!$E$4:$E$61,$E228),SUMIFS('Inhalation Exposure'!$Q$4:$Q$61,'Inhalation Exposure'!$B$4:$B$61,$B228,'Inhalation Exposure'!$D$4:$D$61,$C228,'Inhalation Exposure'!$E$4:$E$61,$E228)),IF($K228="Central Tendency",SUMIFS('Dermal Crosswalk'!$Q$5:$Q$32,'Dermal Crosswalk'!$A$5:$A$32,'Bridge Table'!$B228,'Dermal Crosswalk'!$C$5:$C$32,'Bridge Table'!$E228),SUMIFS('Dermal Crosswalk'!$L$5:$L$32,'Dermal Crosswalk'!$A$5:$A$32,'Bridge Table'!$B228,'Dermal Crosswalk'!$C$5:$C$32,'Bridge Table'!$E228))),"--")</f>
        <v>9461.0591715976316</v>
      </c>
      <c r="O228" s="586">
        <f>IFERROR(IFERROR(VLOOKUP($D228,$Z$8:$AD$9,5,FALSE),0)*IF($D228="Inhalation",IF($K228="Central Tendency",SUMIFS('Inhalation Exposure'!$V$4:$V$61,'Inhalation Exposure'!$B$4:$B$61,$B228,'Inhalation Exposure'!$D$4:$D$61,$C228,'Inhalation Exposure'!$E$4:$E$61,$E228),SUMIFS('Inhalation Exposure'!$U$4:$U$61,'Inhalation Exposure'!$B$4:$B$61,$B228,'Inhalation Exposure'!$D$4:$D$61,$C228,'Inhalation Exposure'!$E$4:$E$61,$E228)),IF($K228="Central Tendency",SUMIFS('Dermal Crosswalk'!$R$5:$R$32,'Dermal Crosswalk'!$A$5:$A$32,'Bridge Table'!$B228,'Dermal Crosswalk'!$C$5:$C$32,'Bridge Table'!$E228),SUMIFS('Dermal Crosswalk'!$M$5:$M$32,'Dermal Crosswalk'!$A$5:$A$32,'Bridge Table'!$B228,'Dermal Crosswalk'!$C$5:$C$32,'Bridge Table'!$E228))),"--")</f>
        <v>2.8228652191470198E-6</v>
      </c>
      <c r="P228" s="363">
        <f>IFERROR(L228*U228,"Not Assessed")</f>
        <v>895.91715976331341</v>
      </c>
      <c r="Q228" s="363">
        <f>IFERROR(M228*V228,"Not Assessed")</f>
        <v>7776.2130177514782</v>
      </c>
      <c r="R228" s="363">
        <f>IFERROR(N228*W228,"Not Assessed")</f>
        <v>94610.591715976319</v>
      </c>
      <c r="S228" s="364">
        <f>IFERROR(O228/X228, "Not Assessed")</f>
        <v>2.8228652191470199E-7</v>
      </c>
      <c r="U228" s="378">
        <v>10</v>
      </c>
      <c r="V228" s="379">
        <v>10</v>
      </c>
      <c r="W228" s="379">
        <v>10</v>
      </c>
      <c r="X228" s="380">
        <v>10</v>
      </c>
    </row>
    <row r="229" spans="1:29" ht="15" thickBot="1" x14ac:dyDescent="0.35">
      <c r="A229" s="372"/>
      <c r="B229" s="360" t="s">
        <v>142</v>
      </c>
      <c r="C229" s="361" t="s">
        <v>25</v>
      </c>
      <c r="D229" s="361" t="s">
        <v>111</v>
      </c>
      <c r="E229" s="362" t="s">
        <v>117</v>
      </c>
      <c r="F229" s="589"/>
      <c r="G229" s="589"/>
      <c r="H229" s="589"/>
      <c r="I229" s="589"/>
      <c r="J229" s="589"/>
      <c r="K229" s="585"/>
      <c r="L229" s="587"/>
      <c r="M229" s="587"/>
      <c r="N229" s="587"/>
      <c r="O229" s="587"/>
      <c r="P229" s="373" t="str">
        <f>CONCATENATE("(APF ",U228,")")</f>
        <v>(APF 10)</v>
      </c>
      <c r="Q229" s="373" t="str">
        <f>CONCATENATE("(APF ",V228,")")</f>
        <v>(APF 10)</v>
      </c>
      <c r="R229" s="373" t="str">
        <f>CONCATENATE("(APF ",W228,")")</f>
        <v>(APF 10)</v>
      </c>
      <c r="S229" s="373" t="str">
        <f>CONCATENATE("(APF ",X228,")")</f>
        <v>(APF 10)</v>
      </c>
      <c r="U229" s="374" t="s">
        <v>116</v>
      </c>
      <c r="V229" s="375" t="s">
        <v>116</v>
      </c>
      <c r="W229" s="375" t="s">
        <v>116</v>
      </c>
      <c r="X229" s="376" t="s">
        <v>116</v>
      </c>
    </row>
    <row r="230" spans="1:29" ht="15.6" customHeight="1" thickBot="1" x14ac:dyDescent="0.35">
      <c r="A230" s="372"/>
      <c r="B230" s="360" t="s">
        <v>142</v>
      </c>
      <c r="C230" s="361" t="s">
        <v>25</v>
      </c>
      <c r="D230" s="361" t="s">
        <v>111</v>
      </c>
      <c r="E230" s="362" t="s">
        <v>117</v>
      </c>
      <c r="F230" s="589"/>
      <c r="G230" s="589"/>
      <c r="H230" s="589"/>
      <c r="I230" s="589"/>
      <c r="J230" s="589"/>
      <c r="K230" s="584" t="s">
        <v>88</v>
      </c>
      <c r="L230" s="586">
        <f>IFERROR(IFERROR(VLOOKUP($D230,$Z$8:$AD$9,2,FALSE),0)/IF($D230="Inhalation",IF($K230="Central Tendency",SUMIFS('Inhalation Exposure'!$N$4:$N$61,'Inhalation Exposure'!$B$4:$B$61,$B230,'Inhalation Exposure'!$D$4:$D$61,$C230,'Inhalation Exposure'!$E$4:$E$61,$E230),SUMIFS('Inhalation Exposure'!$M$4:$M$61,'Inhalation Exposure'!$B$4:$B$61,$B230,'Inhalation Exposure'!$D$4:$D$61,$C230,'Inhalation Exposure'!$E$4:$E$61,$E230)),IF($K230="Central Tendency",SUMIFS('Dermal Crosswalk'!$P$5:$P$32,'Dermal Crosswalk'!$A$5:$A$32,'Bridge Table'!$B230,'Dermal Crosswalk'!$C$5:$C$32,'Bridge Table'!$E230),SUMIFS('Dermal Crosswalk'!$K$5:$K$32,'Dermal Crosswalk'!$A$5:$A$32,'Bridge Table'!$B230,'Dermal Crosswalk'!$C$5:$C$32,'Bridge Table'!$E230))),"--")</f>
        <v>13.702262443438913</v>
      </c>
      <c r="M230" s="586">
        <f>IFERROR(IFERROR(VLOOKUP($D230,$Z$8:$AD$9,3,FALSE),0)/IF($D230="Inhalation",IF($K230="Central Tendency",SUMIFS('Inhalation Exposure'!$AB$4:$AB$61,'Inhalation Exposure'!$B$4:$B$61,$B230,'Inhalation Exposure'!$D$4:$D$61,$C230,'Inhalation Exposure'!$E$4:$E$61,$E230),SUMIFS('Inhalation Exposure'!$AA$4:$AA$61,'Inhalation Exposure'!$B$4:$B$61,$B230,'Inhalation Exposure'!$D$4:$D$61,$C230,'Inhalation Exposure'!$E$4:$E$61,$E230)),IF($K230="Central Tendency",SUMIFS('Dermal Crosswalk'!$S$5:$S$32,'Dermal Crosswalk'!$A$5:$A$32,'Bridge Table'!$B230,'Dermal Crosswalk'!$C$5:$C$32,'Bridge Table'!$E230),SUMIFS('Dermal Crosswalk'!$N$5:$N$32,'Dermal Crosswalk'!$A$5:$A$32,'Bridge Table'!$B230,'Dermal Crosswalk'!$C$5:$C$32,'Bridge Table'!$E230))),"--")</f>
        <v>118.93031674208143</v>
      </c>
      <c r="N230" s="586">
        <f>IFERROR(IFERROR(VLOOKUP($D230,$Z$8:$AD$9,4,FALSE),0)/IF($D230="Inhalation",IF($K230="Central Tendency",SUMIFS('Inhalation Exposure'!$R$4:$R$61,'Inhalation Exposure'!$B$4:$B$61,$B230,'Inhalation Exposure'!$D$4:$D$61,$C230,'Inhalation Exposure'!$E$4:$E$61,$E230),SUMIFS('Inhalation Exposure'!$Q$4:$Q$61,'Inhalation Exposure'!$B$4:$B$61,$B230,'Inhalation Exposure'!$D$4:$D$61,$C230,'Inhalation Exposure'!$E$4:$E$61,$E230)),IF($K230="Central Tendency",SUMIFS('Dermal Crosswalk'!$Q$5:$Q$32,'Dermal Crosswalk'!$A$5:$A$32,'Bridge Table'!$B230,'Dermal Crosswalk'!$C$5:$C$32,'Bridge Table'!$E230),SUMIFS('Dermal Crosswalk'!$L$5:$L$32,'Dermal Crosswalk'!$A$5:$A$32,'Bridge Table'!$B230,'Dermal Crosswalk'!$C$5:$C$32,'Bridge Table'!$E230))),"--")</f>
        <v>1446.9855203619911</v>
      </c>
      <c r="O230" s="586">
        <f>IFERROR(IFERROR(VLOOKUP($D230,$Z$8:$AD$9,5,FALSE),0)*IF($D230="Inhalation",IF($K230="Central Tendency",SUMIFS('Inhalation Exposure'!$V$4:$V$61,'Inhalation Exposure'!$B$4:$B$61,$B230,'Inhalation Exposure'!$D$4:$D$61,$C230,'Inhalation Exposure'!$E$4:$E$61,$E230),SUMIFS('Inhalation Exposure'!$U$4:$U$61,'Inhalation Exposure'!$B$4:$B$61,$B230,'Inhalation Exposure'!$D$4:$D$61,$C230,'Inhalation Exposure'!$E$4:$E$61,$E230)),IF($K230="Central Tendency",SUMIFS('Dermal Crosswalk'!$R$5:$R$32,'Dermal Crosswalk'!$A$5:$A$32,'Bridge Table'!$B230,'Dermal Crosswalk'!$C$5:$C$32,'Bridge Table'!$E230),SUMIFS('Dermal Crosswalk'!$M$5:$M$32,'Dermal Crosswalk'!$A$5:$A$32,'Bridge Table'!$B230,'Dermal Crosswalk'!$C$5:$C$32,'Bridge Table'!$E230))),"--")</f>
        <v>2.3815736340198184E-5</v>
      </c>
      <c r="P230" s="363">
        <f>IFERROR(L230*U230,"Not Assessed")</f>
        <v>137.02262443438914</v>
      </c>
      <c r="Q230" s="363">
        <f>IFERROR(M230*V230,"Not Assessed")</f>
        <v>1189.3031674208144</v>
      </c>
      <c r="R230" s="363">
        <f>IFERROR(N230*W230,"Not Assessed")</f>
        <v>14469.855203619911</v>
      </c>
      <c r="S230" s="364">
        <f>IFERROR(O230/X230, "Not Assessed")</f>
        <v>2.3815736340198185E-6</v>
      </c>
      <c r="U230" s="378">
        <v>10</v>
      </c>
      <c r="V230" s="379">
        <v>10</v>
      </c>
      <c r="W230" s="379">
        <v>10</v>
      </c>
      <c r="X230" s="380">
        <v>10</v>
      </c>
    </row>
    <row r="231" spans="1:29" ht="15" thickBot="1" x14ac:dyDescent="0.35">
      <c r="A231" s="372"/>
      <c r="B231" s="360" t="s">
        <v>142</v>
      </c>
      <c r="C231" s="361" t="s">
        <v>25</v>
      </c>
      <c r="D231" s="361" t="s">
        <v>111</v>
      </c>
      <c r="E231" s="362" t="s">
        <v>117</v>
      </c>
      <c r="F231" s="589"/>
      <c r="G231" s="589"/>
      <c r="H231" s="589"/>
      <c r="I231" s="590"/>
      <c r="J231" s="590"/>
      <c r="K231" s="588"/>
      <c r="L231" s="587"/>
      <c r="M231" s="587"/>
      <c r="N231" s="587"/>
      <c r="O231" s="587"/>
      <c r="P231" s="373" t="str">
        <f>CONCATENATE("(APF ",U230,")")</f>
        <v>(APF 10)</v>
      </c>
      <c r="Q231" s="373" t="str">
        <f>CONCATENATE("(APF ",V230,")")</f>
        <v>(APF 10)</v>
      </c>
      <c r="R231" s="373" t="str">
        <f>CONCATENATE("(APF ",W230,")")</f>
        <v>(APF 10)</v>
      </c>
      <c r="S231" s="373" t="str">
        <f>CONCATENATE("(APF ",X230,")")</f>
        <v>(APF 10)</v>
      </c>
      <c r="U231" s="374" t="s">
        <v>116</v>
      </c>
      <c r="V231" s="375" t="s">
        <v>116</v>
      </c>
      <c r="W231" s="375" t="s">
        <v>116</v>
      </c>
      <c r="X231" s="376" t="s">
        <v>116</v>
      </c>
    </row>
    <row r="232" spans="1:29" ht="15" thickBot="1" x14ac:dyDescent="0.35">
      <c r="A232" s="372"/>
      <c r="B232" s="360" t="s">
        <v>142</v>
      </c>
      <c r="C232" s="361" t="s">
        <v>53</v>
      </c>
      <c r="D232" s="361" t="s">
        <v>111</v>
      </c>
      <c r="E232" s="362" t="s">
        <v>24</v>
      </c>
      <c r="F232" s="589"/>
      <c r="G232" s="589"/>
      <c r="H232" s="589"/>
      <c r="I232" s="589" t="s">
        <v>53</v>
      </c>
      <c r="J232" s="586" t="s">
        <v>115</v>
      </c>
      <c r="K232" s="584" t="s">
        <v>54</v>
      </c>
      <c r="L232" s="586" t="str">
        <f>IFERROR(IFERROR(VLOOKUP($D232,$Z$8:$AD$9,2,FALSE),0)/IF($D232="Inhalation",IF($K232="Central Tendency",SUMIFS('Inhalation Exposure'!$L$4:$L$60,'Inhalation Exposure'!$B$4:$B$60,$B232,'Inhalation Exposure'!$D$4:$D$60,$C232,'Inhalation Exposure'!$E$4:$E$60,$E232),SUMIFS('Inhalation Exposure'!$K$4:$K$60,'Inhalation Exposure'!$B$4:$B$60,$B232,'Inhalation Exposure'!$D$4:$D$60,$C232,'Inhalation Exposure'!$E$4:$E$60,$E232)),IF($K232="Central Tendency",SUMIFS('Dermal Crosswalk'!$P$5:$P$32,'Dermal Crosswalk'!$A$5:$A$32,'Bridge Table'!$B232,'Dermal Crosswalk'!$C$5:$C$32,'Bridge Table'!$E232),SUMIFS('Dermal Crosswalk'!$K$5:$K$32,'Dermal Crosswalk'!$A$5:$A$32,'Bridge Table'!$B232,'Dermal Crosswalk'!$C$5:$C$32,'Bridge Table'!$E232))),"--")</f>
        <v>--</v>
      </c>
      <c r="M232" s="586" t="str">
        <f>IFERROR(IFERROR(VLOOKUP($D232,$Z$8:$AD$9,3,FALSE),0)/IF($D232="Inhalation",IF($K232="Central Tendency",SUMIFS('Inhalation Exposure'!$AB$4:$AB$60,'Inhalation Exposure'!$B$4:$B$60,$B232,'Inhalation Exposure'!$D$4:$D$60,$C232,'Inhalation Exposure'!$E$4:$E$60,$E232),SUMIFS('Inhalation Exposure'!$AA$4:$AA$60,'Inhalation Exposure'!$B$4:$B$60,$B232,'Inhalation Exposure'!$D$4:$D$60,$C232,'Inhalation Exposure'!$E$4:$E$60,$E232)),IF($K232="Central Tendency",SUMIFS('Dermal Crosswalk'!$S$5:$S$32,'Dermal Crosswalk'!$A$5:$A$32,'Bridge Table'!$B232,'Dermal Crosswalk'!$C$5:$C$32,'Bridge Table'!$E232),SUMIFS('Dermal Crosswalk'!$N$5:$N$32,'Dermal Crosswalk'!$A$5:$A$32,'Bridge Table'!$B232,'Dermal Crosswalk'!$C$5:$C$32,'Bridge Table'!$E232))),"--")</f>
        <v>--</v>
      </c>
      <c r="N232" s="586" t="str">
        <f>IFERROR(IFERROR(VLOOKUP($D232,$Z$8:$AD$9,4,FALSE),0)/IF($D232="Inhalation",IF($K232="Central Tendency",SUMIFS('Inhalation Exposure'!$R$4:$R$60,'Inhalation Exposure'!$B$4:$B$60,$B232,'Inhalation Exposure'!$D$4:$D$60,$C232,'Inhalation Exposure'!$E$4:$E$60,$E232),SUMIFS('Inhalation Exposure'!$Q$4:$Q$60,'Inhalation Exposure'!$B$4:$B$60,$B232,'Inhalation Exposure'!$D$4:$D$60,$C232,'Inhalation Exposure'!$E$4:$E$60,$E232)),IF($K232="Central Tendency",SUMIFS('Dermal Crosswalk'!$Q$5:$Q$32,'Dermal Crosswalk'!$A$5:$A$32,'Bridge Table'!$B232,'Dermal Crosswalk'!$C$5:$C$32,'Bridge Table'!$E232),SUMIFS('Dermal Crosswalk'!$L$5:$L$32,'Dermal Crosswalk'!$A$5:$A$32,'Bridge Table'!$B232,'Dermal Crosswalk'!$C$5:$C$32,'Bridge Table'!$E232))),"--")</f>
        <v>--</v>
      </c>
      <c r="O232" s="586" t="str">
        <f>IF(IFERROR(VLOOKUP($D232,$Z$8:$AD$9,5,FALSE),0)*IF($D232="Inhalation",IF($K232="Central Tendency",SUMIFS('Inhalation Exposure'!$V$4:$V$60,'Inhalation Exposure'!$B$4:$B$60,$B232,'Inhalation Exposure'!$D$4:$D$60,$C232,'Inhalation Exposure'!$E$4:$E$60,$E232),SUMIFS('Inhalation Exposure'!$U$4:$U$60,'Inhalation Exposure'!$B$4:$B$60,$B232,'Inhalation Exposure'!$D$4:$D$60,$C232,'Inhalation Exposure'!$E$4:$E$60,$E232)),IF($K232="Central Tendency",SUMIFS('Dermal Crosswalk'!$R$5:$R$32,'Dermal Crosswalk'!$A$5:$A$32,'Bridge Table'!$B232,'Dermal Crosswalk'!$C$5:$C$32,'Bridge Table'!$E232),SUMIFS('Dermal Crosswalk'!$M$5:$M$32,'Dermal Crosswalk'!$A$5:$A$32,'Bridge Table'!$B232,'Dermal Crosswalk'!$C$5:$C$32,'Bridge Table'!$E232)))=0,"--",IFERROR(VLOOKUP($D232,$Z$8:$AD$9,5,FALSE),0)*IF($D232="Inhalation",IF($K232="Central Tendency",SUMIFS('Inhalation Exposure'!$V$4:$V$60,'Inhalation Exposure'!$B$4:$B$60,$B232,'Inhalation Exposure'!$D$4:$D$60,$C232,'Inhalation Exposure'!$E$4:$E$60,$E232),SUMIFS('Inhalation Exposure'!$U$4:$U$60,'Inhalation Exposure'!$B$4:$B$60,$B232,'Inhalation Exposure'!$D$4:$D$60,$C232,'Inhalation Exposure'!$E$4:$E$60,$E232)),IF($K232="Central Tendency",SUMIFS('Dermal Crosswalk'!$R$5:$R$32,'Dermal Crosswalk'!$A$5:$A$32,'Bridge Table'!$B232,'Dermal Crosswalk'!$C$5:$C$32,'Bridge Table'!$E232),SUMIFS('Dermal Crosswalk'!$M$5:$M$32,'Dermal Crosswalk'!$A$5:$A$32,'Bridge Table'!$B232,'Dermal Crosswalk'!$C$5:$C$32,'Bridge Table'!$E232))))</f>
        <v>--</v>
      </c>
      <c r="P232" s="610" t="s">
        <v>118</v>
      </c>
      <c r="Q232" s="610" t="s">
        <v>118</v>
      </c>
      <c r="R232" s="610" t="s">
        <v>118</v>
      </c>
      <c r="S232" s="610" t="s">
        <v>118</v>
      </c>
      <c r="U232" s="612" t="s">
        <v>118</v>
      </c>
      <c r="V232" s="614" t="s">
        <v>118</v>
      </c>
      <c r="W232" s="614" t="s">
        <v>118</v>
      </c>
      <c r="X232" s="616" t="s">
        <v>118</v>
      </c>
    </row>
    <row r="233" spans="1:29" ht="15" thickBot="1" x14ac:dyDescent="0.35">
      <c r="A233" s="372"/>
      <c r="B233" s="360" t="s">
        <v>142</v>
      </c>
      <c r="C233" s="361" t="s">
        <v>53</v>
      </c>
      <c r="D233" s="361" t="s">
        <v>111</v>
      </c>
      <c r="E233" s="362" t="s">
        <v>24</v>
      </c>
      <c r="F233" s="589"/>
      <c r="G233" s="589"/>
      <c r="H233" s="589"/>
      <c r="I233" s="589"/>
      <c r="J233" s="589"/>
      <c r="K233" s="585"/>
      <c r="L233" s="587"/>
      <c r="M233" s="587"/>
      <c r="N233" s="587"/>
      <c r="O233" s="587"/>
      <c r="P233" s="611"/>
      <c r="Q233" s="611"/>
      <c r="R233" s="611"/>
      <c r="S233" s="611"/>
      <c r="U233" s="613"/>
      <c r="V233" s="615"/>
      <c r="W233" s="615"/>
      <c r="X233" s="617"/>
    </row>
    <row r="234" spans="1:29" ht="15" thickBot="1" x14ac:dyDescent="0.35">
      <c r="A234" s="372"/>
      <c r="B234" s="360" t="s">
        <v>142</v>
      </c>
      <c r="C234" s="361" t="s">
        <v>53</v>
      </c>
      <c r="D234" s="361" t="s">
        <v>111</v>
      </c>
      <c r="E234" s="362" t="s">
        <v>24</v>
      </c>
      <c r="F234" s="589"/>
      <c r="G234" s="589"/>
      <c r="H234" s="589"/>
      <c r="I234" s="589"/>
      <c r="J234" s="589"/>
      <c r="K234" s="584" t="s">
        <v>88</v>
      </c>
      <c r="L234" s="586" t="str">
        <f>IFERROR(IFERROR(VLOOKUP($D234,$Z$8:$AD$9,2,FALSE),0)/IF($D234="Inhalation",IF($K234="Central Tendency",SUMIFS('Inhalation Exposure'!$L$4:$L$60,'Inhalation Exposure'!$B$4:$B$60,$B234,'Inhalation Exposure'!$D$4:$D$60,$C234,'Inhalation Exposure'!$E$4:$E$60,$E234),SUMIFS('Inhalation Exposure'!$K$4:$K$60,'Inhalation Exposure'!$B$4:$B$60,$B234,'Inhalation Exposure'!$D$4:$D$60,$C234,'Inhalation Exposure'!$E$4:$E$60,$E234)),IF($K234="Central Tendency",SUMIFS('Dermal Crosswalk'!$P$5:$P$32,'Dermal Crosswalk'!$A$5:$A$32,'Bridge Table'!$B234,'Dermal Crosswalk'!$C$5:$C$32,'Bridge Table'!$E234),SUMIFS('Dermal Crosswalk'!$K$5:$K$32,'Dermal Crosswalk'!$A$5:$A$32,'Bridge Table'!$B234,'Dermal Crosswalk'!$C$5:$C$32,'Bridge Table'!$E234))),"--")</f>
        <v>--</v>
      </c>
      <c r="M234" s="586" t="str">
        <f>IFERROR(IFERROR(VLOOKUP($D234,$Z$8:$AD$9,3,FALSE),0)/IF($D234="Inhalation",IF($K234="Central Tendency",SUMIFS('Inhalation Exposure'!$AB$4:$AB$60,'Inhalation Exposure'!$B$4:$B$60,$B234,'Inhalation Exposure'!$D$4:$D$60,$C234,'Inhalation Exposure'!$E$4:$E$60,$E234),SUMIFS('Inhalation Exposure'!$AA$4:$AA$60,'Inhalation Exposure'!$B$4:$B$60,$B234,'Inhalation Exposure'!$D$4:$D$60,$C234,'Inhalation Exposure'!$E$4:$E$60,$E234)),IF($K234="Central Tendency",SUMIFS('Dermal Crosswalk'!$S$5:$S$32,'Dermal Crosswalk'!$A$5:$A$32,'Bridge Table'!$B234,'Dermal Crosswalk'!$C$5:$C$32,'Bridge Table'!$E234),SUMIFS('Dermal Crosswalk'!$N$5:$N$32,'Dermal Crosswalk'!$A$5:$A$32,'Bridge Table'!$B234,'Dermal Crosswalk'!$C$5:$C$32,'Bridge Table'!$E234))),"--")</f>
        <v>--</v>
      </c>
      <c r="N234" s="586" t="str">
        <f>IFERROR(IFERROR(VLOOKUP($D234,$Z$8:$AD$9,4,FALSE),0)/IF($D234="Inhalation",IF($K234="Central Tendency",SUMIFS('Inhalation Exposure'!$R$4:$R$60,'Inhalation Exposure'!$B$4:$B$60,$B234,'Inhalation Exposure'!$D$4:$D$60,$C234,'Inhalation Exposure'!$E$4:$E$60,$E234),SUMIFS('Inhalation Exposure'!$Q$4:$Q$60,'Inhalation Exposure'!$B$4:$B$60,$B234,'Inhalation Exposure'!$D$4:$D$60,$C234,'Inhalation Exposure'!$E$4:$E$60,$E234)),IF($K234="Central Tendency",SUMIFS('Dermal Crosswalk'!$Q$5:$Q$32,'Dermal Crosswalk'!$A$5:$A$32,'Bridge Table'!$B234,'Dermal Crosswalk'!$C$5:$C$32,'Bridge Table'!$E234),SUMIFS('Dermal Crosswalk'!$L$5:$L$32,'Dermal Crosswalk'!$A$5:$A$32,'Bridge Table'!$B234,'Dermal Crosswalk'!$C$5:$C$32,'Bridge Table'!$E234))),"--")</f>
        <v>--</v>
      </c>
      <c r="O234" s="586" t="str">
        <f>IF(IFERROR(VLOOKUP($D234,$Z$8:$AD$9,5,FALSE),0)*IF($D234="Inhalation",IF($K234="Central Tendency",SUMIFS('Inhalation Exposure'!$V$4:$V$60,'Inhalation Exposure'!$B$4:$B$60,$B234,'Inhalation Exposure'!$D$4:$D$60,$C234,'Inhalation Exposure'!$E$4:$E$60,$E234),SUMIFS('Inhalation Exposure'!$U$4:$U$60,'Inhalation Exposure'!$B$4:$B$60,$B234,'Inhalation Exposure'!$D$4:$D$60,$C234,'Inhalation Exposure'!$E$4:$E$60,$E234)),IF($K234="Central Tendency",SUMIFS('Dermal Crosswalk'!$R$5:$R$32,'Dermal Crosswalk'!$A$5:$A$32,'Bridge Table'!$B234,'Dermal Crosswalk'!$C$5:$C$32,'Bridge Table'!$E234),SUMIFS('Dermal Crosswalk'!$M$5:$M$32,'Dermal Crosswalk'!$A$5:$A$32,'Bridge Table'!$B234,'Dermal Crosswalk'!$C$5:$C$32,'Bridge Table'!$E234)))=0,"--",IFERROR(VLOOKUP($D234,$Z$8:$AD$9,5,FALSE),0)*IF($D234="Inhalation",IF($K234="Central Tendency",SUMIFS('Inhalation Exposure'!$V$4:$V$60,'Inhalation Exposure'!$B$4:$B$60,$B234,'Inhalation Exposure'!$D$4:$D$60,$C234,'Inhalation Exposure'!$E$4:$E$60,$E234),SUMIFS('Inhalation Exposure'!$U$4:$U$60,'Inhalation Exposure'!$B$4:$B$60,$B234,'Inhalation Exposure'!$D$4:$D$60,$C234,'Inhalation Exposure'!$E$4:$E$60,$E234)),IF($K234="Central Tendency",SUMIFS('Dermal Crosswalk'!$R$5:$R$32,'Dermal Crosswalk'!$A$5:$A$32,'Bridge Table'!$B234,'Dermal Crosswalk'!$C$5:$C$32,'Bridge Table'!$E234),SUMIFS('Dermal Crosswalk'!$M$5:$M$32,'Dermal Crosswalk'!$A$5:$A$32,'Bridge Table'!$B234,'Dermal Crosswalk'!$C$5:$C$32,'Bridge Table'!$E234))))</f>
        <v>--</v>
      </c>
      <c r="P234" s="610" t="s">
        <v>118</v>
      </c>
      <c r="Q234" s="610" t="s">
        <v>118</v>
      </c>
      <c r="R234" s="610" t="s">
        <v>118</v>
      </c>
      <c r="S234" s="610" t="s">
        <v>118</v>
      </c>
      <c r="U234" s="612" t="s">
        <v>118</v>
      </c>
      <c r="V234" s="614" t="s">
        <v>118</v>
      </c>
      <c r="W234" s="614" t="s">
        <v>118</v>
      </c>
      <c r="X234" s="616" t="s">
        <v>118</v>
      </c>
    </row>
    <row r="235" spans="1:29" ht="15" thickBot="1" x14ac:dyDescent="0.35">
      <c r="A235" s="372"/>
      <c r="B235" s="360" t="s">
        <v>142</v>
      </c>
      <c r="C235" s="361" t="s">
        <v>53</v>
      </c>
      <c r="D235" s="361" t="s">
        <v>111</v>
      </c>
      <c r="E235" s="362" t="s">
        <v>24</v>
      </c>
      <c r="F235" s="589"/>
      <c r="G235" s="589"/>
      <c r="H235" s="589"/>
      <c r="I235" s="590"/>
      <c r="J235" s="590"/>
      <c r="K235" s="588"/>
      <c r="L235" s="587"/>
      <c r="M235" s="587"/>
      <c r="N235" s="587"/>
      <c r="O235" s="587"/>
      <c r="P235" s="611"/>
      <c r="Q235" s="611"/>
      <c r="R235" s="611"/>
      <c r="S235" s="611"/>
      <c r="U235" s="613"/>
      <c r="V235" s="615"/>
      <c r="W235" s="615"/>
      <c r="X235" s="617"/>
    </row>
    <row r="236" spans="1:29" ht="15" thickBot="1" x14ac:dyDescent="0.35">
      <c r="A236" s="372"/>
      <c r="B236" s="360" t="s">
        <v>142</v>
      </c>
      <c r="C236" s="361" t="s">
        <v>53</v>
      </c>
      <c r="D236" s="361" t="s">
        <v>111</v>
      </c>
      <c r="E236" s="362" t="s">
        <v>117</v>
      </c>
      <c r="F236" s="589"/>
      <c r="G236" s="589"/>
      <c r="H236" s="589"/>
      <c r="I236" s="589" t="s">
        <v>53</v>
      </c>
      <c r="J236" s="586" t="s">
        <v>115</v>
      </c>
      <c r="K236" s="584" t="s">
        <v>54</v>
      </c>
      <c r="L236" s="586" t="str">
        <f>IFERROR(IFERROR(VLOOKUP($D236,$Z$8:$AD$9,2,FALSE),0)/IF($D236="Inhalation",IF($K236="Central Tendency",SUMIFS('Inhalation Exposure'!$L$4:$L$60,'Inhalation Exposure'!$B$4:$B$60,$B236,'Inhalation Exposure'!$D$4:$D$60,$C236,'Inhalation Exposure'!$E$4:$E$60,$E236),SUMIFS('Inhalation Exposure'!$K$4:$K$60,'Inhalation Exposure'!$B$4:$B$60,$B236,'Inhalation Exposure'!$D$4:$D$60,$C236,'Inhalation Exposure'!$E$4:$E$60,$E236)),IF($K236="Central Tendency",SUMIFS('Dermal Crosswalk'!$P$5:$P$32,'Dermal Crosswalk'!$A$5:$A$32,'Bridge Table'!$B236,'Dermal Crosswalk'!$C$5:$C$32,'Bridge Table'!$E236),SUMIFS('Dermal Crosswalk'!$K$5:$K$32,'Dermal Crosswalk'!$A$5:$A$32,'Bridge Table'!$B236,'Dermal Crosswalk'!$C$5:$C$32,'Bridge Table'!$E236))),"--")</f>
        <v>--</v>
      </c>
      <c r="M236" s="586" t="str">
        <f>IFERROR(IFERROR(VLOOKUP($D236,$Z$8:$AD$9,3,FALSE),0)/IF($D236="Inhalation",IF($K236="Central Tendency",SUMIFS('Inhalation Exposure'!$AB$4:$AB$60,'Inhalation Exposure'!$B$4:$B$60,$B236,'Inhalation Exposure'!$D$4:$D$60,$C236,'Inhalation Exposure'!$E$4:$E$60,$E236),SUMIFS('Inhalation Exposure'!$AA$4:$AA$60,'Inhalation Exposure'!$B$4:$B$60,$B236,'Inhalation Exposure'!$D$4:$D$60,$C236,'Inhalation Exposure'!$E$4:$E$60,$E236)),IF($K236="Central Tendency",SUMIFS('Dermal Crosswalk'!$S$5:$S$32,'Dermal Crosswalk'!$A$5:$A$32,'Bridge Table'!$B236,'Dermal Crosswalk'!$C$5:$C$32,'Bridge Table'!$E236),SUMIFS('Dermal Crosswalk'!$N$5:$N$32,'Dermal Crosswalk'!$A$5:$A$32,'Bridge Table'!$B236,'Dermal Crosswalk'!$C$5:$C$32,'Bridge Table'!$E236))),"--")</f>
        <v>--</v>
      </c>
      <c r="N236" s="586" t="str">
        <f>IFERROR(IFERROR(VLOOKUP($D236,$Z$8:$AD$9,4,FALSE),0)/IF($D236="Inhalation",IF($K236="Central Tendency",SUMIFS('Inhalation Exposure'!$R$4:$R$60,'Inhalation Exposure'!$B$4:$B$60,$B236,'Inhalation Exposure'!$D$4:$D$60,$C236,'Inhalation Exposure'!$E$4:$E$60,$E236),SUMIFS('Inhalation Exposure'!$Q$4:$Q$60,'Inhalation Exposure'!$B$4:$B$60,$B236,'Inhalation Exposure'!$D$4:$D$60,$C236,'Inhalation Exposure'!$E$4:$E$60,$E236)),IF($K236="Central Tendency",SUMIFS('Dermal Crosswalk'!$Q$5:$Q$32,'Dermal Crosswalk'!$A$5:$A$32,'Bridge Table'!$B236,'Dermal Crosswalk'!$C$5:$C$32,'Bridge Table'!$E236),SUMIFS('Dermal Crosswalk'!$L$5:$L$32,'Dermal Crosswalk'!$A$5:$A$32,'Bridge Table'!$B236,'Dermal Crosswalk'!$C$5:$C$32,'Bridge Table'!$E236))),"--")</f>
        <v>--</v>
      </c>
      <c r="O236" s="586" t="str">
        <f>IF(IFERROR(VLOOKUP($D236,$Z$8:$AD$9,5,FALSE),0)*IF($D236="Inhalation",IF($K236="Central Tendency",SUMIFS('Inhalation Exposure'!$V$4:$V$60,'Inhalation Exposure'!$B$4:$B$60,$B236,'Inhalation Exposure'!$D$4:$D$60,$C236,'Inhalation Exposure'!$E$4:$E$60,$E236),SUMIFS('Inhalation Exposure'!$U$4:$U$60,'Inhalation Exposure'!$B$4:$B$60,$B236,'Inhalation Exposure'!$D$4:$D$60,$C236,'Inhalation Exposure'!$E$4:$E$60,$E236)),IF($K236="Central Tendency",SUMIFS('Dermal Crosswalk'!$R$5:$R$32,'Dermal Crosswalk'!$A$5:$A$32,'Bridge Table'!$B236,'Dermal Crosswalk'!$C$5:$C$32,'Bridge Table'!$E236),SUMIFS('Dermal Crosswalk'!$M$5:$M$32,'Dermal Crosswalk'!$A$5:$A$32,'Bridge Table'!$B236,'Dermal Crosswalk'!$C$5:$C$32,'Bridge Table'!$E236)))=0,"--",IFERROR(VLOOKUP($D236,$Z$8:$AD$9,5,FALSE),0)*IF($D236="Inhalation",IF($K236="Central Tendency",SUMIFS('Inhalation Exposure'!$V$4:$V$60,'Inhalation Exposure'!$B$4:$B$60,$B236,'Inhalation Exposure'!$D$4:$D$60,$C236,'Inhalation Exposure'!$E$4:$E$60,$E236),SUMIFS('Inhalation Exposure'!$U$4:$U$60,'Inhalation Exposure'!$B$4:$B$60,$B236,'Inhalation Exposure'!$D$4:$D$60,$C236,'Inhalation Exposure'!$E$4:$E$60,$E236)),IF($K236="Central Tendency",SUMIFS('Dermal Crosswalk'!$R$5:$R$32,'Dermal Crosswalk'!$A$5:$A$32,'Bridge Table'!$B236,'Dermal Crosswalk'!$C$5:$C$32,'Bridge Table'!$E236),SUMIFS('Dermal Crosswalk'!$M$5:$M$32,'Dermal Crosswalk'!$A$5:$A$32,'Bridge Table'!$B236,'Dermal Crosswalk'!$C$5:$C$32,'Bridge Table'!$E236))))</f>
        <v>--</v>
      </c>
      <c r="P236" s="610" t="s">
        <v>118</v>
      </c>
      <c r="Q236" s="610" t="s">
        <v>118</v>
      </c>
      <c r="R236" s="610" t="s">
        <v>118</v>
      </c>
      <c r="S236" s="610" t="s">
        <v>118</v>
      </c>
      <c r="U236" s="612" t="s">
        <v>118</v>
      </c>
      <c r="V236" s="614" t="s">
        <v>118</v>
      </c>
      <c r="W236" s="614" t="s">
        <v>118</v>
      </c>
      <c r="X236" s="616" t="s">
        <v>118</v>
      </c>
    </row>
    <row r="237" spans="1:29" ht="15" thickBot="1" x14ac:dyDescent="0.35">
      <c r="A237" s="372"/>
      <c r="B237" s="360" t="s">
        <v>142</v>
      </c>
      <c r="C237" s="361" t="s">
        <v>53</v>
      </c>
      <c r="D237" s="361" t="s">
        <v>111</v>
      </c>
      <c r="E237" s="362" t="s">
        <v>117</v>
      </c>
      <c r="F237" s="589"/>
      <c r="G237" s="589"/>
      <c r="H237" s="589"/>
      <c r="I237" s="589"/>
      <c r="J237" s="589"/>
      <c r="K237" s="585"/>
      <c r="L237" s="587"/>
      <c r="M237" s="587"/>
      <c r="N237" s="587"/>
      <c r="O237" s="587"/>
      <c r="P237" s="611"/>
      <c r="Q237" s="611"/>
      <c r="R237" s="611"/>
      <c r="S237" s="611"/>
      <c r="U237" s="613"/>
      <c r="V237" s="615"/>
      <c r="W237" s="615"/>
      <c r="X237" s="617"/>
    </row>
    <row r="238" spans="1:29" ht="15" thickBot="1" x14ac:dyDescent="0.35">
      <c r="A238" s="372"/>
      <c r="B238" s="360" t="s">
        <v>142</v>
      </c>
      <c r="C238" s="361" t="s">
        <v>53</v>
      </c>
      <c r="D238" s="361" t="s">
        <v>111</v>
      </c>
      <c r="E238" s="362" t="s">
        <v>117</v>
      </c>
      <c r="F238" s="589"/>
      <c r="G238" s="589"/>
      <c r="H238" s="589"/>
      <c r="I238" s="589"/>
      <c r="J238" s="589"/>
      <c r="K238" s="584" t="s">
        <v>88</v>
      </c>
      <c r="L238" s="586" t="str">
        <f>IFERROR(IFERROR(VLOOKUP($D238,$Z$8:$AD$9,2,FALSE),0)/IF($D238="Inhalation",IF($K238="Central Tendency",SUMIFS('Inhalation Exposure'!$L$4:$L$60,'Inhalation Exposure'!$B$4:$B$60,$B238,'Inhalation Exposure'!$D$4:$D$60,$C238,'Inhalation Exposure'!$E$4:$E$60,$E238),SUMIFS('Inhalation Exposure'!$K$4:$K$60,'Inhalation Exposure'!$B$4:$B$60,$B238,'Inhalation Exposure'!$D$4:$D$60,$C238,'Inhalation Exposure'!$E$4:$E$60,$E238)),IF($K238="Central Tendency",SUMIFS('Dermal Crosswalk'!$P$5:$P$32,'Dermal Crosswalk'!$A$5:$A$32,'Bridge Table'!$B238,'Dermal Crosswalk'!$C$5:$C$32,'Bridge Table'!$E238),SUMIFS('Dermal Crosswalk'!$K$5:$K$32,'Dermal Crosswalk'!$A$5:$A$32,'Bridge Table'!$B238,'Dermal Crosswalk'!$C$5:$C$32,'Bridge Table'!$E238))),"--")</f>
        <v>--</v>
      </c>
      <c r="M238" s="586" t="str">
        <f>IFERROR(IFERROR(VLOOKUP($D238,$Z$8:$AD$9,3,FALSE),0)/IF($D238="Inhalation",IF($K238="Central Tendency",SUMIFS('Inhalation Exposure'!$AB$4:$AB$60,'Inhalation Exposure'!$B$4:$B$60,$B238,'Inhalation Exposure'!$D$4:$D$60,$C238,'Inhalation Exposure'!$E$4:$E$60,$E238),SUMIFS('Inhalation Exposure'!$AA$4:$AA$60,'Inhalation Exposure'!$B$4:$B$60,$B238,'Inhalation Exposure'!$D$4:$D$60,$C238,'Inhalation Exposure'!$E$4:$E$60,$E238)),IF($K238="Central Tendency",SUMIFS('Dermal Crosswalk'!$S$5:$S$32,'Dermal Crosswalk'!$A$5:$A$32,'Bridge Table'!$B238,'Dermal Crosswalk'!$C$5:$C$32,'Bridge Table'!$E238),SUMIFS('Dermal Crosswalk'!$N$5:$N$32,'Dermal Crosswalk'!$A$5:$A$32,'Bridge Table'!$B238,'Dermal Crosswalk'!$C$5:$C$32,'Bridge Table'!$E238))),"--")</f>
        <v>--</v>
      </c>
      <c r="N238" s="586" t="str">
        <f>IFERROR(IFERROR(VLOOKUP($D238,$Z$8:$AD$9,4,FALSE),0)/IF($D238="Inhalation",IF($K238="Central Tendency",SUMIFS('Inhalation Exposure'!$R$4:$R$60,'Inhalation Exposure'!$B$4:$B$60,$B238,'Inhalation Exposure'!$D$4:$D$60,$C238,'Inhalation Exposure'!$E$4:$E$60,$E238),SUMIFS('Inhalation Exposure'!$Q$4:$Q$60,'Inhalation Exposure'!$B$4:$B$60,$B238,'Inhalation Exposure'!$D$4:$D$60,$C238,'Inhalation Exposure'!$E$4:$E$60,$E238)),IF($K238="Central Tendency",SUMIFS('Dermal Crosswalk'!$Q$5:$Q$32,'Dermal Crosswalk'!$A$5:$A$32,'Bridge Table'!$B238,'Dermal Crosswalk'!$C$5:$C$32,'Bridge Table'!$E238),SUMIFS('Dermal Crosswalk'!$L$5:$L$32,'Dermal Crosswalk'!$A$5:$A$32,'Bridge Table'!$B238,'Dermal Crosswalk'!$C$5:$C$32,'Bridge Table'!$E238))),"--")</f>
        <v>--</v>
      </c>
      <c r="O238" s="586" t="str">
        <f>IF(IFERROR(VLOOKUP($D238,$Z$8:$AD$9,5,FALSE),0)*IF($D238="Inhalation",IF($K238="Central Tendency",SUMIFS('Inhalation Exposure'!$V$4:$V$60,'Inhalation Exposure'!$B$4:$B$60,$B238,'Inhalation Exposure'!$D$4:$D$60,$C238,'Inhalation Exposure'!$E$4:$E$60,$E238),SUMIFS('Inhalation Exposure'!$U$4:$U$60,'Inhalation Exposure'!$B$4:$B$60,$B238,'Inhalation Exposure'!$D$4:$D$60,$C238,'Inhalation Exposure'!$E$4:$E$60,$E238)),IF($K238="Central Tendency",SUMIFS('Dermal Crosswalk'!$R$5:$R$32,'Dermal Crosswalk'!$A$5:$A$32,'Bridge Table'!$B238,'Dermal Crosswalk'!$C$5:$C$32,'Bridge Table'!$E238),SUMIFS('Dermal Crosswalk'!$M$5:$M$32,'Dermal Crosswalk'!$A$5:$A$32,'Bridge Table'!$B238,'Dermal Crosswalk'!$C$5:$C$32,'Bridge Table'!$E238)))=0,"--",IFERROR(VLOOKUP($D238,$Z$8:$AD$9,5,FALSE),0)*IF($D238="Inhalation",IF($K238="Central Tendency",SUMIFS('Inhalation Exposure'!$V$4:$V$60,'Inhalation Exposure'!$B$4:$B$60,$B238,'Inhalation Exposure'!$D$4:$D$60,$C238,'Inhalation Exposure'!$E$4:$E$60,$E238),SUMIFS('Inhalation Exposure'!$U$4:$U$60,'Inhalation Exposure'!$B$4:$B$60,$B238,'Inhalation Exposure'!$D$4:$D$60,$C238,'Inhalation Exposure'!$E$4:$E$60,$E238)),IF($K238="Central Tendency",SUMIFS('Dermal Crosswalk'!$R$5:$R$32,'Dermal Crosswalk'!$A$5:$A$32,'Bridge Table'!$B238,'Dermal Crosswalk'!$C$5:$C$32,'Bridge Table'!$E238),SUMIFS('Dermal Crosswalk'!$M$5:$M$32,'Dermal Crosswalk'!$A$5:$A$32,'Bridge Table'!$B238,'Dermal Crosswalk'!$C$5:$C$32,'Bridge Table'!$E238))))</f>
        <v>--</v>
      </c>
      <c r="P238" s="610" t="s">
        <v>118</v>
      </c>
      <c r="Q238" s="610" t="s">
        <v>118</v>
      </c>
      <c r="R238" s="610" t="s">
        <v>118</v>
      </c>
      <c r="S238" s="610" t="s">
        <v>118</v>
      </c>
      <c r="U238" s="612" t="s">
        <v>118</v>
      </c>
      <c r="V238" s="614" t="s">
        <v>118</v>
      </c>
      <c r="W238" s="614" t="s">
        <v>118</v>
      </c>
      <c r="X238" s="616" t="s">
        <v>118</v>
      </c>
    </row>
    <row r="239" spans="1:29" ht="15" thickBot="1" x14ac:dyDescent="0.35">
      <c r="A239" s="372"/>
      <c r="B239" s="360" t="s">
        <v>142</v>
      </c>
      <c r="C239" s="361" t="s">
        <v>53</v>
      </c>
      <c r="D239" s="361" t="s">
        <v>111</v>
      </c>
      <c r="E239" s="362" t="s">
        <v>117</v>
      </c>
      <c r="F239" s="589"/>
      <c r="G239" s="589"/>
      <c r="H239" s="589"/>
      <c r="I239" s="590"/>
      <c r="J239" s="590"/>
      <c r="K239" s="588"/>
      <c r="L239" s="587"/>
      <c r="M239" s="587"/>
      <c r="N239" s="587"/>
      <c r="O239" s="587"/>
      <c r="P239" s="611"/>
      <c r="Q239" s="611"/>
      <c r="R239" s="611"/>
      <c r="S239" s="611"/>
      <c r="U239" s="613"/>
      <c r="V239" s="615"/>
      <c r="W239" s="615"/>
      <c r="X239" s="617"/>
    </row>
    <row r="240" spans="1:29" ht="15.6" customHeight="1" thickTop="1" thickBot="1" x14ac:dyDescent="0.35">
      <c r="A240" s="372"/>
      <c r="B240" s="360" t="s">
        <v>142</v>
      </c>
      <c r="C240" s="361" t="s">
        <v>25</v>
      </c>
      <c r="D240" s="361" t="s">
        <v>16</v>
      </c>
      <c r="E240" s="362" t="s">
        <v>24</v>
      </c>
      <c r="F240" s="589"/>
      <c r="G240" s="589"/>
      <c r="H240" s="589"/>
      <c r="I240" s="589" t="s">
        <v>25</v>
      </c>
      <c r="J240" s="609" t="s">
        <v>16</v>
      </c>
      <c r="K240" s="607" t="s">
        <v>54</v>
      </c>
      <c r="L240" s="586">
        <f>IFERROR(IFERROR(VLOOKUP($D240,$Z$8:$AD$9,2,FALSE),0)/IF($D240="Inhalation",IF($K240="Central Tendency",SUMIFS('Inhalation Exposure'!$N$4:$N$61,'Inhalation Exposure'!$B$4:$B$61,$B240,'Inhalation Exposure'!$D$4:$D$61,$C240,'Inhalation Exposure'!$E$4:$E$61,$E240),SUMIFS('Inhalation Exposure'!$M$4:$M$61,'Inhalation Exposure'!$B$4:$B$61,$B240,'Inhalation Exposure'!$D$4:$D$61,$C240,'Inhalation Exposure'!$E$4:$E$61,$E240)),IF($K240="Central Tendency",SUMIFS('Dermal Crosswalk'!$P$5:$P$32,'Dermal Crosswalk'!$A$5:$A$32,'Bridge Table'!$B240,'Dermal Crosswalk'!$C$5:$C$32,'Bridge Table'!$E240),SUMIFS('Dermal Crosswalk'!$K$5:$K$32,'Dermal Crosswalk'!$A$5:$A$32,'Bridge Table'!$B240,'Dermal Crosswalk'!$C$5:$C$32,'Bridge Table'!$E240))),"--")</f>
        <v>6.3906909385693993</v>
      </c>
      <c r="M240" s="586">
        <f>IFERROR(IFERROR(VLOOKUP($D240,$Z$8:$AD$9,3,FALSE),0)/IF($D240="Inhalation",IF($K240="Central Tendency",SUMIFS('Inhalation Exposure'!$AB$4:$AB$61,'Inhalation Exposure'!$B$4:$B$61,$B240,'Inhalation Exposure'!$D$4:$D$61,$C240,'Inhalation Exposure'!$E$4:$E$61,$E240),SUMIFS('Inhalation Exposure'!$AA$4:$AA$61,'Inhalation Exposure'!$B$4:$B$61,$B240,'Inhalation Exposure'!$D$4:$D$61,$C240,'Inhalation Exposure'!$E$4:$E$61,$E240)),IF($K240="Central Tendency",SUMIFS('Dermal Crosswalk'!$S$5:$S$32,'Dermal Crosswalk'!$A$5:$A$32,'Bridge Table'!$B240,'Dermal Crosswalk'!$C$5:$C$32,'Bridge Table'!$E240),SUMIFS('Dermal Crosswalk'!$N$5:$N$32,'Dermal Crosswalk'!$A$5:$A$32,'Bridge Table'!$B240,'Dermal Crosswalk'!$C$5:$C$32,'Bridge Table'!$E240))),"--")</f>
        <v>55.327440578100813</v>
      </c>
      <c r="N240" s="586">
        <f>IFERROR(IFERROR(VLOOKUP($D240,$Z$8:$AD$9,4,FALSE),0)/IF($D240="Inhalation",IF($K240="Central Tendency",SUMIFS('Inhalation Exposure'!$R$4:$R$61,'Inhalation Exposure'!$B$4:$B$61,$B240,'Inhalation Exposure'!$D$4:$D$61,$C240,'Inhalation Exposure'!$E$4:$E$61,$E240),SUMIFS('Inhalation Exposure'!$Q$4:$Q$61,'Inhalation Exposure'!$B$4:$B$61,$B240,'Inhalation Exposure'!$D$4:$D$61,$C240,'Inhalation Exposure'!$E$4:$E$61,$E240)),IF($K240="Central Tendency",SUMIFS('Dermal Crosswalk'!$Q$5:$Q$32,'Dermal Crosswalk'!$A$5:$A$32,'Bridge Table'!$B240,'Dermal Crosswalk'!$C$5:$C$32,'Bridge Table'!$E240),SUMIFS('Dermal Crosswalk'!$L$5:$L$32,'Dermal Crosswalk'!$A$5:$A$32,'Bridge Table'!$B240,'Dermal Crosswalk'!$C$5:$C$32,'Bridge Table'!$E240))),"--")</f>
        <v>673.15052703355991</v>
      </c>
      <c r="O240" s="586">
        <f>IFERROR(IFERROR(VLOOKUP($D240,$Z$8:$AD$9,5,FALSE),0)*IF($D240="Inhalation",IF($K240="Central Tendency",SUMIFS('Inhalation Exposure'!$V$4:$V$61,'Inhalation Exposure'!$B$4:$B$61,$B240,'Inhalation Exposure'!$D$4:$D$61,$C240,'Inhalation Exposure'!$E$4:$E$61,$E240),SUMIFS('Inhalation Exposure'!$U$4:$U$61,'Inhalation Exposure'!$B$4:$B$61,$B240,'Inhalation Exposure'!$D$4:$D$61,$C240,'Inhalation Exposure'!$E$4:$E$61,$E240)),IF($K240="Central Tendency",SUMIFS('Dermal Crosswalk'!$R$5:$R$32,'Dermal Crosswalk'!$A$5:$A$32,'Bridge Table'!$B240,'Dermal Crosswalk'!$C$5:$C$32,'Bridge Table'!$E240),SUMIFS('Dermal Crosswalk'!$M$5:$M$32,'Dermal Crosswalk'!$A$5:$A$32,'Bridge Table'!$B240,'Dermal Crosswalk'!$C$5:$C$32,'Bridge Table'!$E240))),"--")</f>
        <v>3.9489681627590452E-5</v>
      </c>
      <c r="P240" s="382">
        <f>L240*U240</f>
        <v>31.953454692846996</v>
      </c>
      <c r="Q240" s="382">
        <f t="shared" ref="Q240" si="71">M240*V240</f>
        <v>276.63720289050406</v>
      </c>
      <c r="R240" s="382">
        <f t="shared" ref="R240" si="72">N240*W240</f>
        <v>3365.7526351677998</v>
      </c>
      <c r="S240" s="383">
        <f>O240/X240</f>
        <v>7.89793632551809E-6</v>
      </c>
      <c r="U240" s="378">
        <v>5</v>
      </c>
      <c r="V240" s="379">
        <v>5</v>
      </c>
      <c r="W240" s="379">
        <v>5</v>
      </c>
      <c r="X240" s="380">
        <v>5</v>
      </c>
    </row>
    <row r="241" spans="1:24" ht="15" thickBot="1" x14ac:dyDescent="0.35">
      <c r="A241" s="372"/>
      <c r="B241" s="360" t="s">
        <v>142</v>
      </c>
      <c r="C241" s="361" t="s">
        <v>25</v>
      </c>
      <c r="D241" s="361" t="s">
        <v>16</v>
      </c>
      <c r="E241" s="362" t="s">
        <v>24</v>
      </c>
      <c r="F241" s="589"/>
      <c r="G241" s="589"/>
      <c r="H241" s="589"/>
      <c r="I241" s="589"/>
      <c r="J241" s="589"/>
      <c r="K241" s="608"/>
      <c r="L241" s="587"/>
      <c r="M241" s="587"/>
      <c r="N241" s="587"/>
      <c r="O241" s="587"/>
      <c r="P241" s="373" t="str">
        <f>CONCATENATE("(PF ",U240,")")</f>
        <v>(PF 5)</v>
      </c>
      <c r="Q241" s="373" t="str">
        <f>CONCATENATE("(PF ",V240,")")</f>
        <v>(PF 5)</v>
      </c>
      <c r="R241" s="373" t="str">
        <f>CONCATENATE("(PF ",W240,")")</f>
        <v>(PF 5)</v>
      </c>
      <c r="S241" s="373" t="str">
        <f>CONCATENATE("(PF ",X240,")")</f>
        <v>(PF 5)</v>
      </c>
      <c r="U241" s="374" t="s">
        <v>119</v>
      </c>
      <c r="V241" s="375" t="s">
        <v>119</v>
      </c>
      <c r="W241" s="375" t="s">
        <v>119</v>
      </c>
      <c r="X241" s="376" t="s">
        <v>119</v>
      </c>
    </row>
    <row r="242" spans="1:24" ht="15" thickBot="1" x14ac:dyDescent="0.35">
      <c r="A242" s="372"/>
      <c r="B242" s="360" t="s">
        <v>142</v>
      </c>
      <c r="C242" s="361" t="s">
        <v>25</v>
      </c>
      <c r="D242" s="361" t="s">
        <v>16</v>
      </c>
      <c r="E242" s="362" t="s">
        <v>24</v>
      </c>
      <c r="F242" s="589"/>
      <c r="G242" s="589"/>
      <c r="H242" s="589"/>
      <c r="I242" s="589"/>
      <c r="J242" s="589"/>
      <c r="K242" s="584" t="s">
        <v>88</v>
      </c>
      <c r="L242" s="586">
        <f>IFERROR(IFERROR(VLOOKUP($D242,$Z$8:$AD$9,2,FALSE),0)/IF($D242="Inhalation",IF($K242="Central Tendency",SUMIFS('Inhalation Exposure'!$N$4:$N$61,'Inhalation Exposure'!$B$4:$B$61,$B242,'Inhalation Exposure'!$D$4:$D$61,$C242,'Inhalation Exposure'!$E$4:$E$61,$E242),SUMIFS('Inhalation Exposure'!$M$4:$M$61,'Inhalation Exposure'!$B$4:$B$61,$B242,'Inhalation Exposure'!$D$4:$D$61,$C242,'Inhalation Exposure'!$E$4:$E$61,$E242)),IF($K242="Central Tendency",SUMIFS('Dermal Crosswalk'!$P$5:$P$32,'Dermal Crosswalk'!$A$5:$A$32,'Bridge Table'!$B242,'Dermal Crosswalk'!$C$5:$C$32,'Bridge Table'!$E242),SUMIFS('Dermal Crosswalk'!$K$5:$K$32,'Dermal Crosswalk'!$A$5:$A$32,'Bridge Table'!$B242,'Dermal Crosswalk'!$C$5:$C$32,'Bridge Table'!$E242))),"--")</f>
        <v>1.1788653187652289</v>
      </c>
      <c r="M242" s="586">
        <f>IFERROR(IFERROR(VLOOKUP($D242,$Z$8:$AD$9,3,FALSE),0)/IF($D242="Inhalation",IF($K242="Central Tendency",SUMIFS('Inhalation Exposure'!$AB$4:$AB$61,'Inhalation Exposure'!$B$4:$B$61,$B242,'Inhalation Exposure'!$D$4:$D$61,$C242,'Inhalation Exposure'!$E$4:$E$61,$E242),SUMIFS('Inhalation Exposure'!$AA$4:$AA$61,'Inhalation Exposure'!$B$4:$B$61,$B242,'Inhalation Exposure'!$D$4:$D$61,$C242,'Inhalation Exposure'!$E$4:$E$61,$E242)),IF($K242="Central Tendency",SUMIFS('Dermal Crosswalk'!$S$5:$S$32,'Dermal Crosswalk'!$A$5:$A$32,'Bridge Table'!$B242,'Dermal Crosswalk'!$C$5:$C$32,'Bridge Table'!$E242),SUMIFS('Dermal Crosswalk'!$N$5:$N$32,'Dermal Crosswalk'!$A$5:$A$32,'Bridge Table'!$B242,'Dermal Crosswalk'!$C$5:$C$32,'Bridge Table'!$E242))),"--")</f>
        <v>10.20603272799918</v>
      </c>
      <c r="N242" s="586">
        <f>IFERROR(IFERROR(VLOOKUP($D242,$Z$8:$AD$9,4,FALSE),0)/IF($D242="Inhalation",IF($K242="Central Tendency",SUMIFS('Inhalation Exposure'!$R$4:$R$61,'Inhalation Exposure'!$B$4:$B$61,$B242,'Inhalation Exposure'!$D$4:$D$61,$C242,'Inhalation Exposure'!$E$4:$E$61,$E242),SUMIFS('Inhalation Exposure'!$Q$4:$Q$61,'Inhalation Exposure'!$B$4:$B$61,$B242,'Inhalation Exposure'!$D$4:$D$61,$C242,'Inhalation Exposure'!$E$4:$E$61,$E242)),IF($K242="Central Tendency",SUMIFS('Dermal Crosswalk'!$Q$5:$Q$32,'Dermal Crosswalk'!$A$5:$A$32,'Bridge Table'!$B242,'Dermal Crosswalk'!$C$5:$C$32,'Bridge Table'!$E242),SUMIFS('Dermal Crosswalk'!$L$5:$L$32,'Dermal Crosswalk'!$A$5:$A$32,'Bridge Table'!$B242,'Dermal Crosswalk'!$C$5:$C$32,'Bridge Table'!$E242))),"--")</f>
        <v>124.17339819065668</v>
      </c>
      <c r="O242" s="586">
        <f>IFERROR(IFERROR(VLOOKUP($D242,$Z$8:$AD$9,5,FALSE),0)*IF($D242="Inhalation",IF($K242="Central Tendency",SUMIFS('Inhalation Exposure'!$V$4:$V$61,'Inhalation Exposure'!$B$4:$B$61,$B242,'Inhalation Exposure'!$D$4:$D$61,$C242,'Inhalation Exposure'!$E$4:$E$61,$E242),SUMIFS('Inhalation Exposure'!$U$4:$U$61,'Inhalation Exposure'!$B$4:$B$61,$B242,'Inhalation Exposure'!$D$4:$D$61,$C242,'Inhalation Exposure'!$E$4:$E$61,$E242)),IF($K242="Central Tendency",SUMIFS('Dermal Crosswalk'!$R$5:$R$32,'Dermal Crosswalk'!$A$5:$A$32,'Bridge Table'!$B242,'Dermal Crosswalk'!$C$5:$C$32,'Bridge Table'!$E242),SUMIFS('Dermal Crosswalk'!$M$5:$M$32,'Dermal Crosswalk'!$A$5:$A$32,'Bridge Table'!$B242,'Dermal Crosswalk'!$C$5:$C$32,'Bridge Table'!$E242))),"--")</f>
        <v>2.7622663549350192E-4</v>
      </c>
      <c r="P242" s="382">
        <f>L242*U242</f>
        <v>5.8943265938261451</v>
      </c>
      <c r="Q242" s="382">
        <f t="shared" ref="Q242" si="73">M242*V242</f>
        <v>51.030163639995898</v>
      </c>
      <c r="R242" s="382">
        <f t="shared" ref="R242" si="74">N242*W242</f>
        <v>620.86699095328345</v>
      </c>
      <c r="S242" s="383">
        <f>O242/X242</f>
        <v>5.5245327098700384E-5</v>
      </c>
      <c r="U242" s="378">
        <v>5</v>
      </c>
      <c r="V242" s="379">
        <v>5</v>
      </c>
      <c r="W242" s="379">
        <v>5</v>
      </c>
      <c r="X242" s="380">
        <v>5</v>
      </c>
    </row>
    <row r="243" spans="1:24" ht="15" thickBot="1" x14ac:dyDescent="0.35">
      <c r="A243" s="372"/>
      <c r="B243" s="360" t="s">
        <v>142</v>
      </c>
      <c r="C243" s="361" t="s">
        <v>25</v>
      </c>
      <c r="D243" s="361" t="s">
        <v>16</v>
      </c>
      <c r="E243" s="362" t="s">
        <v>24</v>
      </c>
      <c r="F243" s="589"/>
      <c r="G243" s="589"/>
      <c r="H243" s="589"/>
      <c r="I243" s="590"/>
      <c r="J243" s="590"/>
      <c r="K243" s="588"/>
      <c r="L243" s="587"/>
      <c r="M243" s="587"/>
      <c r="N243" s="587"/>
      <c r="O243" s="587"/>
      <c r="P243" s="373" t="str">
        <f>CONCATENATE("(PF ",U242,")")</f>
        <v>(PF 5)</v>
      </c>
      <c r="Q243" s="373" t="str">
        <f>CONCATENATE("(PF ",V242,")")</f>
        <v>(PF 5)</v>
      </c>
      <c r="R243" s="373" t="str">
        <f>CONCATENATE("(PF ",W242,")")</f>
        <v>(PF 5)</v>
      </c>
      <c r="S243" s="373" t="str">
        <f>CONCATENATE("(PF ",X242,")")</f>
        <v>(PF 5)</v>
      </c>
      <c r="U243" s="374" t="s">
        <v>119</v>
      </c>
      <c r="V243" s="375" t="s">
        <v>119</v>
      </c>
      <c r="W243" s="375" t="s">
        <v>119</v>
      </c>
      <c r="X243" s="376" t="s">
        <v>119</v>
      </c>
    </row>
    <row r="244" spans="1:24" ht="15" customHeight="1" thickTop="1" thickBot="1" x14ac:dyDescent="0.35">
      <c r="A244" s="372"/>
      <c r="B244" s="360" t="s">
        <v>142</v>
      </c>
      <c r="C244" s="361" t="s">
        <v>25</v>
      </c>
      <c r="D244" s="361" t="s">
        <v>16</v>
      </c>
      <c r="E244" s="362" t="s">
        <v>117</v>
      </c>
      <c r="F244" s="589"/>
      <c r="G244" s="589"/>
      <c r="H244" s="589"/>
      <c r="I244" s="609" t="s">
        <v>25</v>
      </c>
      <c r="J244" s="609" t="s">
        <v>16</v>
      </c>
      <c r="K244" s="607" t="s">
        <v>54</v>
      </c>
      <c r="L244" s="586">
        <f>IFERROR(IFERROR(VLOOKUP($D244,$Z$8:$AD$9,2,FALSE),0)/IF($D244="Inhalation",IF($K244="Central Tendency",SUMIFS('Inhalation Exposure'!$N$4:$N$61,'Inhalation Exposure'!$B$4:$B$61,$B244,'Inhalation Exposure'!$D$4:$D$61,$C244,'Inhalation Exposure'!$E$4:$E$61,$E244),SUMIFS('Inhalation Exposure'!$M$4:$M$61,'Inhalation Exposure'!$B$4:$B$61,$B244,'Inhalation Exposure'!$D$4:$D$61,$C244,'Inhalation Exposure'!$E$4:$E$61,$E244)),IF($K244="Central Tendency",SUMIFS('Dermal Crosswalk'!$P$5:$P$32,'Dermal Crosswalk'!$A$5:$A$32,'Bridge Table'!$B244,'Dermal Crosswalk'!$C$5:$C$32,'Bridge Table'!$E244),SUMIFS('Dermal Crosswalk'!$K$5:$K$32,'Dermal Crosswalk'!$A$5:$A$32,'Bridge Table'!$B244,'Dermal Crosswalk'!$C$5:$C$32,'Bridge Table'!$E244))),"--")</f>
        <v>6.3906909385693993</v>
      </c>
      <c r="M244" s="586">
        <f>IFERROR(IFERROR(VLOOKUP($D244,$Z$8:$AD$9,3,FALSE),0)/IF($D244="Inhalation",IF($K244="Central Tendency",SUMIFS('Inhalation Exposure'!$AB$4:$AB$61,'Inhalation Exposure'!$B$4:$B$61,$B244,'Inhalation Exposure'!$D$4:$D$61,$C244,'Inhalation Exposure'!$E$4:$E$61,$E244),SUMIFS('Inhalation Exposure'!$AA$4:$AA$61,'Inhalation Exposure'!$B$4:$B$61,$B244,'Inhalation Exposure'!$D$4:$D$61,$C244,'Inhalation Exposure'!$E$4:$E$61,$E244)),IF($K244="Central Tendency",SUMIFS('Dermal Crosswalk'!$S$5:$S$32,'Dermal Crosswalk'!$A$5:$A$32,'Bridge Table'!$B244,'Dermal Crosswalk'!$C$5:$C$32,'Bridge Table'!$E244),SUMIFS('Dermal Crosswalk'!$N$5:$N$32,'Dermal Crosswalk'!$A$5:$A$32,'Bridge Table'!$B244,'Dermal Crosswalk'!$C$5:$C$32,'Bridge Table'!$E244))),"--")</f>
        <v>55.327440578100813</v>
      </c>
      <c r="N244" s="586">
        <f>IFERROR(IFERROR(VLOOKUP($D244,$Z$8:$AD$9,4,FALSE),0)/IF($D244="Inhalation",IF($K244="Central Tendency",SUMIFS('Inhalation Exposure'!$R$4:$R$61,'Inhalation Exposure'!$B$4:$B$61,$B244,'Inhalation Exposure'!$D$4:$D$61,$C244,'Inhalation Exposure'!$E$4:$E$61,$E244),SUMIFS('Inhalation Exposure'!$Q$4:$Q$61,'Inhalation Exposure'!$B$4:$B$61,$B244,'Inhalation Exposure'!$D$4:$D$61,$C244,'Inhalation Exposure'!$E$4:$E$61,$E244)),IF($K244="Central Tendency",SUMIFS('Dermal Crosswalk'!$Q$5:$Q$32,'Dermal Crosswalk'!$A$5:$A$32,'Bridge Table'!$B244,'Dermal Crosswalk'!$C$5:$C$32,'Bridge Table'!$E244),SUMIFS('Dermal Crosswalk'!$L$5:$L$32,'Dermal Crosswalk'!$A$5:$A$32,'Bridge Table'!$B244,'Dermal Crosswalk'!$C$5:$C$32,'Bridge Table'!$E244))),"--")</f>
        <v>673.15052703355991</v>
      </c>
      <c r="O244" s="586">
        <f>IFERROR(IFERROR(VLOOKUP($D244,$Z$8:$AD$9,5,FALSE),0)*IF($D244="Inhalation",IF($K244="Central Tendency",SUMIFS('Inhalation Exposure'!$V$4:$V$61,'Inhalation Exposure'!$B$4:$B$61,$B244,'Inhalation Exposure'!$D$4:$D$61,$C244,'Inhalation Exposure'!$E$4:$E$61,$E244),SUMIFS('Inhalation Exposure'!$U$4:$U$61,'Inhalation Exposure'!$B$4:$B$61,$B244,'Inhalation Exposure'!$D$4:$D$61,$C244,'Inhalation Exposure'!$E$4:$E$61,$E244)),IF($K244="Central Tendency",SUMIFS('Dermal Crosswalk'!$R$5:$R$32,'Dermal Crosswalk'!$A$5:$A$32,'Bridge Table'!$B244,'Dermal Crosswalk'!$C$5:$C$32,'Bridge Table'!$E244),SUMIFS('Dermal Crosswalk'!$M$5:$M$32,'Dermal Crosswalk'!$A$5:$A$32,'Bridge Table'!$B244,'Dermal Crosswalk'!$C$5:$C$32,'Bridge Table'!$E244))),"--")</f>
        <v>3.9489681627590452E-5</v>
      </c>
      <c r="P244" s="382">
        <f>L244*U244</f>
        <v>31.953454692846996</v>
      </c>
      <c r="Q244" s="382">
        <f t="shared" ref="Q244" si="75">M244*V244</f>
        <v>276.63720289050406</v>
      </c>
      <c r="R244" s="382">
        <f t="shared" ref="R244" si="76">N244*W244</f>
        <v>3365.7526351677998</v>
      </c>
      <c r="S244" s="383">
        <f>O244/X244</f>
        <v>7.89793632551809E-6</v>
      </c>
      <c r="U244" s="378">
        <v>5</v>
      </c>
      <c r="V244" s="379">
        <v>5</v>
      </c>
      <c r="W244" s="379">
        <v>5</v>
      </c>
      <c r="X244" s="380">
        <v>5</v>
      </c>
    </row>
    <row r="245" spans="1:24" ht="15" thickBot="1" x14ac:dyDescent="0.35">
      <c r="A245" s="372"/>
      <c r="B245" s="360" t="s">
        <v>142</v>
      </c>
      <c r="C245" s="361" t="s">
        <v>25</v>
      </c>
      <c r="D245" s="361" t="s">
        <v>16</v>
      </c>
      <c r="E245" s="362" t="s">
        <v>117</v>
      </c>
      <c r="F245" s="589"/>
      <c r="G245" s="589"/>
      <c r="H245" s="589"/>
      <c r="I245" s="589"/>
      <c r="J245" s="589"/>
      <c r="K245" s="608"/>
      <c r="L245" s="587"/>
      <c r="M245" s="587"/>
      <c r="N245" s="587"/>
      <c r="O245" s="587"/>
      <c r="P245" s="373" t="str">
        <f>CONCATENATE("(PF ",U244,")")</f>
        <v>(PF 5)</v>
      </c>
      <c r="Q245" s="373" t="str">
        <f>CONCATENATE("(PF ",V244,")")</f>
        <v>(PF 5)</v>
      </c>
      <c r="R245" s="373" t="str">
        <f>CONCATENATE("(PF ",W244,")")</f>
        <v>(PF 5)</v>
      </c>
      <c r="S245" s="373" t="str">
        <f>CONCATENATE("(PF ",X244,")")</f>
        <v>(PF 5)</v>
      </c>
      <c r="U245" s="374" t="s">
        <v>119</v>
      </c>
      <c r="V245" s="375" t="s">
        <v>119</v>
      </c>
      <c r="W245" s="375" t="s">
        <v>119</v>
      </c>
      <c r="X245" s="376" t="s">
        <v>119</v>
      </c>
    </row>
    <row r="246" spans="1:24" ht="15" thickBot="1" x14ac:dyDescent="0.35">
      <c r="A246" s="372"/>
      <c r="B246" s="360" t="s">
        <v>142</v>
      </c>
      <c r="C246" s="361" t="s">
        <v>25</v>
      </c>
      <c r="D246" s="361" t="s">
        <v>16</v>
      </c>
      <c r="E246" s="362" t="s">
        <v>117</v>
      </c>
      <c r="F246" s="589"/>
      <c r="G246" s="589"/>
      <c r="H246" s="589"/>
      <c r="I246" s="589"/>
      <c r="J246" s="589"/>
      <c r="K246" s="584" t="s">
        <v>88</v>
      </c>
      <c r="L246" s="586">
        <f>IFERROR(IFERROR(VLOOKUP($D246,$Z$8:$AD$9,2,FALSE),0)/IF($D246="Inhalation",IF($K246="Central Tendency",SUMIFS('Inhalation Exposure'!$N$4:$N$61,'Inhalation Exposure'!$B$4:$B$61,$B246,'Inhalation Exposure'!$D$4:$D$61,$C246,'Inhalation Exposure'!$E$4:$E$61,$E246),SUMIFS('Inhalation Exposure'!$M$4:$M$61,'Inhalation Exposure'!$B$4:$B$61,$B246,'Inhalation Exposure'!$D$4:$D$61,$C246,'Inhalation Exposure'!$E$4:$E$61,$E246)),IF($K246="Central Tendency",SUMIFS('Dermal Crosswalk'!$P$5:$P$32,'Dermal Crosswalk'!$A$5:$A$32,'Bridge Table'!$B246,'Dermal Crosswalk'!$C$5:$C$32,'Bridge Table'!$E246),SUMIFS('Dermal Crosswalk'!$K$5:$K$32,'Dermal Crosswalk'!$A$5:$A$32,'Bridge Table'!$B246,'Dermal Crosswalk'!$C$5:$C$32,'Bridge Table'!$E246))),"--")</f>
        <v>1.1788653187652289</v>
      </c>
      <c r="M246" s="586">
        <f>IFERROR(IFERROR(VLOOKUP($D246,$Z$8:$AD$9,3,FALSE),0)/IF($D246="Inhalation",IF($K246="Central Tendency",SUMIFS('Inhalation Exposure'!$AB$4:$AB$61,'Inhalation Exposure'!$B$4:$B$61,$B246,'Inhalation Exposure'!$D$4:$D$61,$C246,'Inhalation Exposure'!$E$4:$E$61,$E246),SUMIFS('Inhalation Exposure'!$AA$4:$AA$61,'Inhalation Exposure'!$B$4:$B$61,$B246,'Inhalation Exposure'!$D$4:$D$61,$C246,'Inhalation Exposure'!$E$4:$E$61,$E246)),IF($K246="Central Tendency",SUMIFS('Dermal Crosswalk'!$S$5:$S$32,'Dermal Crosswalk'!$A$5:$A$32,'Bridge Table'!$B246,'Dermal Crosswalk'!$C$5:$C$32,'Bridge Table'!$E246),SUMIFS('Dermal Crosswalk'!$N$5:$N$32,'Dermal Crosswalk'!$A$5:$A$32,'Bridge Table'!$B246,'Dermal Crosswalk'!$C$5:$C$32,'Bridge Table'!$E246))),"--")</f>
        <v>10.20603272799918</v>
      </c>
      <c r="N246" s="586">
        <f>IFERROR(IFERROR(VLOOKUP($D246,$Z$8:$AD$9,4,FALSE),0)/IF($D246="Inhalation",IF($K246="Central Tendency",SUMIFS('Inhalation Exposure'!$R$4:$R$61,'Inhalation Exposure'!$B$4:$B$61,$B246,'Inhalation Exposure'!$D$4:$D$61,$C246,'Inhalation Exposure'!$E$4:$E$61,$E246),SUMIFS('Inhalation Exposure'!$Q$4:$Q$61,'Inhalation Exposure'!$B$4:$B$61,$B246,'Inhalation Exposure'!$D$4:$D$61,$C246,'Inhalation Exposure'!$E$4:$E$61,$E246)),IF($K246="Central Tendency",SUMIFS('Dermal Crosswalk'!$Q$5:$Q$32,'Dermal Crosswalk'!$A$5:$A$32,'Bridge Table'!$B246,'Dermal Crosswalk'!$C$5:$C$32,'Bridge Table'!$E246),SUMIFS('Dermal Crosswalk'!$L$5:$L$32,'Dermal Crosswalk'!$A$5:$A$32,'Bridge Table'!$B246,'Dermal Crosswalk'!$C$5:$C$32,'Bridge Table'!$E246))),"--")</f>
        <v>124.17339819065668</v>
      </c>
      <c r="O246" s="586">
        <f>IFERROR(IFERROR(VLOOKUP($D246,$Z$8:$AD$9,5,FALSE),0)*IF($D246="Inhalation",IF($K246="Central Tendency",SUMIFS('Inhalation Exposure'!$V$4:$V$61,'Inhalation Exposure'!$B$4:$B$61,$B246,'Inhalation Exposure'!$D$4:$D$61,$C246,'Inhalation Exposure'!$E$4:$E$61,$E246),SUMIFS('Inhalation Exposure'!$U$4:$U$61,'Inhalation Exposure'!$B$4:$B$61,$B246,'Inhalation Exposure'!$D$4:$D$61,$C246,'Inhalation Exposure'!$E$4:$E$61,$E246)),IF($K246="Central Tendency",SUMIFS('Dermal Crosswalk'!$R$5:$R$32,'Dermal Crosswalk'!$A$5:$A$32,'Bridge Table'!$B246,'Dermal Crosswalk'!$C$5:$C$32,'Bridge Table'!$E246),SUMIFS('Dermal Crosswalk'!$M$5:$M$32,'Dermal Crosswalk'!$A$5:$A$32,'Bridge Table'!$B246,'Dermal Crosswalk'!$C$5:$C$32,'Bridge Table'!$E246))),"--")</f>
        <v>2.7622663549350192E-4</v>
      </c>
      <c r="P246" s="363">
        <f>L246*U246</f>
        <v>5.8943265938261451</v>
      </c>
      <c r="Q246" s="363">
        <f t="shared" ref="Q246" si="77">M246*V246</f>
        <v>51.030163639995898</v>
      </c>
      <c r="R246" s="363">
        <f t="shared" ref="R246" si="78">N246*W246</f>
        <v>620.86699095328345</v>
      </c>
      <c r="S246" s="364">
        <f>O246/X246</f>
        <v>5.5245327098700384E-5</v>
      </c>
      <c r="U246" s="378">
        <v>5</v>
      </c>
      <c r="V246" s="379">
        <v>5</v>
      </c>
      <c r="W246" s="379">
        <v>5</v>
      </c>
      <c r="X246" s="380">
        <v>5</v>
      </c>
    </row>
    <row r="247" spans="1:24" ht="15" thickBot="1" x14ac:dyDescent="0.35">
      <c r="A247" s="372"/>
      <c r="B247" s="360" t="s">
        <v>142</v>
      </c>
      <c r="C247" s="361" t="s">
        <v>25</v>
      </c>
      <c r="D247" s="361" t="s">
        <v>16</v>
      </c>
      <c r="E247" s="362" t="s">
        <v>117</v>
      </c>
      <c r="F247" s="589"/>
      <c r="G247" s="589"/>
      <c r="H247" s="587"/>
      <c r="I247" s="587"/>
      <c r="J247" s="587"/>
      <c r="K247" s="585"/>
      <c r="L247" s="587"/>
      <c r="M247" s="587"/>
      <c r="N247" s="587"/>
      <c r="O247" s="587"/>
      <c r="P247" s="373" t="str">
        <f>CONCATENATE("(PF ",U246,")")</f>
        <v>(PF 5)</v>
      </c>
      <c r="Q247" s="373" t="str">
        <f>CONCATENATE("(PF ",V246,")")</f>
        <v>(PF 5)</v>
      </c>
      <c r="R247" s="373" t="str">
        <f>CONCATENATE("(PF ",W246,")")</f>
        <v>(PF 5)</v>
      </c>
      <c r="S247" s="373" t="str">
        <f>CONCATENATE("(PF ",X246,")")</f>
        <v>(PF 5)</v>
      </c>
      <c r="U247" s="384" t="s">
        <v>119</v>
      </c>
      <c r="V247" s="385" t="s">
        <v>119</v>
      </c>
      <c r="W247" s="385" t="s">
        <v>119</v>
      </c>
      <c r="X247" s="386" t="s">
        <v>119</v>
      </c>
    </row>
    <row r="248" spans="1:24" ht="15.6" customHeight="1" thickBot="1" x14ac:dyDescent="0.35">
      <c r="A248" s="372"/>
      <c r="B248" s="360" t="s">
        <v>144</v>
      </c>
      <c r="C248" s="361" t="s">
        <v>25</v>
      </c>
      <c r="D248" s="361" t="s">
        <v>111</v>
      </c>
      <c r="E248" s="362" t="s">
        <v>24</v>
      </c>
      <c r="F248" s="589"/>
      <c r="G248" s="589"/>
      <c r="H248" s="586" t="s">
        <v>145</v>
      </c>
      <c r="I248" s="586" t="s">
        <v>25</v>
      </c>
      <c r="J248" s="586" t="s">
        <v>115</v>
      </c>
      <c r="K248" s="584" t="s">
        <v>54</v>
      </c>
      <c r="L248" s="586">
        <f>IFERROR(IFERROR(VLOOKUP($D248,$Z$8:$AD$9,2,FALSE),0)/IF($D248="Inhalation",IF($K248="Central Tendency",SUMIFS('Inhalation Exposure'!$N$4:$N$61,'Inhalation Exposure'!$B$4:$B$61,$B248,'Inhalation Exposure'!$D$4:$D$61,$C248,'Inhalation Exposure'!$E$4:$E$61,$E248),SUMIFS('Inhalation Exposure'!$M$4:$M$61,'Inhalation Exposure'!$B$4:$B$61,$B248,'Inhalation Exposure'!$D$4:$D$61,$C248,'Inhalation Exposure'!$E$4:$E$61,$E248)),IF($K248="Central Tendency",SUMIFS('Dermal Crosswalk'!$P$5:$P$32,'Dermal Crosswalk'!$A$5:$A$32,'Bridge Table'!$B248,'Dermal Crosswalk'!$C$5:$C$32,'Bridge Table'!$E248),SUMIFS('Dermal Crosswalk'!$K$5:$K$32,'Dermal Crosswalk'!$A$5:$A$32,'Bridge Table'!$B248,'Dermal Crosswalk'!$C$5:$C$32,'Bridge Table'!$E248))),"--")</f>
        <v>89.591715976331344</v>
      </c>
      <c r="M248" s="586">
        <f>IFERROR(IFERROR(VLOOKUP($D248,$Z$8:$AD$9,3,FALSE),0)/IF($D248="Inhalation",IF($K248="Central Tendency",SUMIFS('Inhalation Exposure'!$AB$4:$AB$61,'Inhalation Exposure'!$B$4:$B$61,$B248,'Inhalation Exposure'!$D$4:$D$61,$C248,'Inhalation Exposure'!$E$4:$E$61,$E248),SUMIFS('Inhalation Exposure'!$AA$4:$AA$61,'Inhalation Exposure'!$B$4:$B$61,$B248,'Inhalation Exposure'!$D$4:$D$61,$C248,'Inhalation Exposure'!$E$4:$E$61,$E248)),IF($K248="Central Tendency",SUMIFS('Dermal Crosswalk'!$S$5:$S$32,'Dermal Crosswalk'!$A$5:$A$32,'Bridge Table'!$B248,'Dermal Crosswalk'!$C$5:$C$32,'Bridge Table'!$E248),SUMIFS('Dermal Crosswalk'!$N$5:$N$32,'Dermal Crosswalk'!$A$5:$A$32,'Bridge Table'!$B248,'Dermal Crosswalk'!$C$5:$C$32,'Bridge Table'!$E248))),"--")</f>
        <v>388.8106508875739</v>
      </c>
      <c r="N248" s="586">
        <f>IFERROR(IFERROR(VLOOKUP($D248,$Z$8:$AD$9,4,FALSE),0)/IF($D248="Inhalation",IF($K248="Central Tendency",SUMIFS('Inhalation Exposure'!$R$4:$R$61,'Inhalation Exposure'!$B$4:$B$61,$B248,'Inhalation Exposure'!$D$4:$D$61,$C248,'Inhalation Exposure'!$E$4:$E$61,$E248),SUMIFS('Inhalation Exposure'!$Q$4:$Q$61,'Inhalation Exposure'!$B$4:$B$61,$B248,'Inhalation Exposure'!$D$4:$D$61,$C248,'Inhalation Exposure'!$E$4:$E$61,$E248)),IF($K248="Central Tendency",SUMIFS('Dermal Crosswalk'!$Q$5:$Q$32,'Dermal Crosswalk'!$A$5:$A$32,'Bridge Table'!$B248,'Dermal Crosswalk'!$C$5:$C$32,'Bridge Table'!$E248),SUMIFS('Dermal Crosswalk'!$L$5:$L$32,'Dermal Crosswalk'!$A$5:$A$32,'Bridge Table'!$B248,'Dermal Crosswalk'!$C$5:$C$32,'Bridge Table'!$E248))),"--")</f>
        <v>4730.5295857988158</v>
      </c>
      <c r="O248" s="586">
        <f>IFERROR(IFERROR(VLOOKUP($D248,$Z$8:$AD$9,5,FALSE),0)*IF($D248="Inhalation",IF($K248="Central Tendency",SUMIFS('Inhalation Exposure'!$V$4:$V$61,'Inhalation Exposure'!$B$4:$B$61,$B248,'Inhalation Exposure'!$D$4:$D$61,$C248,'Inhalation Exposure'!$E$4:$E$61,$E248),SUMIFS('Inhalation Exposure'!$U$4:$U$61,'Inhalation Exposure'!$B$4:$B$61,$B248,'Inhalation Exposure'!$D$4:$D$61,$C248,'Inhalation Exposure'!$E$4:$E$61,$E248)),IF($K248="Central Tendency",SUMIFS('Dermal Crosswalk'!$R$5:$R$32,'Dermal Crosswalk'!$A$5:$A$32,'Bridge Table'!$B248,'Dermal Crosswalk'!$C$5:$C$32,'Bridge Table'!$E248),SUMIFS('Dermal Crosswalk'!$M$5:$M$32,'Dermal Crosswalk'!$A$5:$A$32,'Bridge Table'!$B248,'Dermal Crosswalk'!$C$5:$C$32,'Bridge Table'!$E248))),"--")</f>
        <v>5.6457304382940395E-6</v>
      </c>
      <c r="P248" s="363">
        <f>IFERROR(L248*U248,"Not Assessed")</f>
        <v>895.91715976331341</v>
      </c>
      <c r="Q248" s="363">
        <f>IFERROR(M248*V248,"Not Assessed")</f>
        <v>3888.1065088757391</v>
      </c>
      <c r="R248" s="363">
        <f>IFERROR(N248*W248,"Not Assessed")</f>
        <v>47305.29585798816</v>
      </c>
      <c r="S248" s="364">
        <f>IFERROR(O248/X248, "Not Assessed")</f>
        <v>5.6457304382940397E-7</v>
      </c>
      <c r="U248" s="365">
        <v>10</v>
      </c>
      <c r="V248" s="366">
        <v>10</v>
      </c>
      <c r="W248" s="366">
        <v>10</v>
      </c>
      <c r="X248" s="367">
        <v>10</v>
      </c>
    </row>
    <row r="249" spans="1:24" ht="15" thickBot="1" x14ac:dyDescent="0.35">
      <c r="A249" s="372"/>
      <c r="B249" s="360" t="s">
        <v>144</v>
      </c>
      <c r="C249" s="361" t="s">
        <v>25</v>
      </c>
      <c r="D249" s="361" t="s">
        <v>111</v>
      </c>
      <c r="E249" s="362" t="s">
        <v>24</v>
      </c>
      <c r="F249" s="589"/>
      <c r="G249" s="589"/>
      <c r="H249" s="589"/>
      <c r="I249" s="589"/>
      <c r="J249" s="589"/>
      <c r="K249" s="585"/>
      <c r="L249" s="587"/>
      <c r="M249" s="587"/>
      <c r="N249" s="587"/>
      <c r="O249" s="587"/>
      <c r="P249" s="373" t="str">
        <f>CONCATENATE("(APF ",U248,")")</f>
        <v>(APF 10)</v>
      </c>
      <c r="Q249" s="373" t="str">
        <f>CONCATENATE("(APF ",V248,")")</f>
        <v>(APF 10)</v>
      </c>
      <c r="R249" s="373" t="str">
        <f>CONCATENATE("(APF ",W248,")")</f>
        <v>(APF 10)</v>
      </c>
      <c r="S249" s="373" t="str">
        <f>CONCATENATE("(APF ",X248,")")</f>
        <v>(APF 10)</v>
      </c>
      <c r="U249" s="374" t="s">
        <v>116</v>
      </c>
      <c r="V249" s="375" t="s">
        <v>116</v>
      </c>
      <c r="W249" s="375" t="s">
        <v>116</v>
      </c>
      <c r="X249" s="376" t="s">
        <v>116</v>
      </c>
    </row>
    <row r="250" spans="1:24" ht="15" thickBot="1" x14ac:dyDescent="0.35">
      <c r="A250" s="372"/>
      <c r="B250" s="360" t="s">
        <v>144</v>
      </c>
      <c r="C250" s="361" t="s">
        <v>25</v>
      </c>
      <c r="D250" s="361" t="s">
        <v>111</v>
      </c>
      <c r="E250" s="362" t="s">
        <v>24</v>
      </c>
      <c r="F250" s="589"/>
      <c r="G250" s="589"/>
      <c r="H250" s="589"/>
      <c r="I250" s="589"/>
      <c r="J250" s="589"/>
      <c r="K250" s="584" t="s">
        <v>88</v>
      </c>
      <c r="L250" s="586">
        <f>IFERROR(IFERROR(VLOOKUP($D250,$Z$8:$AD$9,2,FALSE),0)/IF($D250="Inhalation",IF($K250="Central Tendency",SUMIFS('Inhalation Exposure'!$N$4:$N$61,'Inhalation Exposure'!$B$4:$B$61,$B250,'Inhalation Exposure'!$D$4:$D$61,$C250,'Inhalation Exposure'!$E$4:$E$61,$E250),SUMIFS('Inhalation Exposure'!$M$4:$M$61,'Inhalation Exposure'!$B$4:$B$61,$B250,'Inhalation Exposure'!$D$4:$D$61,$C250,'Inhalation Exposure'!$E$4:$E$61,$E250)),IF($K250="Central Tendency",SUMIFS('Dermal Crosswalk'!$P$5:$P$32,'Dermal Crosswalk'!$A$5:$A$32,'Bridge Table'!$B250,'Dermal Crosswalk'!$C$5:$C$32,'Bridge Table'!$E250),SUMIFS('Dermal Crosswalk'!$K$5:$K$32,'Dermal Crosswalk'!$A$5:$A$32,'Bridge Table'!$B250,'Dermal Crosswalk'!$C$5:$C$32,'Bridge Table'!$E250))),"--")</f>
        <v>13.702262443438913</v>
      </c>
      <c r="M250" s="586">
        <f>IFERROR(IFERROR(VLOOKUP($D250,$Z$8:$AD$9,3,FALSE),0)/IF($D250="Inhalation",IF($K250="Central Tendency",SUMIFS('Inhalation Exposure'!$AB$4:$AB$61,'Inhalation Exposure'!$B$4:$B$61,$B250,'Inhalation Exposure'!$D$4:$D$61,$C250,'Inhalation Exposure'!$E$4:$E$61,$E250),SUMIFS('Inhalation Exposure'!$AA$4:$AA$61,'Inhalation Exposure'!$B$4:$B$61,$B250,'Inhalation Exposure'!$D$4:$D$61,$C250,'Inhalation Exposure'!$E$4:$E$61,$E250)),IF($K250="Central Tendency",SUMIFS('Dermal Crosswalk'!$S$5:$S$32,'Dermal Crosswalk'!$A$5:$A$32,'Bridge Table'!$B250,'Dermal Crosswalk'!$C$5:$C$32,'Bridge Table'!$E250),SUMIFS('Dermal Crosswalk'!$N$5:$N$32,'Dermal Crosswalk'!$A$5:$A$32,'Bridge Table'!$B250,'Dermal Crosswalk'!$C$5:$C$32,'Bridge Table'!$E250))),"--")</f>
        <v>59.465158371040715</v>
      </c>
      <c r="N250" s="586">
        <f>IFERROR(IFERROR(VLOOKUP($D250,$Z$8:$AD$9,4,FALSE),0)/IF($D250="Inhalation",IF($K250="Central Tendency",SUMIFS('Inhalation Exposure'!$R$4:$R$61,'Inhalation Exposure'!$B$4:$B$61,$B250,'Inhalation Exposure'!$D$4:$D$61,$C250,'Inhalation Exposure'!$E$4:$E$61,$E250),SUMIFS('Inhalation Exposure'!$Q$4:$Q$61,'Inhalation Exposure'!$B$4:$B$61,$B250,'Inhalation Exposure'!$D$4:$D$61,$C250,'Inhalation Exposure'!$E$4:$E$61,$E250)),IF($K250="Central Tendency",SUMIFS('Dermal Crosswalk'!$Q$5:$Q$32,'Dermal Crosswalk'!$A$5:$A$32,'Bridge Table'!$B250,'Dermal Crosswalk'!$C$5:$C$32,'Bridge Table'!$E250),SUMIFS('Dermal Crosswalk'!$L$5:$L$32,'Dermal Crosswalk'!$A$5:$A$32,'Bridge Table'!$B250,'Dermal Crosswalk'!$C$5:$C$32,'Bridge Table'!$E250))),"--")</f>
        <v>723.49276018099556</v>
      </c>
      <c r="O250" s="586">
        <f>IFERROR(IFERROR(VLOOKUP($D250,$Z$8:$AD$9,5,FALSE),0)*IF($D250="Inhalation",IF($K250="Central Tendency",SUMIFS('Inhalation Exposure'!$V$4:$V$61,'Inhalation Exposure'!$B$4:$B$61,$B250,'Inhalation Exposure'!$D$4:$D$61,$C250,'Inhalation Exposure'!$E$4:$E$61,$E250),SUMIFS('Inhalation Exposure'!$U$4:$U$61,'Inhalation Exposure'!$B$4:$B$61,$B250,'Inhalation Exposure'!$D$4:$D$61,$C250,'Inhalation Exposure'!$E$4:$E$61,$E250)),IF($K250="Central Tendency",SUMIFS('Dermal Crosswalk'!$R$5:$R$32,'Dermal Crosswalk'!$A$5:$A$32,'Bridge Table'!$B250,'Dermal Crosswalk'!$C$5:$C$32,'Bridge Table'!$E250),SUMIFS('Dermal Crosswalk'!$M$5:$M$32,'Dermal Crosswalk'!$A$5:$A$32,'Bridge Table'!$B250,'Dermal Crosswalk'!$C$5:$C$32,'Bridge Table'!$E250))),"--")</f>
        <v>4.7631472680396369E-5</v>
      </c>
      <c r="P250" s="363">
        <f>IFERROR(L250*U250,"Not Assessed")</f>
        <v>137.02262443438914</v>
      </c>
      <c r="Q250" s="363">
        <f>IFERROR(M250*V250,"Not Assessed")</f>
        <v>594.65158371040718</v>
      </c>
      <c r="R250" s="363">
        <f>IFERROR(N250*W250,"Not Assessed")</f>
        <v>7234.9276018099554</v>
      </c>
      <c r="S250" s="364">
        <f>IFERROR(O250/X250, "Not Assessed")</f>
        <v>4.763147268039637E-6</v>
      </c>
      <c r="U250" s="378">
        <v>10</v>
      </c>
      <c r="V250" s="379">
        <v>10</v>
      </c>
      <c r="W250" s="379">
        <v>10</v>
      </c>
      <c r="X250" s="380">
        <v>10</v>
      </c>
    </row>
    <row r="251" spans="1:24" ht="15" thickBot="1" x14ac:dyDescent="0.35">
      <c r="A251" s="372"/>
      <c r="B251" s="360" t="s">
        <v>144</v>
      </c>
      <c r="C251" s="361" t="s">
        <v>25</v>
      </c>
      <c r="D251" s="361" t="s">
        <v>111</v>
      </c>
      <c r="E251" s="362" t="s">
        <v>24</v>
      </c>
      <c r="F251" s="589"/>
      <c r="G251" s="589"/>
      <c r="H251" s="589"/>
      <c r="I251" s="590"/>
      <c r="J251" s="590"/>
      <c r="K251" s="588"/>
      <c r="L251" s="587"/>
      <c r="M251" s="587"/>
      <c r="N251" s="587"/>
      <c r="O251" s="587"/>
      <c r="P251" s="373" t="str">
        <f>CONCATENATE("(APF ",U250,")")</f>
        <v>(APF 10)</v>
      </c>
      <c r="Q251" s="373" t="str">
        <f>CONCATENATE("(APF ",V250,")")</f>
        <v>(APF 10)</v>
      </c>
      <c r="R251" s="373" t="str">
        <f>CONCATENATE("(APF ",W250,")")</f>
        <v>(APF 10)</v>
      </c>
      <c r="S251" s="373" t="str">
        <f>CONCATENATE("(APF ",X250,")")</f>
        <v>(APF 10)</v>
      </c>
      <c r="U251" s="374" t="s">
        <v>116</v>
      </c>
      <c r="V251" s="375" t="s">
        <v>116</v>
      </c>
      <c r="W251" s="375" t="s">
        <v>116</v>
      </c>
      <c r="X251" s="376" t="s">
        <v>116</v>
      </c>
    </row>
    <row r="252" spans="1:24" ht="15" customHeight="1" thickBot="1" x14ac:dyDescent="0.35">
      <c r="A252" s="372"/>
      <c r="B252" s="360" t="s">
        <v>144</v>
      </c>
      <c r="C252" s="361" t="s">
        <v>25</v>
      </c>
      <c r="D252" s="361" t="s">
        <v>111</v>
      </c>
      <c r="E252" s="362" t="s">
        <v>117</v>
      </c>
      <c r="F252" s="589"/>
      <c r="G252" s="589"/>
      <c r="H252" s="589"/>
      <c r="I252" s="589" t="s">
        <v>25</v>
      </c>
      <c r="J252" s="586" t="s">
        <v>115</v>
      </c>
      <c r="K252" s="584" t="s">
        <v>54</v>
      </c>
      <c r="L252" s="586">
        <f>IFERROR(IFERROR(VLOOKUP($D252,$Z$8:$AD$9,2,FALSE),0)/IF($D252="Inhalation",IF($K252="Central Tendency",SUMIFS('Inhalation Exposure'!$N$4:$N$61,'Inhalation Exposure'!$B$4:$B$61,$B252,'Inhalation Exposure'!$D$4:$D$61,$C252,'Inhalation Exposure'!$E$4:$E$61,$E252),SUMIFS('Inhalation Exposure'!$M$4:$M$61,'Inhalation Exposure'!$B$4:$B$61,$B252,'Inhalation Exposure'!$D$4:$D$61,$C252,'Inhalation Exposure'!$E$4:$E$61,$E252)),IF($K252="Central Tendency",SUMIFS('Dermal Crosswalk'!$P$5:$P$32,'Dermal Crosswalk'!$A$5:$A$32,'Bridge Table'!$B252,'Dermal Crosswalk'!$C$5:$C$32,'Bridge Table'!$E252),SUMIFS('Dermal Crosswalk'!$K$5:$K$32,'Dermal Crosswalk'!$A$5:$A$32,'Bridge Table'!$B252,'Dermal Crosswalk'!$C$5:$C$32,'Bridge Table'!$E252))),"--")</f>
        <v>89.591715976331344</v>
      </c>
      <c r="M252" s="586">
        <f>IFERROR(IFERROR(VLOOKUP($D252,$Z$8:$AD$9,3,FALSE),0)/IF($D252="Inhalation",IF($K252="Central Tendency",SUMIFS('Inhalation Exposure'!$AB$4:$AB$61,'Inhalation Exposure'!$B$4:$B$61,$B252,'Inhalation Exposure'!$D$4:$D$61,$C252,'Inhalation Exposure'!$E$4:$E$61,$E252),SUMIFS('Inhalation Exposure'!$AA$4:$AA$61,'Inhalation Exposure'!$B$4:$B$61,$B252,'Inhalation Exposure'!$D$4:$D$61,$C252,'Inhalation Exposure'!$E$4:$E$61,$E252)),IF($K252="Central Tendency",SUMIFS('Dermal Crosswalk'!$S$5:$S$32,'Dermal Crosswalk'!$A$5:$A$32,'Bridge Table'!$B252,'Dermal Crosswalk'!$C$5:$C$32,'Bridge Table'!$E252),SUMIFS('Dermal Crosswalk'!$N$5:$N$32,'Dermal Crosswalk'!$A$5:$A$32,'Bridge Table'!$B252,'Dermal Crosswalk'!$C$5:$C$32,'Bridge Table'!$E252))),"--")</f>
        <v>388.8106508875739</v>
      </c>
      <c r="N252" s="586">
        <f>IFERROR(IFERROR(VLOOKUP($D252,$Z$8:$AD$9,4,FALSE),0)/IF($D252="Inhalation",IF($K252="Central Tendency",SUMIFS('Inhalation Exposure'!$R$4:$R$61,'Inhalation Exposure'!$B$4:$B$61,$B252,'Inhalation Exposure'!$D$4:$D$61,$C252,'Inhalation Exposure'!$E$4:$E$61,$E252),SUMIFS('Inhalation Exposure'!$Q$4:$Q$61,'Inhalation Exposure'!$B$4:$B$61,$B252,'Inhalation Exposure'!$D$4:$D$61,$C252,'Inhalation Exposure'!$E$4:$E$61,$E252)),IF($K252="Central Tendency",SUMIFS('Dermal Crosswalk'!$Q$5:$Q$32,'Dermal Crosswalk'!$A$5:$A$32,'Bridge Table'!$B252,'Dermal Crosswalk'!$C$5:$C$32,'Bridge Table'!$E252),SUMIFS('Dermal Crosswalk'!$L$5:$L$32,'Dermal Crosswalk'!$A$5:$A$32,'Bridge Table'!$B252,'Dermal Crosswalk'!$C$5:$C$32,'Bridge Table'!$E252))),"--")</f>
        <v>4730.5295857988158</v>
      </c>
      <c r="O252" s="586">
        <f>IFERROR(IFERROR(VLOOKUP($D252,$Z$8:$AD$9,5,FALSE),0)*IF($D252="Inhalation",IF($K252="Central Tendency",SUMIFS('Inhalation Exposure'!$V$4:$V$61,'Inhalation Exposure'!$B$4:$B$61,$B252,'Inhalation Exposure'!$D$4:$D$61,$C252,'Inhalation Exposure'!$E$4:$E$61,$E252),SUMIFS('Inhalation Exposure'!$U$4:$U$61,'Inhalation Exposure'!$B$4:$B$61,$B252,'Inhalation Exposure'!$D$4:$D$61,$C252,'Inhalation Exposure'!$E$4:$E$61,$E252)),IF($K252="Central Tendency",SUMIFS('Dermal Crosswalk'!$R$5:$R$32,'Dermal Crosswalk'!$A$5:$A$32,'Bridge Table'!$B252,'Dermal Crosswalk'!$C$5:$C$32,'Bridge Table'!$E252),SUMIFS('Dermal Crosswalk'!$M$5:$M$32,'Dermal Crosswalk'!$A$5:$A$32,'Bridge Table'!$B252,'Dermal Crosswalk'!$C$5:$C$32,'Bridge Table'!$E252))),"--")</f>
        <v>5.6457304382940395E-6</v>
      </c>
      <c r="P252" s="363">
        <f>IFERROR(L252*U252,"Not Assessed")</f>
        <v>895.91715976331341</v>
      </c>
      <c r="Q252" s="363">
        <f>IFERROR(M252*V252,"Not Assessed")</f>
        <v>3888.1065088757391</v>
      </c>
      <c r="R252" s="363">
        <f>IFERROR(N252*W252,"Not Assessed")</f>
        <v>47305.29585798816</v>
      </c>
      <c r="S252" s="364">
        <f>IFERROR(O252/X252, "Not Assessed")</f>
        <v>5.6457304382940397E-7</v>
      </c>
      <c r="U252" s="378">
        <v>10</v>
      </c>
      <c r="V252" s="379">
        <v>10</v>
      </c>
      <c r="W252" s="379">
        <v>10</v>
      </c>
      <c r="X252" s="380">
        <v>10</v>
      </c>
    </row>
    <row r="253" spans="1:24" ht="15" thickBot="1" x14ac:dyDescent="0.35">
      <c r="A253" s="372"/>
      <c r="B253" s="360" t="s">
        <v>144</v>
      </c>
      <c r="C253" s="361" t="s">
        <v>25</v>
      </c>
      <c r="D253" s="361" t="s">
        <v>111</v>
      </c>
      <c r="E253" s="362" t="s">
        <v>117</v>
      </c>
      <c r="F253" s="589"/>
      <c r="G253" s="589"/>
      <c r="H253" s="589"/>
      <c r="I253" s="589"/>
      <c r="J253" s="589"/>
      <c r="K253" s="585"/>
      <c r="L253" s="587"/>
      <c r="M253" s="587"/>
      <c r="N253" s="587"/>
      <c r="O253" s="587"/>
      <c r="P253" s="373" t="str">
        <f>CONCATENATE("(APF ",U252,")")</f>
        <v>(APF 10)</v>
      </c>
      <c r="Q253" s="373" t="str">
        <f>CONCATENATE("(APF ",V252,")")</f>
        <v>(APF 10)</v>
      </c>
      <c r="R253" s="373" t="str">
        <f>CONCATENATE("(APF ",W252,")")</f>
        <v>(APF 10)</v>
      </c>
      <c r="S253" s="373" t="str">
        <f>CONCATENATE("(APF ",X252,")")</f>
        <v>(APF 10)</v>
      </c>
      <c r="U253" s="374" t="s">
        <v>116</v>
      </c>
      <c r="V253" s="375" t="s">
        <v>116</v>
      </c>
      <c r="W253" s="375" t="s">
        <v>116</v>
      </c>
      <c r="X253" s="376" t="s">
        <v>116</v>
      </c>
    </row>
    <row r="254" spans="1:24" ht="15" customHeight="1" thickBot="1" x14ac:dyDescent="0.35">
      <c r="A254" s="372"/>
      <c r="B254" s="360" t="s">
        <v>144</v>
      </c>
      <c r="C254" s="361" t="s">
        <v>25</v>
      </c>
      <c r="D254" s="361" t="s">
        <v>111</v>
      </c>
      <c r="E254" s="362" t="s">
        <v>117</v>
      </c>
      <c r="F254" s="589"/>
      <c r="G254" s="589"/>
      <c r="H254" s="589"/>
      <c r="I254" s="589"/>
      <c r="J254" s="589"/>
      <c r="K254" s="584" t="s">
        <v>88</v>
      </c>
      <c r="L254" s="586">
        <f>IFERROR(IFERROR(VLOOKUP($D254,$Z$8:$AD$9,2,FALSE),0)/IF($D254="Inhalation",IF($K254="Central Tendency",SUMIFS('Inhalation Exposure'!$N$4:$N$61,'Inhalation Exposure'!$B$4:$B$61,$B254,'Inhalation Exposure'!$D$4:$D$61,$C254,'Inhalation Exposure'!$E$4:$E$61,$E254),SUMIFS('Inhalation Exposure'!$M$4:$M$61,'Inhalation Exposure'!$B$4:$B$61,$B254,'Inhalation Exposure'!$D$4:$D$61,$C254,'Inhalation Exposure'!$E$4:$E$61,$E254)),IF($K254="Central Tendency",SUMIFS('Dermal Crosswalk'!$P$5:$P$32,'Dermal Crosswalk'!$A$5:$A$32,'Bridge Table'!$B254,'Dermal Crosswalk'!$C$5:$C$32,'Bridge Table'!$E254),SUMIFS('Dermal Crosswalk'!$K$5:$K$32,'Dermal Crosswalk'!$A$5:$A$32,'Bridge Table'!$B254,'Dermal Crosswalk'!$C$5:$C$32,'Bridge Table'!$E254))),"--")</f>
        <v>13.702262443438913</v>
      </c>
      <c r="M254" s="586">
        <f>IFERROR(IFERROR(VLOOKUP($D254,$Z$8:$AD$9,3,FALSE),0)/IF($D254="Inhalation",IF($K254="Central Tendency",SUMIFS('Inhalation Exposure'!$AB$4:$AB$61,'Inhalation Exposure'!$B$4:$B$61,$B254,'Inhalation Exposure'!$D$4:$D$61,$C254,'Inhalation Exposure'!$E$4:$E$61,$E254),SUMIFS('Inhalation Exposure'!$AA$4:$AA$61,'Inhalation Exposure'!$B$4:$B$61,$B254,'Inhalation Exposure'!$D$4:$D$61,$C254,'Inhalation Exposure'!$E$4:$E$61,$E254)),IF($K254="Central Tendency",SUMIFS('Dermal Crosswalk'!$S$5:$S$32,'Dermal Crosswalk'!$A$5:$A$32,'Bridge Table'!$B254,'Dermal Crosswalk'!$C$5:$C$32,'Bridge Table'!$E254),SUMIFS('Dermal Crosswalk'!$N$5:$N$32,'Dermal Crosswalk'!$A$5:$A$32,'Bridge Table'!$B254,'Dermal Crosswalk'!$C$5:$C$32,'Bridge Table'!$E254))),"--")</f>
        <v>59.465158371040715</v>
      </c>
      <c r="N254" s="586">
        <f>IFERROR(IFERROR(VLOOKUP($D254,$Z$8:$AD$9,4,FALSE),0)/IF($D254="Inhalation",IF($K254="Central Tendency",SUMIFS('Inhalation Exposure'!$R$4:$R$61,'Inhalation Exposure'!$B$4:$B$61,$B254,'Inhalation Exposure'!$D$4:$D$61,$C254,'Inhalation Exposure'!$E$4:$E$61,$E254),SUMIFS('Inhalation Exposure'!$Q$4:$Q$61,'Inhalation Exposure'!$B$4:$B$61,$B254,'Inhalation Exposure'!$D$4:$D$61,$C254,'Inhalation Exposure'!$E$4:$E$61,$E254)),IF($K254="Central Tendency",SUMIFS('Dermal Crosswalk'!$Q$5:$Q$32,'Dermal Crosswalk'!$A$5:$A$32,'Bridge Table'!$B254,'Dermal Crosswalk'!$C$5:$C$32,'Bridge Table'!$E254),SUMIFS('Dermal Crosswalk'!$L$5:$L$32,'Dermal Crosswalk'!$A$5:$A$32,'Bridge Table'!$B254,'Dermal Crosswalk'!$C$5:$C$32,'Bridge Table'!$E254))),"--")</f>
        <v>723.49276018099556</v>
      </c>
      <c r="O254" s="586">
        <f>IFERROR(IFERROR(VLOOKUP($D254,$Z$8:$AD$9,5,FALSE),0)*IF($D254="Inhalation",IF($K254="Central Tendency",SUMIFS('Inhalation Exposure'!$V$4:$V$61,'Inhalation Exposure'!$B$4:$B$61,$B254,'Inhalation Exposure'!$D$4:$D$61,$C254,'Inhalation Exposure'!$E$4:$E$61,$E254),SUMIFS('Inhalation Exposure'!$U$4:$U$61,'Inhalation Exposure'!$B$4:$B$61,$B254,'Inhalation Exposure'!$D$4:$D$61,$C254,'Inhalation Exposure'!$E$4:$E$61,$E254)),IF($K254="Central Tendency",SUMIFS('Dermal Crosswalk'!$R$5:$R$32,'Dermal Crosswalk'!$A$5:$A$32,'Bridge Table'!$B254,'Dermal Crosswalk'!$C$5:$C$32,'Bridge Table'!$E254),SUMIFS('Dermal Crosswalk'!$M$5:$M$32,'Dermal Crosswalk'!$A$5:$A$32,'Bridge Table'!$B254,'Dermal Crosswalk'!$C$5:$C$32,'Bridge Table'!$E254))),"--")</f>
        <v>4.7631472680396369E-5</v>
      </c>
      <c r="P254" s="363">
        <f>IFERROR(L254*U254,"Not Assessed")</f>
        <v>137.02262443438914</v>
      </c>
      <c r="Q254" s="363">
        <f>IFERROR(M254*V254,"Not Assessed")</f>
        <v>594.65158371040718</v>
      </c>
      <c r="R254" s="363">
        <f>IFERROR(N254*W254,"Not Assessed")</f>
        <v>7234.9276018099554</v>
      </c>
      <c r="S254" s="364">
        <f>IFERROR(O254/X254, "Not Assessed")</f>
        <v>4.763147268039637E-6</v>
      </c>
      <c r="U254" s="378">
        <v>10</v>
      </c>
      <c r="V254" s="379">
        <v>10</v>
      </c>
      <c r="W254" s="379">
        <v>10</v>
      </c>
      <c r="X254" s="380">
        <v>10</v>
      </c>
    </row>
    <row r="255" spans="1:24" ht="15" thickBot="1" x14ac:dyDescent="0.35">
      <c r="A255" s="372"/>
      <c r="B255" s="360" t="s">
        <v>144</v>
      </c>
      <c r="C255" s="361" t="s">
        <v>25</v>
      </c>
      <c r="D255" s="361" t="s">
        <v>111</v>
      </c>
      <c r="E255" s="362" t="s">
        <v>117</v>
      </c>
      <c r="F255" s="589"/>
      <c r="G255" s="589"/>
      <c r="H255" s="589"/>
      <c r="I255" s="590"/>
      <c r="J255" s="590"/>
      <c r="K255" s="588"/>
      <c r="L255" s="587"/>
      <c r="M255" s="587"/>
      <c r="N255" s="587"/>
      <c r="O255" s="587"/>
      <c r="P255" s="373" t="str">
        <f>CONCATENATE("(APF ",U254,")")</f>
        <v>(APF 10)</v>
      </c>
      <c r="Q255" s="373" t="str">
        <f>CONCATENATE("(APF ",V254,")")</f>
        <v>(APF 10)</v>
      </c>
      <c r="R255" s="373" t="str">
        <f>CONCATENATE("(APF ",W254,")")</f>
        <v>(APF 10)</v>
      </c>
      <c r="S255" s="373" t="str">
        <f>CONCATENATE("(APF ",X254,")")</f>
        <v>(APF 10)</v>
      </c>
      <c r="U255" s="374" t="s">
        <v>116</v>
      </c>
      <c r="V255" s="375" t="s">
        <v>116</v>
      </c>
      <c r="W255" s="375" t="s">
        <v>116</v>
      </c>
      <c r="X255" s="376" t="s">
        <v>116</v>
      </c>
    </row>
    <row r="256" spans="1:24" ht="15" thickBot="1" x14ac:dyDescent="0.35">
      <c r="A256" s="372"/>
      <c r="B256" s="360" t="s">
        <v>144</v>
      </c>
      <c r="C256" s="361" t="s">
        <v>53</v>
      </c>
      <c r="D256" s="361" t="s">
        <v>111</v>
      </c>
      <c r="E256" s="362" t="s">
        <v>24</v>
      </c>
      <c r="F256" s="589"/>
      <c r="G256" s="589"/>
      <c r="H256" s="589"/>
      <c r="I256" s="589" t="s">
        <v>53</v>
      </c>
      <c r="J256" s="586" t="s">
        <v>115</v>
      </c>
      <c r="K256" s="584" t="s">
        <v>54</v>
      </c>
      <c r="L256" s="586" t="str">
        <f>IFERROR(IFERROR(VLOOKUP($D256,$Z$8:$AD$9,2,FALSE),0)/IF($D256="Inhalation",IF($K256="Central Tendency",SUMIFS('Inhalation Exposure'!$L$4:$L$60,'Inhalation Exposure'!$B$4:$B$60,$B256,'Inhalation Exposure'!$D$4:$D$60,$C256,'Inhalation Exposure'!$E$4:$E$60,$E256),SUMIFS('Inhalation Exposure'!$K$4:$K$60,'Inhalation Exposure'!$B$4:$B$60,$B256,'Inhalation Exposure'!$D$4:$D$60,$C256,'Inhalation Exposure'!$E$4:$E$60,$E256)),IF($K256="Central Tendency",SUMIFS('Dermal Crosswalk'!$P$5:$P$32,'Dermal Crosswalk'!$A$5:$A$32,'Bridge Table'!$B256,'Dermal Crosswalk'!$C$5:$C$32,'Bridge Table'!$E256),SUMIFS('Dermal Crosswalk'!$K$5:$K$32,'Dermal Crosswalk'!$A$5:$A$32,'Bridge Table'!$B256,'Dermal Crosswalk'!$C$5:$C$32,'Bridge Table'!$E256))),"--")</f>
        <v>--</v>
      </c>
      <c r="M256" s="586" t="str">
        <f>IFERROR(IFERROR(VLOOKUP($D256,$Z$8:$AD$9,3,FALSE),0)/IF($D256="Inhalation",IF($K256="Central Tendency",SUMIFS('Inhalation Exposure'!$AB$4:$AB$60,'Inhalation Exposure'!$B$4:$B$60,$B256,'Inhalation Exposure'!$D$4:$D$60,$C256,'Inhalation Exposure'!$E$4:$E$60,$E256),SUMIFS('Inhalation Exposure'!$AA$4:$AA$60,'Inhalation Exposure'!$B$4:$B$60,$B256,'Inhalation Exposure'!$D$4:$D$60,$C256,'Inhalation Exposure'!$E$4:$E$60,$E256)),IF($K256="Central Tendency",SUMIFS('Dermal Crosswalk'!$S$5:$S$32,'Dermal Crosswalk'!$A$5:$A$32,'Bridge Table'!$B256,'Dermal Crosswalk'!$C$5:$C$32,'Bridge Table'!$E256),SUMIFS('Dermal Crosswalk'!$N$5:$N$32,'Dermal Crosswalk'!$A$5:$A$32,'Bridge Table'!$B256,'Dermal Crosswalk'!$C$5:$C$32,'Bridge Table'!$E256))),"--")</f>
        <v>--</v>
      </c>
      <c r="N256" s="586" t="str">
        <f>IFERROR(IFERROR(VLOOKUP($D256,$Z$8:$AD$9,4,FALSE),0)/IF($D256="Inhalation",IF($K256="Central Tendency",SUMIFS('Inhalation Exposure'!$R$4:$R$60,'Inhalation Exposure'!$B$4:$B$60,$B256,'Inhalation Exposure'!$D$4:$D$60,$C256,'Inhalation Exposure'!$E$4:$E$60,$E256),SUMIFS('Inhalation Exposure'!$Q$4:$Q$60,'Inhalation Exposure'!$B$4:$B$60,$B256,'Inhalation Exposure'!$D$4:$D$60,$C256,'Inhalation Exposure'!$E$4:$E$60,$E256)),IF($K256="Central Tendency",SUMIFS('Dermal Crosswalk'!$Q$5:$Q$32,'Dermal Crosswalk'!$A$5:$A$32,'Bridge Table'!$B256,'Dermal Crosswalk'!$C$5:$C$32,'Bridge Table'!$E256),SUMIFS('Dermal Crosswalk'!$L$5:$L$32,'Dermal Crosswalk'!$A$5:$A$32,'Bridge Table'!$B256,'Dermal Crosswalk'!$C$5:$C$32,'Bridge Table'!$E256))),"--")</f>
        <v>--</v>
      </c>
      <c r="O256" s="586" t="str">
        <f>IF(IFERROR(VLOOKUP($D256,$Z$8:$AD$9,5,FALSE),0)*IF($D256="Inhalation",IF($K256="Central Tendency",SUMIFS('Inhalation Exposure'!$V$4:$V$60,'Inhalation Exposure'!$B$4:$B$60,$B256,'Inhalation Exposure'!$D$4:$D$60,$C256,'Inhalation Exposure'!$E$4:$E$60,$E256),SUMIFS('Inhalation Exposure'!$U$4:$U$60,'Inhalation Exposure'!$B$4:$B$60,$B256,'Inhalation Exposure'!$D$4:$D$60,$C256,'Inhalation Exposure'!$E$4:$E$60,$E256)),IF($K256="Central Tendency",SUMIFS('Dermal Crosswalk'!$R$5:$R$32,'Dermal Crosswalk'!$A$5:$A$32,'Bridge Table'!$B256,'Dermal Crosswalk'!$C$5:$C$32,'Bridge Table'!$E256),SUMIFS('Dermal Crosswalk'!$M$5:$M$32,'Dermal Crosswalk'!$A$5:$A$32,'Bridge Table'!$B256,'Dermal Crosswalk'!$C$5:$C$32,'Bridge Table'!$E256)))=0,"--",IFERROR(VLOOKUP($D256,$Z$8:$AD$9,5,FALSE),0)*IF($D256="Inhalation",IF($K256="Central Tendency",SUMIFS('Inhalation Exposure'!$V$4:$V$60,'Inhalation Exposure'!$B$4:$B$60,$B256,'Inhalation Exposure'!$D$4:$D$60,$C256,'Inhalation Exposure'!$E$4:$E$60,$E256),SUMIFS('Inhalation Exposure'!$U$4:$U$60,'Inhalation Exposure'!$B$4:$B$60,$B256,'Inhalation Exposure'!$D$4:$D$60,$C256,'Inhalation Exposure'!$E$4:$E$60,$E256)),IF($K256="Central Tendency",SUMIFS('Dermal Crosswalk'!$R$5:$R$32,'Dermal Crosswalk'!$A$5:$A$32,'Bridge Table'!$B256,'Dermal Crosswalk'!$C$5:$C$32,'Bridge Table'!$E256),SUMIFS('Dermal Crosswalk'!$M$5:$M$32,'Dermal Crosswalk'!$A$5:$A$32,'Bridge Table'!$B256,'Dermal Crosswalk'!$C$5:$C$32,'Bridge Table'!$E256))))</f>
        <v>--</v>
      </c>
      <c r="P256" s="610" t="s">
        <v>118</v>
      </c>
      <c r="Q256" s="610" t="s">
        <v>118</v>
      </c>
      <c r="R256" s="610" t="s">
        <v>118</v>
      </c>
      <c r="S256" s="610" t="s">
        <v>118</v>
      </c>
      <c r="U256" s="612" t="s">
        <v>118</v>
      </c>
      <c r="V256" s="614" t="s">
        <v>118</v>
      </c>
      <c r="W256" s="614" t="s">
        <v>118</v>
      </c>
      <c r="X256" s="616" t="s">
        <v>118</v>
      </c>
    </row>
    <row r="257" spans="1:24" ht="15" thickBot="1" x14ac:dyDescent="0.35">
      <c r="A257" s="372"/>
      <c r="B257" s="360" t="s">
        <v>144</v>
      </c>
      <c r="C257" s="361" t="s">
        <v>53</v>
      </c>
      <c r="D257" s="361" t="s">
        <v>111</v>
      </c>
      <c r="E257" s="362" t="s">
        <v>24</v>
      </c>
      <c r="F257" s="589"/>
      <c r="G257" s="589"/>
      <c r="H257" s="589"/>
      <c r="I257" s="589"/>
      <c r="J257" s="589"/>
      <c r="K257" s="585"/>
      <c r="L257" s="587"/>
      <c r="M257" s="587"/>
      <c r="N257" s="587"/>
      <c r="O257" s="587"/>
      <c r="P257" s="611"/>
      <c r="Q257" s="611"/>
      <c r="R257" s="611"/>
      <c r="S257" s="611"/>
      <c r="U257" s="613"/>
      <c r="V257" s="615"/>
      <c r="W257" s="615"/>
      <c r="X257" s="617"/>
    </row>
    <row r="258" spans="1:24" ht="15" thickBot="1" x14ac:dyDescent="0.35">
      <c r="A258" s="372"/>
      <c r="B258" s="360" t="s">
        <v>144</v>
      </c>
      <c r="C258" s="361" t="s">
        <v>53</v>
      </c>
      <c r="D258" s="361" t="s">
        <v>111</v>
      </c>
      <c r="E258" s="362" t="s">
        <v>24</v>
      </c>
      <c r="F258" s="589"/>
      <c r="G258" s="589"/>
      <c r="H258" s="589"/>
      <c r="I258" s="589"/>
      <c r="J258" s="589"/>
      <c r="K258" s="584" t="s">
        <v>88</v>
      </c>
      <c r="L258" s="586" t="str">
        <f>IFERROR(IFERROR(VLOOKUP($D258,$Z$8:$AD$9,2,FALSE),0)/IF($D258="Inhalation",IF($K258="Central Tendency",SUMIFS('Inhalation Exposure'!$L$4:$L$60,'Inhalation Exposure'!$B$4:$B$60,$B258,'Inhalation Exposure'!$D$4:$D$60,$C258,'Inhalation Exposure'!$E$4:$E$60,$E258),SUMIFS('Inhalation Exposure'!$K$4:$K$60,'Inhalation Exposure'!$B$4:$B$60,$B258,'Inhalation Exposure'!$D$4:$D$60,$C258,'Inhalation Exposure'!$E$4:$E$60,$E258)),IF($K258="Central Tendency",SUMIFS('Dermal Crosswalk'!$P$5:$P$32,'Dermal Crosswalk'!$A$5:$A$32,'Bridge Table'!$B258,'Dermal Crosswalk'!$C$5:$C$32,'Bridge Table'!$E258),SUMIFS('Dermal Crosswalk'!$K$5:$K$32,'Dermal Crosswalk'!$A$5:$A$32,'Bridge Table'!$B258,'Dermal Crosswalk'!$C$5:$C$32,'Bridge Table'!$E258))),"--")</f>
        <v>--</v>
      </c>
      <c r="M258" s="586" t="str">
        <f>IFERROR(IFERROR(VLOOKUP($D258,$Z$8:$AD$9,3,FALSE),0)/IF($D258="Inhalation",IF($K258="Central Tendency",SUMIFS('Inhalation Exposure'!$AB$4:$AB$60,'Inhalation Exposure'!$B$4:$B$60,$B258,'Inhalation Exposure'!$D$4:$D$60,$C258,'Inhalation Exposure'!$E$4:$E$60,$E258),SUMIFS('Inhalation Exposure'!$AA$4:$AA$60,'Inhalation Exposure'!$B$4:$B$60,$B258,'Inhalation Exposure'!$D$4:$D$60,$C258,'Inhalation Exposure'!$E$4:$E$60,$E258)),IF($K258="Central Tendency",SUMIFS('Dermal Crosswalk'!$S$5:$S$32,'Dermal Crosswalk'!$A$5:$A$32,'Bridge Table'!$B258,'Dermal Crosswalk'!$C$5:$C$32,'Bridge Table'!$E258),SUMIFS('Dermal Crosswalk'!$N$5:$N$32,'Dermal Crosswalk'!$A$5:$A$32,'Bridge Table'!$B258,'Dermal Crosswalk'!$C$5:$C$32,'Bridge Table'!$E258))),"--")</f>
        <v>--</v>
      </c>
      <c r="N258" s="586" t="str">
        <f>IFERROR(IFERROR(VLOOKUP($D258,$Z$8:$AD$9,4,FALSE),0)/IF($D258="Inhalation",IF($K258="Central Tendency",SUMIFS('Inhalation Exposure'!$R$4:$R$60,'Inhalation Exposure'!$B$4:$B$60,$B258,'Inhalation Exposure'!$D$4:$D$60,$C258,'Inhalation Exposure'!$E$4:$E$60,$E258),SUMIFS('Inhalation Exposure'!$Q$4:$Q$60,'Inhalation Exposure'!$B$4:$B$60,$B258,'Inhalation Exposure'!$D$4:$D$60,$C258,'Inhalation Exposure'!$E$4:$E$60,$E258)),IF($K258="Central Tendency",SUMIFS('Dermal Crosswalk'!$Q$5:$Q$32,'Dermal Crosswalk'!$A$5:$A$32,'Bridge Table'!$B258,'Dermal Crosswalk'!$C$5:$C$32,'Bridge Table'!$E258),SUMIFS('Dermal Crosswalk'!$L$5:$L$32,'Dermal Crosswalk'!$A$5:$A$32,'Bridge Table'!$B258,'Dermal Crosswalk'!$C$5:$C$32,'Bridge Table'!$E258))),"--")</f>
        <v>--</v>
      </c>
      <c r="O258" s="586" t="str">
        <f>IF(IFERROR(VLOOKUP($D258,$Z$8:$AD$9,5,FALSE),0)*IF($D258="Inhalation",IF($K258="Central Tendency",SUMIFS('Inhalation Exposure'!$V$4:$V$60,'Inhalation Exposure'!$B$4:$B$60,$B258,'Inhalation Exposure'!$D$4:$D$60,$C258,'Inhalation Exposure'!$E$4:$E$60,$E258),SUMIFS('Inhalation Exposure'!$U$4:$U$60,'Inhalation Exposure'!$B$4:$B$60,$B258,'Inhalation Exposure'!$D$4:$D$60,$C258,'Inhalation Exposure'!$E$4:$E$60,$E258)),IF($K258="Central Tendency",SUMIFS('Dermal Crosswalk'!$R$5:$R$32,'Dermal Crosswalk'!$A$5:$A$32,'Bridge Table'!$B258,'Dermal Crosswalk'!$C$5:$C$32,'Bridge Table'!$E258),SUMIFS('Dermal Crosswalk'!$M$5:$M$32,'Dermal Crosswalk'!$A$5:$A$32,'Bridge Table'!$B258,'Dermal Crosswalk'!$C$5:$C$32,'Bridge Table'!$E258)))=0,"--",IFERROR(VLOOKUP($D258,$Z$8:$AD$9,5,FALSE),0)*IF($D258="Inhalation",IF($K258="Central Tendency",SUMIFS('Inhalation Exposure'!$V$4:$V$60,'Inhalation Exposure'!$B$4:$B$60,$B258,'Inhalation Exposure'!$D$4:$D$60,$C258,'Inhalation Exposure'!$E$4:$E$60,$E258),SUMIFS('Inhalation Exposure'!$U$4:$U$60,'Inhalation Exposure'!$B$4:$B$60,$B258,'Inhalation Exposure'!$D$4:$D$60,$C258,'Inhalation Exposure'!$E$4:$E$60,$E258)),IF($K258="Central Tendency",SUMIFS('Dermal Crosswalk'!$R$5:$R$32,'Dermal Crosswalk'!$A$5:$A$32,'Bridge Table'!$B258,'Dermal Crosswalk'!$C$5:$C$32,'Bridge Table'!$E258),SUMIFS('Dermal Crosswalk'!$M$5:$M$32,'Dermal Crosswalk'!$A$5:$A$32,'Bridge Table'!$B258,'Dermal Crosswalk'!$C$5:$C$32,'Bridge Table'!$E258))))</f>
        <v>--</v>
      </c>
      <c r="P258" s="610" t="s">
        <v>118</v>
      </c>
      <c r="Q258" s="610" t="s">
        <v>118</v>
      </c>
      <c r="R258" s="610" t="s">
        <v>118</v>
      </c>
      <c r="S258" s="610" t="s">
        <v>118</v>
      </c>
      <c r="U258" s="612" t="s">
        <v>118</v>
      </c>
      <c r="V258" s="614" t="s">
        <v>118</v>
      </c>
      <c r="W258" s="614" t="s">
        <v>118</v>
      </c>
      <c r="X258" s="616" t="s">
        <v>118</v>
      </c>
    </row>
    <row r="259" spans="1:24" ht="15" thickBot="1" x14ac:dyDescent="0.35">
      <c r="A259" s="372"/>
      <c r="B259" s="360" t="s">
        <v>144</v>
      </c>
      <c r="C259" s="361" t="s">
        <v>53</v>
      </c>
      <c r="D259" s="361" t="s">
        <v>111</v>
      </c>
      <c r="E259" s="362" t="s">
        <v>24</v>
      </c>
      <c r="F259" s="589"/>
      <c r="G259" s="589"/>
      <c r="H259" s="589"/>
      <c r="I259" s="590"/>
      <c r="J259" s="590"/>
      <c r="K259" s="588"/>
      <c r="L259" s="587"/>
      <c r="M259" s="587"/>
      <c r="N259" s="587"/>
      <c r="O259" s="587"/>
      <c r="P259" s="611"/>
      <c r="Q259" s="611"/>
      <c r="R259" s="611"/>
      <c r="S259" s="611"/>
      <c r="U259" s="613"/>
      <c r="V259" s="615"/>
      <c r="W259" s="615"/>
      <c r="X259" s="617"/>
    </row>
    <row r="260" spans="1:24" ht="15" thickBot="1" x14ac:dyDescent="0.35">
      <c r="A260" s="372"/>
      <c r="B260" s="360" t="s">
        <v>144</v>
      </c>
      <c r="C260" s="361" t="s">
        <v>53</v>
      </c>
      <c r="D260" s="361" t="s">
        <v>111</v>
      </c>
      <c r="E260" s="362" t="s">
        <v>117</v>
      </c>
      <c r="F260" s="589"/>
      <c r="G260" s="589"/>
      <c r="H260" s="589"/>
      <c r="I260" s="589" t="s">
        <v>53</v>
      </c>
      <c r="J260" s="586" t="s">
        <v>115</v>
      </c>
      <c r="K260" s="584" t="s">
        <v>54</v>
      </c>
      <c r="L260" s="586" t="str">
        <f>IFERROR(IFERROR(VLOOKUP($D260,$Z$8:$AD$9,2,FALSE),0)/IF($D260="Inhalation",IF($K260="Central Tendency",SUMIFS('Inhalation Exposure'!$L$4:$L$60,'Inhalation Exposure'!$B$4:$B$60,$B260,'Inhalation Exposure'!$D$4:$D$60,$C260,'Inhalation Exposure'!$E$4:$E$60,$E260),SUMIFS('Inhalation Exposure'!$K$4:$K$60,'Inhalation Exposure'!$B$4:$B$60,$B260,'Inhalation Exposure'!$D$4:$D$60,$C260,'Inhalation Exposure'!$E$4:$E$60,$E260)),IF($K260="Central Tendency",SUMIFS('Dermal Crosswalk'!$P$5:$P$32,'Dermal Crosswalk'!$A$5:$A$32,'Bridge Table'!$B260,'Dermal Crosswalk'!$C$5:$C$32,'Bridge Table'!$E260),SUMIFS('Dermal Crosswalk'!$K$5:$K$32,'Dermal Crosswalk'!$A$5:$A$32,'Bridge Table'!$B260,'Dermal Crosswalk'!$C$5:$C$32,'Bridge Table'!$E260))),"--")</f>
        <v>--</v>
      </c>
      <c r="M260" s="586" t="str">
        <f>IFERROR(IFERROR(VLOOKUP($D260,$Z$8:$AD$9,3,FALSE),0)/IF($D260="Inhalation",IF($K260="Central Tendency",SUMIFS('Inhalation Exposure'!$AB$4:$AB$60,'Inhalation Exposure'!$B$4:$B$60,$B260,'Inhalation Exposure'!$D$4:$D$60,$C260,'Inhalation Exposure'!$E$4:$E$60,$E260),SUMIFS('Inhalation Exposure'!$AA$4:$AA$60,'Inhalation Exposure'!$B$4:$B$60,$B260,'Inhalation Exposure'!$D$4:$D$60,$C260,'Inhalation Exposure'!$E$4:$E$60,$E260)),IF($K260="Central Tendency",SUMIFS('Dermal Crosswalk'!$S$5:$S$32,'Dermal Crosswalk'!$A$5:$A$32,'Bridge Table'!$B260,'Dermal Crosswalk'!$C$5:$C$32,'Bridge Table'!$E260),SUMIFS('Dermal Crosswalk'!$N$5:$N$32,'Dermal Crosswalk'!$A$5:$A$32,'Bridge Table'!$B260,'Dermal Crosswalk'!$C$5:$C$32,'Bridge Table'!$E260))),"--")</f>
        <v>--</v>
      </c>
      <c r="N260" s="586" t="str">
        <f>IFERROR(IFERROR(VLOOKUP($D260,$Z$8:$AD$9,4,FALSE),0)/IF($D260="Inhalation",IF($K260="Central Tendency",SUMIFS('Inhalation Exposure'!$R$4:$R$60,'Inhalation Exposure'!$B$4:$B$60,$B260,'Inhalation Exposure'!$D$4:$D$60,$C260,'Inhalation Exposure'!$E$4:$E$60,$E260),SUMIFS('Inhalation Exposure'!$Q$4:$Q$60,'Inhalation Exposure'!$B$4:$B$60,$B260,'Inhalation Exposure'!$D$4:$D$60,$C260,'Inhalation Exposure'!$E$4:$E$60,$E260)),IF($K260="Central Tendency",SUMIFS('Dermal Crosswalk'!$Q$5:$Q$32,'Dermal Crosswalk'!$A$5:$A$32,'Bridge Table'!$B260,'Dermal Crosswalk'!$C$5:$C$32,'Bridge Table'!$E260),SUMIFS('Dermal Crosswalk'!$L$5:$L$32,'Dermal Crosswalk'!$A$5:$A$32,'Bridge Table'!$B260,'Dermal Crosswalk'!$C$5:$C$32,'Bridge Table'!$E260))),"--")</f>
        <v>--</v>
      </c>
      <c r="O260" s="586" t="str">
        <f>IF(IFERROR(VLOOKUP($D260,$Z$8:$AD$9,5,FALSE),0)*IF($D260="Inhalation",IF($K260="Central Tendency",SUMIFS('Inhalation Exposure'!$V$4:$V$60,'Inhalation Exposure'!$B$4:$B$60,$B260,'Inhalation Exposure'!$D$4:$D$60,$C260,'Inhalation Exposure'!$E$4:$E$60,$E260),SUMIFS('Inhalation Exposure'!$U$4:$U$60,'Inhalation Exposure'!$B$4:$B$60,$B260,'Inhalation Exposure'!$D$4:$D$60,$C260,'Inhalation Exposure'!$E$4:$E$60,$E260)),IF($K260="Central Tendency",SUMIFS('Dermal Crosswalk'!$R$5:$R$32,'Dermal Crosswalk'!$A$5:$A$32,'Bridge Table'!$B260,'Dermal Crosswalk'!$C$5:$C$32,'Bridge Table'!$E260),SUMIFS('Dermal Crosswalk'!$M$5:$M$32,'Dermal Crosswalk'!$A$5:$A$32,'Bridge Table'!$B260,'Dermal Crosswalk'!$C$5:$C$32,'Bridge Table'!$E260)))=0,"--",IFERROR(VLOOKUP($D260,$Z$8:$AD$9,5,FALSE),0)*IF($D260="Inhalation",IF($K260="Central Tendency",SUMIFS('Inhalation Exposure'!$V$4:$V$60,'Inhalation Exposure'!$B$4:$B$60,$B260,'Inhalation Exposure'!$D$4:$D$60,$C260,'Inhalation Exposure'!$E$4:$E$60,$E260),SUMIFS('Inhalation Exposure'!$U$4:$U$60,'Inhalation Exposure'!$B$4:$B$60,$B260,'Inhalation Exposure'!$D$4:$D$60,$C260,'Inhalation Exposure'!$E$4:$E$60,$E260)),IF($K260="Central Tendency",SUMIFS('Dermal Crosswalk'!$R$5:$R$32,'Dermal Crosswalk'!$A$5:$A$32,'Bridge Table'!$B260,'Dermal Crosswalk'!$C$5:$C$32,'Bridge Table'!$E260),SUMIFS('Dermal Crosswalk'!$M$5:$M$32,'Dermal Crosswalk'!$A$5:$A$32,'Bridge Table'!$B260,'Dermal Crosswalk'!$C$5:$C$32,'Bridge Table'!$E260))))</f>
        <v>--</v>
      </c>
      <c r="P260" s="610" t="s">
        <v>118</v>
      </c>
      <c r="Q260" s="610" t="s">
        <v>118</v>
      </c>
      <c r="R260" s="610" t="s">
        <v>118</v>
      </c>
      <c r="S260" s="610" t="s">
        <v>118</v>
      </c>
      <c r="U260" s="612" t="s">
        <v>118</v>
      </c>
      <c r="V260" s="614" t="s">
        <v>118</v>
      </c>
      <c r="W260" s="614" t="s">
        <v>118</v>
      </c>
      <c r="X260" s="616" t="s">
        <v>118</v>
      </c>
    </row>
    <row r="261" spans="1:24" ht="15" thickBot="1" x14ac:dyDescent="0.35">
      <c r="A261" s="372"/>
      <c r="B261" s="360" t="s">
        <v>144</v>
      </c>
      <c r="C261" s="361" t="s">
        <v>53</v>
      </c>
      <c r="D261" s="361" t="s">
        <v>111</v>
      </c>
      <c r="E261" s="362" t="s">
        <v>117</v>
      </c>
      <c r="F261" s="589"/>
      <c r="G261" s="589"/>
      <c r="H261" s="589"/>
      <c r="I261" s="589"/>
      <c r="J261" s="589"/>
      <c r="K261" s="585"/>
      <c r="L261" s="587"/>
      <c r="M261" s="587"/>
      <c r="N261" s="587"/>
      <c r="O261" s="587"/>
      <c r="P261" s="611"/>
      <c r="Q261" s="611"/>
      <c r="R261" s="611"/>
      <c r="S261" s="611"/>
      <c r="U261" s="613"/>
      <c r="V261" s="615"/>
      <c r="W261" s="615"/>
      <c r="X261" s="617"/>
    </row>
    <row r="262" spans="1:24" ht="15" thickBot="1" x14ac:dyDescent="0.35">
      <c r="A262" s="372"/>
      <c r="B262" s="360" t="s">
        <v>144</v>
      </c>
      <c r="C262" s="361" t="s">
        <v>53</v>
      </c>
      <c r="D262" s="361" t="s">
        <v>111</v>
      </c>
      <c r="E262" s="362" t="s">
        <v>117</v>
      </c>
      <c r="F262" s="589"/>
      <c r="G262" s="589"/>
      <c r="H262" s="589"/>
      <c r="I262" s="589"/>
      <c r="J262" s="589"/>
      <c r="K262" s="584" t="s">
        <v>88</v>
      </c>
      <c r="L262" s="586" t="str">
        <f>IFERROR(IFERROR(VLOOKUP($D262,$Z$8:$AD$9,2,FALSE),0)/IF($D262="Inhalation",IF($K262="Central Tendency",SUMIFS('Inhalation Exposure'!$L$4:$L$60,'Inhalation Exposure'!$B$4:$B$60,$B262,'Inhalation Exposure'!$D$4:$D$60,$C262,'Inhalation Exposure'!$E$4:$E$60,$E262),SUMIFS('Inhalation Exposure'!$K$4:$K$60,'Inhalation Exposure'!$B$4:$B$60,$B262,'Inhalation Exposure'!$D$4:$D$60,$C262,'Inhalation Exposure'!$E$4:$E$60,$E262)),IF($K262="Central Tendency",SUMIFS('Dermal Crosswalk'!$P$5:$P$32,'Dermal Crosswalk'!$A$5:$A$32,'Bridge Table'!$B262,'Dermal Crosswalk'!$C$5:$C$32,'Bridge Table'!$E262),SUMIFS('Dermal Crosswalk'!$K$5:$K$32,'Dermal Crosswalk'!$A$5:$A$32,'Bridge Table'!$B262,'Dermal Crosswalk'!$C$5:$C$32,'Bridge Table'!$E262))),"--")</f>
        <v>--</v>
      </c>
      <c r="M262" s="586" t="str">
        <f>IFERROR(IFERROR(VLOOKUP($D262,$Z$8:$AD$9,3,FALSE),0)/IF($D262="Inhalation",IF($K262="Central Tendency",SUMIFS('Inhalation Exposure'!$AB$4:$AB$60,'Inhalation Exposure'!$B$4:$B$60,$B262,'Inhalation Exposure'!$D$4:$D$60,$C262,'Inhalation Exposure'!$E$4:$E$60,$E262),SUMIFS('Inhalation Exposure'!$AA$4:$AA$60,'Inhalation Exposure'!$B$4:$B$60,$B262,'Inhalation Exposure'!$D$4:$D$60,$C262,'Inhalation Exposure'!$E$4:$E$60,$E262)),IF($K262="Central Tendency",SUMIFS('Dermal Crosswalk'!$S$5:$S$32,'Dermal Crosswalk'!$A$5:$A$32,'Bridge Table'!$B262,'Dermal Crosswalk'!$C$5:$C$32,'Bridge Table'!$E262),SUMIFS('Dermal Crosswalk'!$N$5:$N$32,'Dermal Crosswalk'!$A$5:$A$32,'Bridge Table'!$B262,'Dermal Crosswalk'!$C$5:$C$32,'Bridge Table'!$E262))),"--")</f>
        <v>--</v>
      </c>
      <c r="N262" s="586" t="str">
        <f>IFERROR(IFERROR(VLOOKUP($D262,$Z$8:$AD$9,4,FALSE),0)/IF($D262="Inhalation",IF($K262="Central Tendency",SUMIFS('Inhalation Exposure'!$R$4:$R$60,'Inhalation Exposure'!$B$4:$B$60,$B262,'Inhalation Exposure'!$D$4:$D$60,$C262,'Inhalation Exposure'!$E$4:$E$60,$E262),SUMIFS('Inhalation Exposure'!$Q$4:$Q$60,'Inhalation Exposure'!$B$4:$B$60,$B262,'Inhalation Exposure'!$D$4:$D$60,$C262,'Inhalation Exposure'!$E$4:$E$60,$E262)),IF($K262="Central Tendency",SUMIFS('Dermal Crosswalk'!$Q$5:$Q$32,'Dermal Crosswalk'!$A$5:$A$32,'Bridge Table'!$B262,'Dermal Crosswalk'!$C$5:$C$32,'Bridge Table'!$E262),SUMIFS('Dermal Crosswalk'!$L$5:$L$32,'Dermal Crosswalk'!$A$5:$A$32,'Bridge Table'!$B262,'Dermal Crosswalk'!$C$5:$C$32,'Bridge Table'!$E262))),"--")</f>
        <v>--</v>
      </c>
      <c r="O262" s="586" t="str">
        <f>IF(IFERROR(VLOOKUP($D262,$Z$8:$AD$9,5,FALSE),0)*IF($D262="Inhalation",IF($K262="Central Tendency",SUMIFS('Inhalation Exposure'!$V$4:$V$60,'Inhalation Exposure'!$B$4:$B$60,$B262,'Inhalation Exposure'!$D$4:$D$60,$C262,'Inhalation Exposure'!$E$4:$E$60,$E262),SUMIFS('Inhalation Exposure'!$U$4:$U$60,'Inhalation Exposure'!$B$4:$B$60,$B262,'Inhalation Exposure'!$D$4:$D$60,$C262,'Inhalation Exposure'!$E$4:$E$60,$E262)),IF($K262="Central Tendency",SUMIFS('Dermal Crosswalk'!$R$5:$R$32,'Dermal Crosswalk'!$A$5:$A$32,'Bridge Table'!$B262,'Dermal Crosswalk'!$C$5:$C$32,'Bridge Table'!$E262),SUMIFS('Dermal Crosswalk'!$M$5:$M$32,'Dermal Crosswalk'!$A$5:$A$32,'Bridge Table'!$B262,'Dermal Crosswalk'!$C$5:$C$32,'Bridge Table'!$E262)))=0,"--",IFERROR(VLOOKUP($D262,$Z$8:$AD$9,5,FALSE),0)*IF($D262="Inhalation",IF($K262="Central Tendency",SUMIFS('Inhalation Exposure'!$V$4:$V$60,'Inhalation Exposure'!$B$4:$B$60,$B262,'Inhalation Exposure'!$D$4:$D$60,$C262,'Inhalation Exposure'!$E$4:$E$60,$E262),SUMIFS('Inhalation Exposure'!$U$4:$U$60,'Inhalation Exposure'!$B$4:$B$60,$B262,'Inhalation Exposure'!$D$4:$D$60,$C262,'Inhalation Exposure'!$E$4:$E$60,$E262)),IF($K262="Central Tendency",SUMIFS('Dermal Crosswalk'!$R$5:$R$32,'Dermal Crosswalk'!$A$5:$A$32,'Bridge Table'!$B262,'Dermal Crosswalk'!$C$5:$C$32,'Bridge Table'!$E262),SUMIFS('Dermal Crosswalk'!$M$5:$M$32,'Dermal Crosswalk'!$A$5:$A$32,'Bridge Table'!$B262,'Dermal Crosswalk'!$C$5:$C$32,'Bridge Table'!$E262))))</f>
        <v>--</v>
      </c>
      <c r="P262" s="610" t="s">
        <v>118</v>
      </c>
      <c r="Q262" s="610" t="s">
        <v>118</v>
      </c>
      <c r="R262" s="610" t="s">
        <v>118</v>
      </c>
      <c r="S262" s="610" t="s">
        <v>118</v>
      </c>
      <c r="U262" s="612" t="s">
        <v>118</v>
      </c>
      <c r="V262" s="614" t="s">
        <v>118</v>
      </c>
      <c r="W262" s="614" t="s">
        <v>118</v>
      </c>
      <c r="X262" s="616" t="s">
        <v>118</v>
      </c>
    </row>
    <row r="263" spans="1:24" ht="15" thickBot="1" x14ac:dyDescent="0.35">
      <c r="A263" s="372"/>
      <c r="B263" s="360" t="s">
        <v>144</v>
      </c>
      <c r="C263" s="361" t="s">
        <v>53</v>
      </c>
      <c r="D263" s="361" t="s">
        <v>111</v>
      </c>
      <c r="E263" s="362" t="s">
        <v>117</v>
      </c>
      <c r="F263" s="589"/>
      <c r="G263" s="589"/>
      <c r="H263" s="589"/>
      <c r="I263" s="590"/>
      <c r="J263" s="590"/>
      <c r="K263" s="588"/>
      <c r="L263" s="587"/>
      <c r="M263" s="587"/>
      <c r="N263" s="587"/>
      <c r="O263" s="587"/>
      <c r="P263" s="611"/>
      <c r="Q263" s="611"/>
      <c r="R263" s="611"/>
      <c r="S263" s="611"/>
      <c r="U263" s="613"/>
      <c r="V263" s="615"/>
      <c r="W263" s="615"/>
      <c r="X263" s="617"/>
    </row>
    <row r="264" spans="1:24" ht="15.6" customHeight="1" thickTop="1" thickBot="1" x14ac:dyDescent="0.35">
      <c r="A264" s="372"/>
      <c r="B264" s="360" t="s">
        <v>144</v>
      </c>
      <c r="C264" s="361" t="s">
        <v>25</v>
      </c>
      <c r="D264" s="361" t="s">
        <v>16</v>
      </c>
      <c r="E264" s="362" t="s">
        <v>24</v>
      </c>
      <c r="F264" s="589"/>
      <c r="G264" s="589"/>
      <c r="H264" s="589"/>
      <c r="I264" s="589" t="s">
        <v>25</v>
      </c>
      <c r="J264" s="609" t="s">
        <v>16</v>
      </c>
      <c r="K264" s="607" t="s">
        <v>54</v>
      </c>
      <c r="L264" s="586">
        <f>IFERROR(IFERROR(VLOOKUP($D264,$Z$8:$AD$9,2,FALSE),0)/IF($D264="Inhalation",IF($K264="Central Tendency",SUMIFS('Inhalation Exposure'!$N$4:$N$61,'Inhalation Exposure'!$B$4:$B$61,$B264,'Inhalation Exposure'!$D$4:$D$61,$C264,'Inhalation Exposure'!$E$4:$E$61,$E264),SUMIFS('Inhalation Exposure'!$M$4:$M$61,'Inhalation Exposure'!$B$4:$B$61,$B264,'Inhalation Exposure'!$D$4:$D$61,$C264,'Inhalation Exposure'!$E$4:$E$61,$E264)),IF($K264="Central Tendency",SUMIFS('Dermal Crosswalk'!$P$5:$P$32,'Dermal Crosswalk'!$A$5:$A$32,'Bridge Table'!$B264,'Dermal Crosswalk'!$C$5:$C$32,'Bridge Table'!$E264),SUMIFS('Dermal Crosswalk'!$K$5:$K$32,'Dermal Crosswalk'!$A$5:$A$32,'Bridge Table'!$B264,'Dermal Crosswalk'!$C$5:$C$32,'Bridge Table'!$E264))),"--")</f>
        <v>6.3906909385693993</v>
      </c>
      <c r="M264" s="586">
        <f>IFERROR(IFERROR(VLOOKUP($D264,$Z$8:$AD$9,3,FALSE),0)/IF($D264="Inhalation",IF($K264="Central Tendency",SUMIFS('Inhalation Exposure'!$AB$4:$AB$61,'Inhalation Exposure'!$B$4:$B$61,$B264,'Inhalation Exposure'!$D$4:$D$61,$C264,'Inhalation Exposure'!$E$4:$E$61,$E264),SUMIFS('Inhalation Exposure'!$AA$4:$AA$61,'Inhalation Exposure'!$B$4:$B$61,$B264,'Inhalation Exposure'!$D$4:$D$61,$C264,'Inhalation Exposure'!$E$4:$E$61,$E264)),IF($K264="Central Tendency",SUMIFS('Dermal Crosswalk'!$S$5:$S$32,'Dermal Crosswalk'!$A$5:$A$32,'Bridge Table'!$B264,'Dermal Crosswalk'!$C$5:$C$32,'Bridge Table'!$E264),SUMIFS('Dermal Crosswalk'!$N$5:$N$32,'Dermal Crosswalk'!$A$5:$A$32,'Bridge Table'!$B264,'Dermal Crosswalk'!$C$5:$C$32,'Bridge Table'!$E264))),"--")</f>
        <v>27.663720289050406</v>
      </c>
      <c r="N264" s="586">
        <f>IFERROR(IFERROR(VLOOKUP($D264,$Z$8:$AD$9,4,FALSE),0)/IF($D264="Inhalation",IF($K264="Central Tendency",SUMIFS('Inhalation Exposure'!$R$4:$R$61,'Inhalation Exposure'!$B$4:$B$61,$B264,'Inhalation Exposure'!$D$4:$D$61,$C264,'Inhalation Exposure'!$E$4:$E$61,$E264),SUMIFS('Inhalation Exposure'!$Q$4:$Q$61,'Inhalation Exposure'!$B$4:$B$61,$B264,'Inhalation Exposure'!$D$4:$D$61,$C264,'Inhalation Exposure'!$E$4:$E$61,$E264)),IF($K264="Central Tendency",SUMIFS('Dermal Crosswalk'!$Q$5:$Q$32,'Dermal Crosswalk'!$A$5:$A$32,'Bridge Table'!$B264,'Dermal Crosswalk'!$C$5:$C$32,'Bridge Table'!$E264),SUMIFS('Dermal Crosswalk'!$L$5:$L$32,'Dermal Crosswalk'!$A$5:$A$32,'Bridge Table'!$B264,'Dermal Crosswalk'!$C$5:$C$32,'Bridge Table'!$E264))),"--")</f>
        <v>336.57526351677996</v>
      </c>
      <c r="O264" s="586">
        <f>IFERROR(IFERROR(VLOOKUP($D264,$Z$8:$AD$9,5,FALSE),0)*IF($D264="Inhalation",IF($K264="Central Tendency",SUMIFS('Inhalation Exposure'!$V$4:$V$61,'Inhalation Exposure'!$B$4:$B$61,$B264,'Inhalation Exposure'!$D$4:$D$61,$C264,'Inhalation Exposure'!$E$4:$E$61,$E264),SUMIFS('Inhalation Exposure'!$U$4:$U$61,'Inhalation Exposure'!$B$4:$B$61,$B264,'Inhalation Exposure'!$D$4:$D$61,$C264,'Inhalation Exposure'!$E$4:$E$61,$E264)),IF($K264="Central Tendency",SUMIFS('Dermal Crosswalk'!$R$5:$R$32,'Dermal Crosswalk'!$A$5:$A$32,'Bridge Table'!$B264,'Dermal Crosswalk'!$C$5:$C$32,'Bridge Table'!$E264),SUMIFS('Dermal Crosswalk'!$M$5:$M$32,'Dermal Crosswalk'!$A$5:$A$32,'Bridge Table'!$B264,'Dermal Crosswalk'!$C$5:$C$32,'Bridge Table'!$E264))),"--")</f>
        <v>7.8979363255180903E-5</v>
      </c>
      <c r="P264" s="382">
        <f>L264*U264</f>
        <v>31.953454692846996</v>
      </c>
      <c r="Q264" s="382">
        <f t="shared" ref="Q264" si="79">M264*V264</f>
        <v>138.31860144525203</v>
      </c>
      <c r="R264" s="382">
        <f t="shared" ref="R264" si="80">N264*W264</f>
        <v>1682.8763175838999</v>
      </c>
      <c r="S264" s="383">
        <f>O264/X264</f>
        <v>1.579587265103618E-5</v>
      </c>
      <c r="U264" s="378">
        <v>5</v>
      </c>
      <c r="V264" s="379">
        <v>5</v>
      </c>
      <c r="W264" s="379">
        <v>5</v>
      </c>
      <c r="X264" s="380">
        <v>5</v>
      </c>
    </row>
    <row r="265" spans="1:24" ht="15" thickBot="1" x14ac:dyDescent="0.35">
      <c r="A265" s="372"/>
      <c r="B265" s="360" t="s">
        <v>144</v>
      </c>
      <c r="C265" s="361" t="s">
        <v>25</v>
      </c>
      <c r="D265" s="361" t="s">
        <v>16</v>
      </c>
      <c r="E265" s="362" t="s">
        <v>24</v>
      </c>
      <c r="F265" s="589"/>
      <c r="G265" s="589"/>
      <c r="H265" s="589"/>
      <c r="I265" s="589"/>
      <c r="J265" s="589"/>
      <c r="K265" s="608"/>
      <c r="L265" s="587"/>
      <c r="M265" s="587"/>
      <c r="N265" s="587"/>
      <c r="O265" s="587"/>
      <c r="P265" s="373" t="str">
        <f>CONCATENATE("(PF ",U264,")")</f>
        <v>(PF 5)</v>
      </c>
      <c r="Q265" s="373" t="str">
        <f>CONCATENATE("(PF ",V264,")")</f>
        <v>(PF 5)</v>
      </c>
      <c r="R265" s="373" t="str">
        <f>CONCATENATE("(PF ",W264,")")</f>
        <v>(PF 5)</v>
      </c>
      <c r="S265" s="373" t="str">
        <f>CONCATENATE("(PF ",X264,")")</f>
        <v>(PF 5)</v>
      </c>
      <c r="U265" s="374" t="s">
        <v>119</v>
      </c>
      <c r="V265" s="375" t="s">
        <v>119</v>
      </c>
      <c r="W265" s="375" t="s">
        <v>119</v>
      </c>
      <c r="X265" s="376" t="s">
        <v>119</v>
      </c>
    </row>
    <row r="266" spans="1:24" ht="15.45" customHeight="1" thickBot="1" x14ac:dyDescent="0.35">
      <c r="A266" s="372"/>
      <c r="B266" s="360" t="s">
        <v>144</v>
      </c>
      <c r="C266" s="361" t="s">
        <v>25</v>
      </c>
      <c r="D266" s="361" t="s">
        <v>16</v>
      </c>
      <c r="E266" s="362" t="s">
        <v>24</v>
      </c>
      <c r="F266" s="589"/>
      <c r="G266" s="589"/>
      <c r="H266" s="589"/>
      <c r="I266" s="589"/>
      <c r="J266" s="589"/>
      <c r="K266" s="584" t="s">
        <v>88</v>
      </c>
      <c r="L266" s="586">
        <f>IFERROR(IFERROR(VLOOKUP($D266,$Z$8:$AD$9,2,FALSE),0)/IF($D266="Inhalation",IF($K266="Central Tendency",SUMIFS('Inhalation Exposure'!$N$4:$N$61,'Inhalation Exposure'!$B$4:$B$61,$B266,'Inhalation Exposure'!$D$4:$D$61,$C266,'Inhalation Exposure'!$E$4:$E$61,$E266),SUMIFS('Inhalation Exposure'!$M$4:$M$61,'Inhalation Exposure'!$B$4:$B$61,$B266,'Inhalation Exposure'!$D$4:$D$61,$C266,'Inhalation Exposure'!$E$4:$E$61,$E266)),IF($K266="Central Tendency",SUMIFS('Dermal Crosswalk'!$P$5:$P$32,'Dermal Crosswalk'!$A$5:$A$32,'Bridge Table'!$B266,'Dermal Crosswalk'!$C$5:$C$32,'Bridge Table'!$E266),SUMIFS('Dermal Crosswalk'!$K$5:$K$32,'Dermal Crosswalk'!$A$5:$A$32,'Bridge Table'!$B266,'Dermal Crosswalk'!$C$5:$C$32,'Bridge Table'!$E266))),"--")</f>
        <v>1.1788653187652289</v>
      </c>
      <c r="M266" s="586">
        <f>IFERROR(IFERROR(VLOOKUP($D266,$Z$8:$AD$9,3,FALSE),0)/IF($D266="Inhalation",IF($K266="Central Tendency",SUMIFS('Inhalation Exposure'!$AB$4:$AB$61,'Inhalation Exposure'!$B$4:$B$61,$B266,'Inhalation Exposure'!$D$4:$D$61,$C266,'Inhalation Exposure'!$E$4:$E$61,$E266),SUMIFS('Inhalation Exposure'!$AA$4:$AA$61,'Inhalation Exposure'!$B$4:$B$61,$B266,'Inhalation Exposure'!$D$4:$D$61,$C266,'Inhalation Exposure'!$E$4:$E$61,$E266)),IF($K266="Central Tendency",SUMIFS('Dermal Crosswalk'!$S$5:$S$32,'Dermal Crosswalk'!$A$5:$A$32,'Bridge Table'!$B266,'Dermal Crosswalk'!$C$5:$C$32,'Bridge Table'!$E266),SUMIFS('Dermal Crosswalk'!$N$5:$N$32,'Dermal Crosswalk'!$A$5:$A$32,'Bridge Table'!$B266,'Dermal Crosswalk'!$C$5:$C$32,'Bridge Table'!$E266))),"--")</f>
        <v>5.1030163639995898</v>
      </c>
      <c r="N266" s="586">
        <f>IFERROR(IFERROR(VLOOKUP($D266,$Z$8:$AD$9,4,FALSE),0)/IF($D266="Inhalation",IF($K266="Central Tendency",SUMIFS('Inhalation Exposure'!$R$4:$R$61,'Inhalation Exposure'!$B$4:$B$61,$B266,'Inhalation Exposure'!$D$4:$D$61,$C266,'Inhalation Exposure'!$E$4:$E$61,$E266),SUMIFS('Inhalation Exposure'!$Q$4:$Q$61,'Inhalation Exposure'!$B$4:$B$61,$B266,'Inhalation Exposure'!$D$4:$D$61,$C266,'Inhalation Exposure'!$E$4:$E$61,$E266)),IF($K266="Central Tendency",SUMIFS('Dermal Crosswalk'!$Q$5:$Q$32,'Dermal Crosswalk'!$A$5:$A$32,'Bridge Table'!$B266,'Dermal Crosswalk'!$C$5:$C$32,'Bridge Table'!$E266),SUMIFS('Dermal Crosswalk'!$L$5:$L$32,'Dermal Crosswalk'!$A$5:$A$32,'Bridge Table'!$B266,'Dermal Crosswalk'!$C$5:$C$32,'Bridge Table'!$E266))),"--")</f>
        <v>62.086699095328342</v>
      </c>
      <c r="O266" s="586">
        <f>IFERROR(IFERROR(VLOOKUP($D266,$Z$8:$AD$9,5,FALSE),0)*IF($D266="Inhalation",IF($K266="Central Tendency",SUMIFS('Inhalation Exposure'!$V$4:$V$61,'Inhalation Exposure'!$B$4:$B$61,$B266,'Inhalation Exposure'!$D$4:$D$61,$C266,'Inhalation Exposure'!$E$4:$E$61,$E266),SUMIFS('Inhalation Exposure'!$U$4:$U$61,'Inhalation Exposure'!$B$4:$B$61,$B266,'Inhalation Exposure'!$D$4:$D$61,$C266,'Inhalation Exposure'!$E$4:$E$61,$E266)),IF($K266="Central Tendency",SUMIFS('Dermal Crosswalk'!$R$5:$R$32,'Dermal Crosswalk'!$A$5:$A$32,'Bridge Table'!$B266,'Dermal Crosswalk'!$C$5:$C$32,'Bridge Table'!$E266),SUMIFS('Dermal Crosswalk'!$M$5:$M$32,'Dermal Crosswalk'!$A$5:$A$32,'Bridge Table'!$B266,'Dermal Crosswalk'!$C$5:$C$32,'Bridge Table'!$E266))),"--")</f>
        <v>5.5245327098700384E-4</v>
      </c>
      <c r="P266" s="382">
        <f>L266*U266</f>
        <v>5.8943265938261451</v>
      </c>
      <c r="Q266" s="382">
        <f t="shared" ref="Q266" si="81">M266*V266</f>
        <v>25.515081819997949</v>
      </c>
      <c r="R266" s="382">
        <f t="shared" ref="R266" si="82">N266*W266</f>
        <v>310.43349547664172</v>
      </c>
      <c r="S266" s="383">
        <f>O266/X266</f>
        <v>1.1049065419740077E-4</v>
      </c>
      <c r="U266" s="378">
        <v>5</v>
      </c>
      <c r="V266" s="379">
        <v>5</v>
      </c>
      <c r="W266" s="379">
        <v>5</v>
      </c>
      <c r="X266" s="380">
        <v>5</v>
      </c>
    </row>
    <row r="267" spans="1:24" ht="15" thickBot="1" x14ac:dyDescent="0.35">
      <c r="A267" s="372"/>
      <c r="B267" s="360" t="s">
        <v>144</v>
      </c>
      <c r="C267" s="361" t="s">
        <v>25</v>
      </c>
      <c r="D267" s="361" t="s">
        <v>16</v>
      </c>
      <c r="E267" s="362" t="s">
        <v>24</v>
      </c>
      <c r="F267" s="589"/>
      <c r="G267" s="589"/>
      <c r="H267" s="589"/>
      <c r="I267" s="590"/>
      <c r="J267" s="590"/>
      <c r="K267" s="588"/>
      <c r="L267" s="587"/>
      <c r="M267" s="587"/>
      <c r="N267" s="587"/>
      <c r="O267" s="587"/>
      <c r="P267" s="373" t="str">
        <f>CONCATENATE("(PF ",U266,")")</f>
        <v>(PF 5)</v>
      </c>
      <c r="Q267" s="373" t="str">
        <f>CONCATENATE("(PF ",V266,")")</f>
        <v>(PF 5)</v>
      </c>
      <c r="R267" s="373" t="str">
        <f>CONCATENATE("(PF ",W266,")")</f>
        <v>(PF 5)</v>
      </c>
      <c r="S267" s="373" t="str">
        <f>CONCATENATE("(PF ",X266,")")</f>
        <v>(PF 5)</v>
      </c>
      <c r="U267" s="374" t="s">
        <v>119</v>
      </c>
      <c r="V267" s="375" t="s">
        <v>119</v>
      </c>
      <c r="W267" s="375" t="s">
        <v>119</v>
      </c>
      <c r="X267" s="376" t="s">
        <v>119</v>
      </c>
    </row>
    <row r="268" spans="1:24" ht="15.6" customHeight="1" thickTop="1" thickBot="1" x14ac:dyDescent="0.35">
      <c r="A268" s="372"/>
      <c r="B268" s="360" t="s">
        <v>144</v>
      </c>
      <c r="C268" s="361" t="s">
        <v>25</v>
      </c>
      <c r="D268" s="361" t="s">
        <v>16</v>
      </c>
      <c r="E268" s="362" t="s">
        <v>117</v>
      </c>
      <c r="F268" s="589"/>
      <c r="G268" s="589"/>
      <c r="H268" s="589"/>
      <c r="I268" s="609" t="s">
        <v>25</v>
      </c>
      <c r="J268" s="609" t="s">
        <v>16</v>
      </c>
      <c r="K268" s="607" t="s">
        <v>54</v>
      </c>
      <c r="L268" s="586">
        <f>IFERROR(IFERROR(VLOOKUP($D268,$Z$8:$AD$9,2,FALSE),0)/IF($D268="Inhalation",IF($K268="Central Tendency",SUMIFS('Inhalation Exposure'!$N$4:$N$61,'Inhalation Exposure'!$B$4:$B$61,$B268,'Inhalation Exposure'!$D$4:$D$61,$C268,'Inhalation Exposure'!$E$4:$E$61,$E268),SUMIFS('Inhalation Exposure'!$M$4:$M$61,'Inhalation Exposure'!$B$4:$B$61,$B268,'Inhalation Exposure'!$D$4:$D$61,$C268,'Inhalation Exposure'!$E$4:$E$61,$E268)),IF($K268="Central Tendency",SUMIFS('Dermal Crosswalk'!$P$5:$P$32,'Dermal Crosswalk'!$A$5:$A$32,'Bridge Table'!$B268,'Dermal Crosswalk'!$C$5:$C$32,'Bridge Table'!$E268),SUMIFS('Dermal Crosswalk'!$K$5:$K$32,'Dermal Crosswalk'!$A$5:$A$32,'Bridge Table'!$B268,'Dermal Crosswalk'!$C$5:$C$32,'Bridge Table'!$E268))),"--")</f>
        <v>6.3906909385693993</v>
      </c>
      <c r="M268" s="586">
        <f>IFERROR(IFERROR(VLOOKUP($D268,$Z$8:$AD$9,3,FALSE),0)/IF($D268="Inhalation",IF($K268="Central Tendency",SUMIFS('Inhalation Exposure'!$AB$4:$AB$61,'Inhalation Exposure'!$B$4:$B$61,$B268,'Inhalation Exposure'!$D$4:$D$61,$C268,'Inhalation Exposure'!$E$4:$E$61,$E268),SUMIFS('Inhalation Exposure'!$AA$4:$AA$61,'Inhalation Exposure'!$B$4:$B$61,$B268,'Inhalation Exposure'!$D$4:$D$61,$C268,'Inhalation Exposure'!$E$4:$E$61,$E268)),IF($K268="Central Tendency",SUMIFS('Dermal Crosswalk'!$S$5:$S$32,'Dermal Crosswalk'!$A$5:$A$32,'Bridge Table'!$B268,'Dermal Crosswalk'!$C$5:$C$32,'Bridge Table'!$E268),SUMIFS('Dermal Crosswalk'!$N$5:$N$32,'Dermal Crosswalk'!$A$5:$A$32,'Bridge Table'!$B268,'Dermal Crosswalk'!$C$5:$C$32,'Bridge Table'!$E268))),"--")</f>
        <v>27.663720289050406</v>
      </c>
      <c r="N268" s="586">
        <f>IFERROR(IFERROR(VLOOKUP($D268,$Z$8:$AD$9,4,FALSE),0)/IF($D268="Inhalation",IF($K268="Central Tendency",SUMIFS('Inhalation Exposure'!$R$4:$R$61,'Inhalation Exposure'!$B$4:$B$61,$B268,'Inhalation Exposure'!$D$4:$D$61,$C268,'Inhalation Exposure'!$E$4:$E$61,$E268),SUMIFS('Inhalation Exposure'!$Q$4:$Q$61,'Inhalation Exposure'!$B$4:$B$61,$B268,'Inhalation Exposure'!$D$4:$D$61,$C268,'Inhalation Exposure'!$E$4:$E$61,$E268)),IF($K268="Central Tendency",SUMIFS('Dermal Crosswalk'!$Q$5:$Q$32,'Dermal Crosswalk'!$A$5:$A$32,'Bridge Table'!$B268,'Dermal Crosswalk'!$C$5:$C$32,'Bridge Table'!$E268),SUMIFS('Dermal Crosswalk'!$L$5:$L$32,'Dermal Crosswalk'!$A$5:$A$32,'Bridge Table'!$B268,'Dermal Crosswalk'!$C$5:$C$32,'Bridge Table'!$E268))),"--")</f>
        <v>336.57526351677996</v>
      </c>
      <c r="O268" s="586">
        <f>IFERROR(IFERROR(VLOOKUP($D268,$Z$8:$AD$9,5,FALSE),0)*IF($D268="Inhalation",IF($K268="Central Tendency",SUMIFS('Inhalation Exposure'!$V$4:$V$61,'Inhalation Exposure'!$B$4:$B$61,$B268,'Inhalation Exposure'!$D$4:$D$61,$C268,'Inhalation Exposure'!$E$4:$E$61,$E268),SUMIFS('Inhalation Exposure'!$U$4:$U$61,'Inhalation Exposure'!$B$4:$B$61,$B268,'Inhalation Exposure'!$D$4:$D$61,$C268,'Inhalation Exposure'!$E$4:$E$61,$E268)),IF($K268="Central Tendency",SUMIFS('Dermal Crosswalk'!$R$5:$R$32,'Dermal Crosswalk'!$A$5:$A$32,'Bridge Table'!$B268,'Dermal Crosswalk'!$C$5:$C$32,'Bridge Table'!$E268),SUMIFS('Dermal Crosswalk'!$M$5:$M$32,'Dermal Crosswalk'!$A$5:$A$32,'Bridge Table'!$B268,'Dermal Crosswalk'!$C$5:$C$32,'Bridge Table'!$E268))),"--")</f>
        <v>7.8979363255180903E-5</v>
      </c>
      <c r="P268" s="382">
        <f>L268*U268</f>
        <v>31.953454692846996</v>
      </c>
      <c r="Q268" s="382">
        <f t="shared" ref="Q268" si="83">M268*V268</f>
        <v>138.31860144525203</v>
      </c>
      <c r="R268" s="382">
        <f t="shared" ref="R268" si="84">N268*W268</f>
        <v>1682.8763175838999</v>
      </c>
      <c r="S268" s="383">
        <f>O268/X268</f>
        <v>1.579587265103618E-5</v>
      </c>
      <c r="U268" s="378">
        <v>5</v>
      </c>
      <c r="V268" s="379">
        <v>5</v>
      </c>
      <c r="W268" s="379">
        <v>5</v>
      </c>
      <c r="X268" s="380">
        <v>5</v>
      </c>
    </row>
    <row r="269" spans="1:24" ht="15" thickBot="1" x14ac:dyDescent="0.35">
      <c r="A269" s="372"/>
      <c r="B269" s="360" t="s">
        <v>144</v>
      </c>
      <c r="C269" s="361" t="s">
        <v>25</v>
      </c>
      <c r="D269" s="361" t="s">
        <v>16</v>
      </c>
      <c r="E269" s="362" t="s">
        <v>117</v>
      </c>
      <c r="F269" s="589"/>
      <c r="G269" s="589"/>
      <c r="H269" s="589"/>
      <c r="I269" s="589"/>
      <c r="J269" s="589"/>
      <c r="K269" s="608"/>
      <c r="L269" s="587"/>
      <c r="M269" s="587"/>
      <c r="N269" s="587"/>
      <c r="O269" s="587"/>
      <c r="P269" s="373" t="str">
        <f>CONCATENATE("(PF ",U268,")")</f>
        <v>(PF 5)</v>
      </c>
      <c r="Q269" s="373" t="str">
        <f>CONCATENATE("(PF ",V268,")")</f>
        <v>(PF 5)</v>
      </c>
      <c r="R269" s="373" t="str">
        <f>CONCATENATE("(PF ",W268,")")</f>
        <v>(PF 5)</v>
      </c>
      <c r="S269" s="373" t="str">
        <f>CONCATENATE("(PF ",X268,")")</f>
        <v>(PF 5)</v>
      </c>
      <c r="U269" s="374" t="s">
        <v>119</v>
      </c>
      <c r="V269" s="375" t="s">
        <v>119</v>
      </c>
      <c r="W269" s="375" t="s">
        <v>119</v>
      </c>
      <c r="X269" s="376" t="s">
        <v>119</v>
      </c>
    </row>
    <row r="270" spans="1:24" ht="15" thickBot="1" x14ac:dyDescent="0.35">
      <c r="A270" s="372"/>
      <c r="B270" s="360" t="s">
        <v>144</v>
      </c>
      <c r="C270" s="361" t="s">
        <v>25</v>
      </c>
      <c r="D270" s="361" t="s">
        <v>16</v>
      </c>
      <c r="E270" s="362" t="s">
        <v>117</v>
      </c>
      <c r="F270" s="589"/>
      <c r="G270" s="589"/>
      <c r="H270" s="589"/>
      <c r="I270" s="589"/>
      <c r="J270" s="589"/>
      <c r="K270" s="584" t="s">
        <v>88</v>
      </c>
      <c r="L270" s="586">
        <f>IFERROR(IFERROR(VLOOKUP($D270,$Z$8:$AD$9,2,FALSE),0)/IF($D270="Inhalation",IF($K270="Central Tendency",SUMIFS('Inhalation Exposure'!$N$4:$N$61,'Inhalation Exposure'!$B$4:$B$61,$B270,'Inhalation Exposure'!$D$4:$D$61,$C270,'Inhalation Exposure'!$E$4:$E$61,$E270),SUMIFS('Inhalation Exposure'!$M$4:$M$61,'Inhalation Exposure'!$B$4:$B$61,$B270,'Inhalation Exposure'!$D$4:$D$61,$C270,'Inhalation Exposure'!$E$4:$E$61,$E270)),IF($K270="Central Tendency",SUMIFS('Dermal Crosswalk'!$P$5:$P$32,'Dermal Crosswalk'!$A$5:$A$32,'Bridge Table'!$B270,'Dermal Crosswalk'!$C$5:$C$32,'Bridge Table'!$E270),SUMIFS('Dermal Crosswalk'!$K$5:$K$32,'Dermal Crosswalk'!$A$5:$A$32,'Bridge Table'!$B270,'Dermal Crosswalk'!$C$5:$C$32,'Bridge Table'!$E270))),"--")</f>
        <v>1.1788653187652289</v>
      </c>
      <c r="M270" s="586">
        <f>IFERROR(IFERROR(VLOOKUP($D270,$Z$8:$AD$9,3,FALSE),0)/IF($D270="Inhalation",IF($K270="Central Tendency",SUMIFS('Inhalation Exposure'!$AB$4:$AB$61,'Inhalation Exposure'!$B$4:$B$61,$B270,'Inhalation Exposure'!$D$4:$D$61,$C270,'Inhalation Exposure'!$E$4:$E$61,$E270),SUMIFS('Inhalation Exposure'!$AA$4:$AA$61,'Inhalation Exposure'!$B$4:$B$61,$B270,'Inhalation Exposure'!$D$4:$D$61,$C270,'Inhalation Exposure'!$E$4:$E$61,$E270)),IF($K270="Central Tendency",SUMIFS('Dermal Crosswalk'!$S$5:$S$32,'Dermal Crosswalk'!$A$5:$A$32,'Bridge Table'!$B270,'Dermal Crosswalk'!$C$5:$C$32,'Bridge Table'!$E270),SUMIFS('Dermal Crosswalk'!$N$5:$N$32,'Dermal Crosswalk'!$A$5:$A$32,'Bridge Table'!$B270,'Dermal Crosswalk'!$C$5:$C$32,'Bridge Table'!$E270))),"--")</f>
        <v>5.1030163639995898</v>
      </c>
      <c r="N270" s="586">
        <f>IFERROR(IFERROR(VLOOKUP($D270,$Z$8:$AD$9,4,FALSE),0)/IF($D270="Inhalation",IF($K270="Central Tendency",SUMIFS('Inhalation Exposure'!$R$4:$R$61,'Inhalation Exposure'!$B$4:$B$61,$B270,'Inhalation Exposure'!$D$4:$D$61,$C270,'Inhalation Exposure'!$E$4:$E$61,$E270),SUMIFS('Inhalation Exposure'!$Q$4:$Q$61,'Inhalation Exposure'!$B$4:$B$61,$B270,'Inhalation Exposure'!$D$4:$D$61,$C270,'Inhalation Exposure'!$E$4:$E$61,$E270)),IF($K270="Central Tendency",SUMIFS('Dermal Crosswalk'!$Q$5:$Q$32,'Dermal Crosswalk'!$A$5:$A$32,'Bridge Table'!$B270,'Dermal Crosswalk'!$C$5:$C$32,'Bridge Table'!$E270),SUMIFS('Dermal Crosswalk'!$L$5:$L$32,'Dermal Crosswalk'!$A$5:$A$32,'Bridge Table'!$B270,'Dermal Crosswalk'!$C$5:$C$32,'Bridge Table'!$E270))),"--")</f>
        <v>62.086699095328342</v>
      </c>
      <c r="O270" s="586">
        <f>IFERROR(IFERROR(VLOOKUP($D270,$Z$8:$AD$9,5,FALSE),0)*IF($D270="Inhalation",IF($K270="Central Tendency",SUMIFS('Inhalation Exposure'!$V$4:$V$61,'Inhalation Exposure'!$B$4:$B$61,$B270,'Inhalation Exposure'!$D$4:$D$61,$C270,'Inhalation Exposure'!$E$4:$E$61,$E270),SUMIFS('Inhalation Exposure'!$U$4:$U$61,'Inhalation Exposure'!$B$4:$B$61,$B270,'Inhalation Exposure'!$D$4:$D$61,$C270,'Inhalation Exposure'!$E$4:$E$61,$E270)),IF($K270="Central Tendency",SUMIFS('Dermal Crosswalk'!$R$5:$R$32,'Dermal Crosswalk'!$A$5:$A$32,'Bridge Table'!$B270,'Dermal Crosswalk'!$C$5:$C$32,'Bridge Table'!$E270),SUMIFS('Dermal Crosswalk'!$M$5:$M$32,'Dermal Crosswalk'!$A$5:$A$32,'Bridge Table'!$B270,'Dermal Crosswalk'!$C$5:$C$32,'Bridge Table'!$E270))),"--")</f>
        <v>5.5245327098700384E-4</v>
      </c>
      <c r="P270" s="363">
        <f>L270*U270</f>
        <v>5.8943265938261451</v>
      </c>
      <c r="Q270" s="363">
        <f t="shared" ref="Q270" si="85">M270*V270</f>
        <v>25.515081819997949</v>
      </c>
      <c r="R270" s="363">
        <f t="shared" ref="R270" si="86">N270*W270</f>
        <v>310.43349547664172</v>
      </c>
      <c r="S270" s="364">
        <f>O270/X270</f>
        <v>1.1049065419740077E-4</v>
      </c>
      <c r="U270" s="378">
        <v>5</v>
      </c>
      <c r="V270" s="379">
        <v>5</v>
      </c>
      <c r="W270" s="379">
        <v>5</v>
      </c>
      <c r="X270" s="380">
        <v>5</v>
      </c>
    </row>
    <row r="271" spans="1:24" ht="15" thickBot="1" x14ac:dyDescent="0.35">
      <c r="A271" s="372"/>
      <c r="B271" s="360" t="s">
        <v>144</v>
      </c>
      <c r="C271" s="361" t="s">
        <v>25</v>
      </c>
      <c r="D271" s="361" t="s">
        <v>16</v>
      </c>
      <c r="E271" s="362" t="s">
        <v>117</v>
      </c>
      <c r="F271" s="589"/>
      <c r="G271" s="589"/>
      <c r="H271" s="587"/>
      <c r="I271" s="587"/>
      <c r="J271" s="587"/>
      <c r="K271" s="585"/>
      <c r="L271" s="587"/>
      <c r="M271" s="587"/>
      <c r="N271" s="587"/>
      <c r="O271" s="587"/>
      <c r="P271" s="373" t="str">
        <f>CONCATENATE("(PF ",U270,")")</f>
        <v>(PF 5)</v>
      </c>
      <c r="Q271" s="373" t="str">
        <f>CONCATENATE("(PF ",V270,")")</f>
        <v>(PF 5)</v>
      </c>
      <c r="R271" s="373" t="str">
        <f>CONCATENATE("(PF ",W270,")")</f>
        <v>(PF 5)</v>
      </c>
      <c r="S271" s="373" t="str">
        <f>CONCATENATE("(PF ",X270,")")</f>
        <v>(PF 5)</v>
      </c>
      <c r="U271" s="384" t="s">
        <v>119</v>
      </c>
      <c r="V271" s="385" t="s">
        <v>119</v>
      </c>
      <c r="W271" s="385" t="s">
        <v>119</v>
      </c>
      <c r="X271" s="386" t="s">
        <v>119</v>
      </c>
    </row>
    <row r="272" spans="1:24" ht="15" customHeight="1" thickBot="1" x14ac:dyDescent="0.35">
      <c r="A272" s="372"/>
      <c r="B272" s="360" t="s">
        <v>146</v>
      </c>
      <c r="C272" s="361" t="s">
        <v>25</v>
      </c>
      <c r="D272" s="361" t="s">
        <v>111</v>
      </c>
      <c r="E272" s="362" t="s">
        <v>24</v>
      </c>
      <c r="F272" s="589"/>
      <c r="G272" s="589"/>
      <c r="H272" s="586" t="s">
        <v>147</v>
      </c>
      <c r="I272" s="586" t="s">
        <v>25</v>
      </c>
      <c r="J272" s="586" t="s">
        <v>115</v>
      </c>
      <c r="K272" s="584" t="s">
        <v>54</v>
      </c>
      <c r="L272" s="586">
        <f>IFERROR(IFERROR(VLOOKUP($D272,$Z$8:$AD$9,2,FALSE),0)/IF($D272="Inhalation",IF($K272="Central Tendency",SUMIFS('Inhalation Exposure'!$N$4:$N$61,'Inhalation Exposure'!$B$4:$B$61,$B272,'Inhalation Exposure'!$D$4:$D$61,$C272,'Inhalation Exposure'!$E$4:$E$61,$E272),SUMIFS('Inhalation Exposure'!$M$4:$M$61,'Inhalation Exposure'!$B$4:$B$61,$B272,'Inhalation Exposure'!$D$4:$D$61,$C272,'Inhalation Exposure'!$E$4:$E$61,$E272)),IF($K272="Central Tendency",SUMIFS('Dermal Crosswalk'!$P$5:$P$32,'Dermal Crosswalk'!$A$5:$A$32,'Bridge Table'!$B272,'Dermal Crosswalk'!$C$5:$C$32,'Bridge Table'!$E272),SUMIFS('Dermal Crosswalk'!$K$5:$K$32,'Dermal Crosswalk'!$A$5:$A$32,'Bridge Table'!$B272,'Dermal Crosswalk'!$C$5:$C$32,'Bridge Table'!$E272))),"--")</f>
        <v>89.591715976331344</v>
      </c>
      <c r="M272" s="586">
        <f>IFERROR(IFERROR(VLOOKUP($D272,$Z$8:$AD$9,3,FALSE),0)/IF($D272="Inhalation",IF($K272="Central Tendency",SUMIFS('Inhalation Exposure'!$AB$4:$AB$61,'Inhalation Exposure'!$B$4:$B$61,$B272,'Inhalation Exposure'!$D$4:$D$61,$C272,'Inhalation Exposure'!$E$4:$E$61,$E272),SUMIFS('Inhalation Exposure'!$AA$4:$AA$61,'Inhalation Exposure'!$B$4:$B$61,$B272,'Inhalation Exposure'!$D$4:$D$61,$C272,'Inhalation Exposure'!$E$4:$E$61,$E272)),IF($K272="Central Tendency",SUMIFS('Dermal Crosswalk'!$S$5:$S$32,'Dermal Crosswalk'!$A$5:$A$32,'Bridge Table'!$B272,'Dermal Crosswalk'!$C$5:$C$32,'Bridge Table'!$E272),SUMIFS('Dermal Crosswalk'!$N$5:$N$32,'Dermal Crosswalk'!$A$5:$A$32,'Bridge Table'!$B272,'Dermal Crosswalk'!$C$5:$C$32,'Bridge Table'!$E272))),"--")</f>
        <v>35.346422807961268</v>
      </c>
      <c r="N272" s="586">
        <f>IFERROR(IFERROR(VLOOKUP($D272,$Z$8:$AD$9,4,FALSE),0)/IF($D272="Inhalation",IF($K272="Central Tendency",SUMIFS('Inhalation Exposure'!$R$4:$R$61,'Inhalation Exposure'!$B$4:$B$61,$B272,'Inhalation Exposure'!$D$4:$D$61,$C272,'Inhalation Exposure'!$E$4:$E$61,$E272),SUMIFS('Inhalation Exposure'!$Q$4:$Q$61,'Inhalation Exposure'!$B$4:$B$61,$B272,'Inhalation Exposure'!$D$4:$D$61,$C272,'Inhalation Exposure'!$E$4:$E$61,$E272)),IF($K272="Central Tendency",SUMIFS('Dermal Crosswalk'!$Q$5:$Q$32,'Dermal Crosswalk'!$A$5:$A$32,'Bridge Table'!$B272,'Dermal Crosswalk'!$C$5:$C$32,'Bridge Table'!$E272),SUMIFS('Dermal Crosswalk'!$L$5:$L$32,'Dermal Crosswalk'!$A$5:$A$32,'Bridge Table'!$B272,'Dermal Crosswalk'!$C$5:$C$32,'Bridge Table'!$E272))),"--")</f>
        <v>37.844236686390531</v>
      </c>
      <c r="O272" s="586">
        <f>IFERROR(IFERROR(VLOOKUP($D272,$Z$8:$AD$9,5,FALSE),0)*IF($D272="Inhalation",IF($K272="Central Tendency",SUMIFS('Inhalation Exposure'!$V$4:$V$61,'Inhalation Exposure'!$B$4:$B$61,$B272,'Inhalation Exposure'!$D$4:$D$61,$C272,'Inhalation Exposure'!$E$4:$E$61,$E272),SUMIFS('Inhalation Exposure'!$U$4:$U$61,'Inhalation Exposure'!$B$4:$B$61,$B272,'Inhalation Exposure'!$D$4:$D$61,$C272,'Inhalation Exposure'!$E$4:$E$61,$E272)),IF($K272="Central Tendency",SUMIFS('Dermal Crosswalk'!$R$5:$R$32,'Dermal Crosswalk'!$A$5:$A$32,'Bridge Table'!$B272,'Dermal Crosswalk'!$C$5:$C$32,'Bridge Table'!$E272),SUMIFS('Dermal Crosswalk'!$M$5:$M$32,'Dermal Crosswalk'!$A$5:$A$32,'Bridge Table'!$B272,'Dermal Crosswalk'!$C$5:$C$32,'Bridge Table'!$E272))),"--")</f>
        <v>7.0571630478675487E-4</v>
      </c>
      <c r="P272" s="363">
        <f>IFERROR(L272*U272,"Not Assessed")</f>
        <v>895.91715976331341</v>
      </c>
      <c r="Q272" s="363">
        <f>IFERROR(M272*V272,"Not Assessed")</f>
        <v>353.46422807961267</v>
      </c>
      <c r="R272" s="363">
        <f>IFERROR(N272*W272,"Not Assessed")</f>
        <v>378.44236686390531</v>
      </c>
      <c r="S272" s="364">
        <f>IFERROR(O272/X272, "Not Assessed")</f>
        <v>7.0571630478675492E-5</v>
      </c>
      <c r="U272" s="365">
        <v>10</v>
      </c>
      <c r="V272" s="366">
        <v>10</v>
      </c>
      <c r="W272" s="366">
        <v>10</v>
      </c>
      <c r="X272" s="367">
        <v>10</v>
      </c>
    </row>
    <row r="273" spans="1:24" ht="15" thickBot="1" x14ac:dyDescent="0.35">
      <c r="A273" s="372"/>
      <c r="B273" s="360" t="s">
        <v>146</v>
      </c>
      <c r="C273" s="361" t="s">
        <v>25</v>
      </c>
      <c r="D273" s="361" t="s">
        <v>111</v>
      </c>
      <c r="E273" s="362" t="s">
        <v>24</v>
      </c>
      <c r="F273" s="589"/>
      <c r="G273" s="589"/>
      <c r="H273" s="589"/>
      <c r="I273" s="589"/>
      <c r="J273" s="589"/>
      <c r="K273" s="585"/>
      <c r="L273" s="587"/>
      <c r="M273" s="587"/>
      <c r="N273" s="587"/>
      <c r="O273" s="587"/>
      <c r="P273" s="373" t="str">
        <f>CONCATENATE("(APF ",U272,")")</f>
        <v>(APF 10)</v>
      </c>
      <c r="Q273" s="373" t="str">
        <f>CONCATENATE("(APF ",V272,")")</f>
        <v>(APF 10)</v>
      </c>
      <c r="R273" s="373" t="str">
        <f>CONCATENATE("(APF ",W272,")")</f>
        <v>(APF 10)</v>
      </c>
      <c r="S273" s="373" t="str">
        <f>CONCATENATE("(APF ",X272,")")</f>
        <v>(APF 10)</v>
      </c>
      <c r="U273" s="374" t="s">
        <v>116</v>
      </c>
      <c r="V273" s="375" t="s">
        <v>116</v>
      </c>
      <c r="W273" s="375" t="s">
        <v>116</v>
      </c>
      <c r="X273" s="376" t="s">
        <v>116</v>
      </c>
    </row>
    <row r="274" spans="1:24" ht="15" thickBot="1" x14ac:dyDescent="0.35">
      <c r="A274" s="372"/>
      <c r="B274" s="360" t="s">
        <v>146</v>
      </c>
      <c r="C274" s="361" t="s">
        <v>25</v>
      </c>
      <c r="D274" s="361" t="s">
        <v>111</v>
      </c>
      <c r="E274" s="362" t="s">
        <v>24</v>
      </c>
      <c r="F274" s="589"/>
      <c r="G274" s="589"/>
      <c r="H274" s="589"/>
      <c r="I274" s="589"/>
      <c r="J274" s="589"/>
      <c r="K274" s="584" t="s">
        <v>88</v>
      </c>
      <c r="L274" s="586">
        <f>IFERROR(IFERROR(VLOOKUP($D274,$Z$8:$AD$9,2,FALSE),0)/IF($D274="Inhalation",IF($K274="Central Tendency",SUMIFS('Inhalation Exposure'!$N$4:$N$61,'Inhalation Exposure'!$B$4:$B$61,$B274,'Inhalation Exposure'!$D$4:$D$61,$C274,'Inhalation Exposure'!$E$4:$E$61,$E274),SUMIFS('Inhalation Exposure'!$M$4:$M$61,'Inhalation Exposure'!$B$4:$B$61,$B274,'Inhalation Exposure'!$D$4:$D$61,$C274,'Inhalation Exposure'!$E$4:$E$61,$E274)),IF($K274="Central Tendency",SUMIFS('Dermal Crosswalk'!$P$5:$P$32,'Dermal Crosswalk'!$A$5:$A$32,'Bridge Table'!$B274,'Dermal Crosswalk'!$C$5:$C$32,'Bridge Table'!$E274),SUMIFS('Dermal Crosswalk'!$K$5:$K$32,'Dermal Crosswalk'!$A$5:$A$32,'Bridge Table'!$B274,'Dermal Crosswalk'!$C$5:$C$32,'Bridge Table'!$E274))),"--")</f>
        <v>13.702262443438913</v>
      </c>
      <c r="M274" s="586">
        <f>IFERROR(IFERROR(VLOOKUP($D274,$Z$8:$AD$9,3,FALSE),0)/IF($D274="Inhalation",IF($K274="Central Tendency",SUMIFS('Inhalation Exposure'!$AB$4:$AB$61,'Inhalation Exposure'!$B$4:$B$61,$B274,'Inhalation Exposure'!$D$4:$D$61,$C274,'Inhalation Exposure'!$E$4:$E$61,$E274),SUMIFS('Inhalation Exposure'!$AA$4:$AA$61,'Inhalation Exposure'!$B$4:$B$61,$B274,'Inhalation Exposure'!$D$4:$D$61,$C274,'Inhalation Exposure'!$E$4:$E$61,$E274)),IF($K274="Central Tendency",SUMIFS('Dermal Crosswalk'!$S$5:$S$32,'Dermal Crosswalk'!$A$5:$A$32,'Bridge Table'!$B274,'Dermal Crosswalk'!$C$5:$C$32,'Bridge Table'!$E274),SUMIFS('Dermal Crosswalk'!$N$5:$N$32,'Dermal Crosswalk'!$A$5:$A$32,'Bridge Table'!$B274,'Dermal Crosswalk'!$C$5:$C$32,'Bridge Table'!$E274))),"--")</f>
        <v>5.4059234882764287</v>
      </c>
      <c r="N274" s="586">
        <f>IFERROR(IFERROR(VLOOKUP($D274,$Z$8:$AD$9,4,FALSE),0)/IF($D274="Inhalation",IF($K274="Central Tendency",SUMIFS('Inhalation Exposure'!$R$4:$R$61,'Inhalation Exposure'!$B$4:$B$61,$B274,'Inhalation Exposure'!$D$4:$D$61,$C274,'Inhalation Exposure'!$E$4:$E$61,$E274),SUMIFS('Inhalation Exposure'!$Q$4:$Q$61,'Inhalation Exposure'!$B$4:$B$61,$B274,'Inhalation Exposure'!$D$4:$D$61,$C274,'Inhalation Exposure'!$E$4:$E$61,$E274)),IF($K274="Central Tendency",SUMIFS('Dermal Crosswalk'!$Q$5:$Q$32,'Dermal Crosswalk'!$A$5:$A$32,'Bridge Table'!$B274,'Dermal Crosswalk'!$C$5:$C$32,'Bridge Table'!$E274),SUMIFS('Dermal Crosswalk'!$L$5:$L$32,'Dermal Crosswalk'!$A$5:$A$32,'Bridge Table'!$B274,'Dermal Crosswalk'!$C$5:$C$32,'Bridge Table'!$E274))),"--")</f>
        <v>5.7879420814479641</v>
      </c>
      <c r="O274" s="586">
        <f>IFERROR(IFERROR(VLOOKUP($D274,$Z$8:$AD$9,5,FALSE),0)*IF($D274="Inhalation",IF($K274="Central Tendency",SUMIFS('Inhalation Exposure'!$V$4:$V$61,'Inhalation Exposure'!$B$4:$B$61,$B274,'Inhalation Exposure'!$D$4:$D$61,$C274,'Inhalation Exposure'!$E$4:$E$61,$E274),SUMIFS('Inhalation Exposure'!$U$4:$U$61,'Inhalation Exposure'!$B$4:$B$61,$B274,'Inhalation Exposure'!$D$4:$D$61,$C274,'Inhalation Exposure'!$E$4:$E$61,$E274)),IF($K274="Central Tendency",SUMIFS('Dermal Crosswalk'!$R$5:$R$32,'Dermal Crosswalk'!$A$5:$A$32,'Bridge Table'!$B274,'Dermal Crosswalk'!$C$5:$C$32,'Bridge Table'!$E274),SUMIFS('Dermal Crosswalk'!$M$5:$M$32,'Dermal Crosswalk'!$A$5:$A$32,'Bridge Table'!$B274,'Dermal Crosswalk'!$C$5:$C$32,'Bridge Table'!$E274))),"--")</f>
        <v>5.9539340850495448E-3</v>
      </c>
      <c r="P274" s="363">
        <f>IFERROR(L274*U274,"Not Assessed")</f>
        <v>137.02262443438914</v>
      </c>
      <c r="Q274" s="363">
        <f>IFERROR(M274*V274,"Not Assessed")</f>
        <v>54.059234882764287</v>
      </c>
      <c r="R274" s="363">
        <f>IFERROR(N274*W274,"Not Assessed")</f>
        <v>57.879420814479644</v>
      </c>
      <c r="S274" s="364">
        <f>IFERROR(O274/X274, "Not Assessed")</f>
        <v>5.9539340850495452E-4</v>
      </c>
      <c r="U274" s="378">
        <v>10</v>
      </c>
      <c r="V274" s="379">
        <v>10</v>
      </c>
      <c r="W274" s="379">
        <v>10</v>
      </c>
      <c r="X274" s="380">
        <v>10</v>
      </c>
    </row>
    <row r="275" spans="1:24" ht="15" thickBot="1" x14ac:dyDescent="0.35">
      <c r="A275" s="372"/>
      <c r="B275" s="360" t="s">
        <v>146</v>
      </c>
      <c r="C275" s="361" t="s">
        <v>25</v>
      </c>
      <c r="D275" s="361" t="s">
        <v>111</v>
      </c>
      <c r="E275" s="362" t="s">
        <v>24</v>
      </c>
      <c r="F275" s="589"/>
      <c r="G275" s="589"/>
      <c r="H275" s="589"/>
      <c r="I275" s="590"/>
      <c r="J275" s="590"/>
      <c r="K275" s="588"/>
      <c r="L275" s="587"/>
      <c r="M275" s="587"/>
      <c r="N275" s="587"/>
      <c r="O275" s="587"/>
      <c r="P275" s="373" t="str">
        <f>CONCATENATE("(APF ",U274,")")</f>
        <v>(APF 10)</v>
      </c>
      <c r="Q275" s="373" t="str">
        <f>CONCATENATE("(APF ",V274,")")</f>
        <v>(APF 10)</v>
      </c>
      <c r="R275" s="373" t="str">
        <f>CONCATENATE("(APF ",W274,")")</f>
        <v>(APF 10)</v>
      </c>
      <c r="S275" s="373" t="str">
        <f>CONCATENATE("(APF ",X274,")")</f>
        <v>(APF 10)</v>
      </c>
      <c r="U275" s="374" t="s">
        <v>116</v>
      </c>
      <c r="V275" s="375" t="s">
        <v>116</v>
      </c>
      <c r="W275" s="375" t="s">
        <v>116</v>
      </c>
      <c r="X275" s="376" t="s">
        <v>116</v>
      </c>
    </row>
    <row r="276" spans="1:24" ht="15.6" customHeight="1" thickBot="1" x14ac:dyDescent="0.35">
      <c r="A276" s="372"/>
      <c r="B276" s="360" t="s">
        <v>146</v>
      </c>
      <c r="C276" s="361" t="s">
        <v>25</v>
      </c>
      <c r="D276" s="361" t="s">
        <v>111</v>
      </c>
      <c r="E276" s="362" t="s">
        <v>117</v>
      </c>
      <c r="F276" s="589"/>
      <c r="G276" s="589"/>
      <c r="H276" s="589"/>
      <c r="I276" s="589" t="s">
        <v>25</v>
      </c>
      <c r="J276" s="586" t="s">
        <v>115</v>
      </c>
      <c r="K276" s="584" t="s">
        <v>54</v>
      </c>
      <c r="L276" s="586">
        <f>IFERROR(IFERROR(VLOOKUP($D276,$Z$8:$AD$9,2,FALSE),0)/IF($D276="Inhalation",IF($K276="Central Tendency",SUMIFS('Inhalation Exposure'!$N$4:$N$61,'Inhalation Exposure'!$B$4:$B$61,$B276,'Inhalation Exposure'!$D$4:$D$61,$C276,'Inhalation Exposure'!$E$4:$E$61,$E276),SUMIFS('Inhalation Exposure'!$M$4:$M$61,'Inhalation Exposure'!$B$4:$B$61,$B276,'Inhalation Exposure'!$D$4:$D$61,$C276,'Inhalation Exposure'!$E$4:$E$61,$E276)),IF($K276="Central Tendency",SUMIFS('Dermal Crosswalk'!$P$5:$P$32,'Dermal Crosswalk'!$A$5:$A$32,'Bridge Table'!$B276,'Dermal Crosswalk'!$C$5:$C$32,'Bridge Table'!$E276),SUMIFS('Dermal Crosswalk'!$K$5:$K$32,'Dermal Crosswalk'!$A$5:$A$32,'Bridge Table'!$B276,'Dermal Crosswalk'!$C$5:$C$32,'Bridge Table'!$E276))),"--")</f>
        <v>89.591715976331344</v>
      </c>
      <c r="M276" s="586">
        <f>IFERROR(IFERROR(VLOOKUP($D276,$Z$8:$AD$9,3,FALSE),0)/IF($D276="Inhalation",IF($K276="Central Tendency",SUMIFS('Inhalation Exposure'!$AB$4:$AB$61,'Inhalation Exposure'!$B$4:$B$61,$B276,'Inhalation Exposure'!$D$4:$D$61,$C276,'Inhalation Exposure'!$E$4:$E$61,$E276),SUMIFS('Inhalation Exposure'!$AA$4:$AA$61,'Inhalation Exposure'!$B$4:$B$61,$B276,'Inhalation Exposure'!$D$4:$D$61,$C276,'Inhalation Exposure'!$E$4:$E$61,$E276)),IF($K276="Central Tendency",SUMIFS('Dermal Crosswalk'!$S$5:$S$32,'Dermal Crosswalk'!$A$5:$A$32,'Bridge Table'!$B276,'Dermal Crosswalk'!$C$5:$C$32,'Bridge Table'!$E276),SUMIFS('Dermal Crosswalk'!$N$5:$N$32,'Dermal Crosswalk'!$A$5:$A$32,'Bridge Table'!$B276,'Dermal Crosswalk'!$C$5:$C$32,'Bridge Table'!$E276))),"--")</f>
        <v>35.346422807961268</v>
      </c>
      <c r="N276" s="586">
        <f>IFERROR(IFERROR(VLOOKUP($D276,$Z$8:$AD$9,4,FALSE),0)/IF($D276="Inhalation",IF($K276="Central Tendency",SUMIFS('Inhalation Exposure'!$R$4:$R$61,'Inhalation Exposure'!$B$4:$B$61,$B276,'Inhalation Exposure'!$D$4:$D$61,$C276,'Inhalation Exposure'!$E$4:$E$61,$E276),SUMIFS('Inhalation Exposure'!$Q$4:$Q$61,'Inhalation Exposure'!$B$4:$B$61,$B276,'Inhalation Exposure'!$D$4:$D$61,$C276,'Inhalation Exposure'!$E$4:$E$61,$E276)),IF($K276="Central Tendency",SUMIFS('Dermal Crosswalk'!$Q$5:$Q$32,'Dermal Crosswalk'!$A$5:$A$32,'Bridge Table'!$B276,'Dermal Crosswalk'!$C$5:$C$32,'Bridge Table'!$E276),SUMIFS('Dermal Crosswalk'!$L$5:$L$32,'Dermal Crosswalk'!$A$5:$A$32,'Bridge Table'!$B276,'Dermal Crosswalk'!$C$5:$C$32,'Bridge Table'!$E276))),"--")</f>
        <v>37.844236686390531</v>
      </c>
      <c r="O276" s="586">
        <f>IFERROR(IFERROR(VLOOKUP($D276,$Z$8:$AD$9,5,FALSE),0)*IF($D276="Inhalation",IF($K276="Central Tendency",SUMIFS('Inhalation Exposure'!$V$4:$V$61,'Inhalation Exposure'!$B$4:$B$61,$B276,'Inhalation Exposure'!$D$4:$D$61,$C276,'Inhalation Exposure'!$E$4:$E$61,$E276),SUMIFS('Inhalation Exposure'!$U$4:$U$61,'Inhalation Exposure'!$B$4:$B$61,$B276,'Inhalation Exposure'!$D$4:$D$61,$C276,'Inhalation Exposure'!$E$4:$E$61,$E276)),IF($K276="Central Tendency",SUMIFS('Dermal Crosswalk'!$R$5:$R$32,'Dermal Crosswalk'!$A$5:$A$32,'Bridge Table'!$B276,'Dermal Crosswalk'!$C$5:$C$32,'Bridge Table'!$E276),SUMIFS('Dermal Crosswalk'!$M$5:$M$32,'Dermal Crosswalk'!$A$5:$A$32,'Bridge Table'!$B276,'Dermal Crosswalk'!$C$5:$C$32,'Bridge Table'!$E276))),"--")</f>
        <v>7.0571630478675487E-4</v>
      </c>
      <c r="P276" s="363">
        <f>IFERROR(L276*U276,"Not Assessed")</f>
        <v>895.91715976331341</v>
      </c>
      <c r="Q276" s="363">
        <f>IFERROR(M276*V276,"Not Assessed")</f>
        <v>353.46422807961267</v>
      </c>
      <c r="R276" s="363">
        <f>IFERROR(N276*W276,"Not Assessed")</f>
        <v>378.44236686390531</v>
      </c>
      <c r="S276" s="364">
        <f>IFERROR(O276/X276, "Not Assessed")</f>
        <v>7.0571630478675492E-5</v>
      </c>
      <c r="U276" s="378">
        <v>10</v>
      </c>
      <c r="V276" s="379">
        <v>10</v>
      </c>
      <c r="W276" s="379">
        <v>10</v>
      </c>
      <c r="X276" s="380">
        <v>10</v>
      </c>
    </row>
    <row r="277" spans="1:24" ht="15" thickBot="1" x14ac:dyDescent="0.35">
      <c r="A277" s="372"/>
      <c r="B277" s="360" t="s">
        <v>146</v>
      </c>
      <c r="C277" s="361" t="s">
        <v>25</v>
      </c>
      <c r="D277" s="361" t="s">
        <v>111</v>
      </c>
      <c r="E277" s="362" t="s">
        <v>117</v>
      </c>
      <c r="F277" s="589"/>
      <c r="G277" s="589"/>
      <c r="H277" s="589"/>
      <c r="I277" s="589"/>
      <c r="J277" s="589"/>
      <c r="K277" s="585"/>
      <c r="L277" s="587"/>
      <c r="M277" s="587"/>
      <c r="N277" s="587"/>
      <c r="O277" s="587"/>
      <c r="P277" s="373" t="str">
        <f>CONCATENATE("(APF ",U276,")")</f>
        <v>(APF 10)</v>
      </c>
      <c r="Q277" s="373" t="str">
        <f>CONCATENATE("(APF ",V276,")")</f>
        <v>(APF 10)</v>
      </c>
      <c r="R277" s="373" t="str">
        <f>CONCATENATE("(APF ",W276,")")</f>
        <v>(APF 10)</v>
      </c>
      <c r="S277" s="373" t="str">
        <f>CONCATENATE("(APF ",X276,")")</f>
        <v>(APF 10)</v>
      </c>
      <c r="U277" s="374" t="s">
        <v>116</v>
      </c>
      <c r="V277" s="375" t="s">
        <v>116</v>
      </c>
      <c r="W277" s="375" t="s">
        <v>116</v>
      </c>
      <c r="X277" s="376" t="s">
        <v>116</v>
      </c>
    </row>
    <row r="278" spans="1:24" ht="15" thickBot="1" x14ac:dyDescent="0.35">
      <c r="A278" s="372"/>
      <c r="B278" s="360" t="s">
        <v>146</v>
      </c>
      <c r="C278" s="361" t="s">
        <v>25</v>
      </c>
      <c r="D278" s="361" t="s">
        <v>111</v>
      </c>
      <c r="E278" s="362" t="s">
        <v>117</v>
      </c>
      <c r="F278" s="589"/>
      <c r="G278" s="589"/>
      <c r="H278" s="589"/>
      <c r="I278" s="589"/>
      <c r="J278" s="589"/>
      <c r="K278" s="584" t="s">
        <v>88</v>
      </c>
      <c r="L278" s="586">
        <f>IFERROR(IFERROR(VLOOKUP($D278,$Z$8:$AD$9,2,FALSE),0)/IF($D278="Inhalation",IF($K278="Central Tendency",SUMIFS('Inhalation Exposure'!$N$4:$N$61,'Inhalation Exposure'!$B$4:$B$61,$B278,'Inhalation Exposure'!$D$4:$D$61,$C278,'Inhalation Exposure'!$E$4:$E$61,$E278),SUMIFS('Inhalation Exposure'!$M$4:$M$61,'Inhalation Exposure'!$B$4:$B$61,$B278,'Inhalation Exposure'!$D$4:$D$61,$C278,'Inhalation Exposure'!$E$4:$E$61,$E278)),IF($K278="Central Tendency",SUMIFS('Dermal Crosswalk'!$P$5:$P$32,'Dermal Crosswalk'!$A$5:$A$32,'Bridge Table'!$B278,'Dermal Crosswalk'!$C$5:$C$32,'Bridge Table'!$E278),SUMIFS('Dermal Crosswalk'!$K$5:$K$32,'Dermal Crosswalk'!$A$5:$A$32,'Bridge Table'!$B278,'Dermal Crosswalk'!$C$5:$C$32,'Bridge Table'!$E278))),"--")</f>
        <v>13.702262443438913</v>
      </c>
      <c r="M278" s="586">
        <f>IFERROR(IFERROR(VLOOKUP($D278,$Z$8:$AD$9,3,FALSE),0)/IF($D278="Inhalation",IF($K278="Central Tendency",SUMIFS('Inhalation Exposure'!$AB$4:$AB$61,'Inhalation Exposure'!$B$4:$B$61,$B278,'Inhalation Exposure'!$D$4:$D$61,$C278,'Inhalation Exposure'!$E$4:$E$61,$E278),SUMIFS('Inhalation Exposure'!$AA$4:$AA$61,'Inhalation Exposure'!$B$4:$B$61,$B278,'Inhalation Exposure'!$D$4:$D$61,$C278,'Inhalation Exposure'!$E$4:$E$61,$E278)),IF($K278="Central Tendency",SUMIFS('Dermal Crosswalk'!$S$5:$S$32,'Dermal Crosswalk'!$A$5:$A$32,'Bridge Table'!$B278,'Dermal Crosswalk'!$C$5:$C$32,'Bridge Table'!$E278),SUMIFS('Dermal Crosswalk'!$N$5:$N$32,'Dermal Crosswalk'!$A$5:$A$32,'Bridge Table'!$B278,'Dermal Crosswalk'!$C$5:$C$32,'Bridge Table'!$E278))),"--")</f>
        <v>5.4059234882764287</v>
      </c>
      <c r="N278" s="586">
        <f>IFERROR(IFERROR(VLOOKUP($D278,$Z$8:$AD$9,4,FALSE),0)/IF($D278="Inhalation",IF($K278="Central Tendency",SUMIFS('Inhalation Exposure'!$R$4:$R$61,'Inhalation Exposure'!$B$4:$B$61,$B278,'Inhalation Exposure'!$D$4:$D$61,$C278,'Inhalation Exposure'!$E$4:$E$61,$E278),SUMIFS('Inhalation Exposure'!$Q$4:$Q$61,'Inhalation Exposure'!$B$4:$B$61,$B278,'Inhalation Exposure'!$D$4:$D$61,$C278,'Inhalation Exposure'!$E$4:$E$61,$E278)),IF($K278="Central Tendency",SUMIFS('Dermal Crosswalk'!$Q$5:$Q$32,'Dermal Crosswalk'!$A$5:$A$32,'Bridge Table'!$B278,'Dermal Crosswalk'!$C$5:$C$32,'Bridge Table'!$E278),SUMIFS('Dermal Crosswalk'!$L$5:$L$32,'Dermal Crosswalk'!$A$5:$A$32,'Bridge Table'!$B278,'Dermal Crosswalk'!$C$5:$C$32,'Bridge Table'!$E278))),"--")</f>
        <v>5.7879420814479641</v>
      </c>
      <c r="O278" s="586">
        <f>IFERROR(IFERROR(VLOOKUP($D278,$Z$8:$AD$9,5,FALSE),0)*IF($D278="Inhalation",IF($K278="Central Tendency",SUMIFS('Inhalation Exposure'!$V$4:$V$61,'Inhalation Exposure'!$B$4:$B$61,$B278,'Inhalation Exposure'!$D$4:$D$61,$C278,'Inhalation Exposure'!$E$4:$E$61,$E278),SUMIFS('Inhalation Exposure'!$U$4:$U$61,'Inhalation Exposure'!$B$4:$B$61,$B278,'Inhalation Exposure'!$D$4:$D$61,$C278,'Inhalation Exposure'!$E$4:$E$61,$E278)),IF($K278="Central Tendency",SUMIFS('Dermal Crosswalk'!$R$5:$R$32,'Dermal Crosswalk'!$A$5:$A$32,'Bridge Table'!$B278,'Dermal Crosswalk'!$C$5:$C$32,'Bridge Table'!$E278),SUMIFS('Dermal Crosswalk'!$M$5:$M$32,'Dermal Crosswalk'!$A$5:$A$32,'Bridge Table'!$B278,'Dermal Crosswalk'!$C$5:$C$32,'Bridge Table'!$E278))),"--")</f>
        <v>5.9539340850495448E-3</v>
      </c>
      <c r="P278" s="363">
        <f>IFERROR(L278*U278,"Not Assessed")</f>
        <v>137.02262443438914</v>
      </c>
      <c r="Q278" s="363">
        <f>IFERROR(M278*V278,"Not Assessed")</f>
        <v>54.059234882764287</v>
      </c>
      <c r="R278" s="363">
        <f>IFERROR(N278*W278,"Not Assessed")</f>
        <v>57.879420814479644</v>
      </c>
      <c r="S278" s="364">
        <f>IFERROR(O278/X278, "Not Assessed")</f>
        <v>5.9539340850495452E-4</v>
      </c>
      <c r="U278" s="378">
        <v>10</v>
      </c>
      <c r="V278" s="379">
        <v>10</v>
      </c>
      <c r="W278" s="379">
        <v>10</v>
      </c>
      <c r="X278" s="380">
        <v>10</v>
      </c>
    </row>
    <row r="279" spans="1:24" ht="15" thickBot="1" x14ac:dyDescent="0.35">
      <c r="A279" s="372"/>
      <c r="B279" s="360" t="s">
        <v>146</v>
      </c>
      <c r="C279" s="361" t="s">
        <v>25</v>
      </c>
      <c r="D279" s="361" t="s">
        <v>111</v>
      </c>
      <c r="E279" s="362" t="s">
        <v>117</v>
      </c>
      <c r="F279" s="589"/>
      <c r="G279" s="589"/>
      <c r="H279" s="589"/>
      <c r="I279" s="590"/>
      <c r="J279" s="590"/>
      <c r="K279" s="588"/>
      <c r="L279" s="587"/>
      <c r="M279" s="587"/>
      <c r="N279" s="587"/>
      <c r="O279" s="587"/>
      <c r="P279" s="373" t="str">
        <f>CONCATENATE("(APF ",U278,")")</f>
        <v>(APF 10)</v>
      </c>
      <c r="Q279" s="373" t="str">
        <f>CONCATENATE("(APF ",V278,")")</f>
        <v>(APF 10)</v>
      </c>
      <c r="R279" s="373" t="str">
        <f>CONCATENATE("(APF ",W278,")")</f>
        <v>(APF 10)</v>
      </c>
      <c r="S279" s="373" t="str">
        <f>CONCATENATE("(APF ",X278,")")</f>
        <v>(APF 10)</v>
      </c>
      <c r="U279" s="374" t="s">
        <v>116</v>
      </c>
      <c r="V279" s="375" t="s">
        <v>116</v>
      </c>
      <c r="W279" s="375" t="s">
        <v>116</v>
      </c>
      <c r="X279" s="376" t="s">
        <v>116</v>
      </c>
    </row>
    <row r="280" spans="1:24" ht="15" thickBot="1" x14ac:dyDescent="0.35">
      <c r="A280" s="372"/>
      <c r="B280" s="360" t="s">
        <v>146</v>
      </c>
      <c r="C280" s="361" t="s">
        <v>53</v>
      </c>
      <c r="D280" s="361" t="s">
        <v>111</v>
      </c>
      <c r="E280" s="362" t="s">
        <v>24</v>
      </c>
      <c r="F280" s="589"/>
      <c r="G280" s="589"/>
      <c r="H280" s="589"/>
      <c r="I280" s="589" t="s">
        <v>53</v>
      </c>
      <c r="J280" s="586" t="s">
        <v>115</v>
      </c>
      <c r="K280" s="584" t="s">
        <v>54</v>
      </c>
      <c r="L280" s="586" t="str">
        <f>IFERROR(IFERROR(VLOOKUP($D280,$Z$8:$AD$9,2,FALSE),0)/IF($D280="Inhalation",IF($K280="Central Tendency",SUMIFS('Inhalation Exposure'!$L$4:$L$60,'Inhalation Exposure'!$B$4:$B$60,$B280,'Inhalation Exposure'!$D$4:$D$60,$C280,'Inhalation Exposure'!$E$4:$E$60,$E280),SUMIFS('Inhalation Exposure'!$K$4:$K$60,'Inhalation Exposure'!$B$4:$B$60,$B280,'Inhalation Exposure'!$D$4:$D$60,$C280,'Inhalation Exposure'!$E$4:$E$60,$E280)),IF($K280="Central Tendency",SUMIFS('Dermal Crosswalk'!$P$5:$P$32,'Dermal Crosswalk'!$A$5:$A$32,'Bridge Table'!$B280,'Dermal Crosswalk'!$C$5:$C$32,'Bridge Table'!$E280),SUMIFS('Dermal Crosswalk'!$K$5:$K$32,'Dermal Crosswalk'!$A$5:$A$32,'Bridge Table'!$B280,'Dermal Crosswalk'!$C$5:$C$32,'Bridge Table'!$E280))),"--")</f>
        <v>--</v>
      </c>
      <c r="M280" s="586" t="str">
        <f>IFERROR(IFERROR(VLOOKUP($D280,$Z$8:$AD$9,3,FALSE),0)/IF($D280="Inhalation",IF($K280="Central Tendency",SUMIFS('Inhalation Exposure'!$AB$4:$AB$60,'Inhalation Exposure'!$B$4:$B$60,$B280,'Inhalation Exposure'!$D$4:$D$60,$C280,'Inhalation Exposure'!$E$4:$E$60,$E280),SUMIFS('Inhalation Exposure'!$AA$4:$AA$60,'Inhalation Exposure'!$B$4:$B$60,$B280,'Inhalation Exposure'!$D$4:$D$60,$C280,'Inhalation Exposure'!$E$4:$E$60,$E280)),IF($K280="Central Tendency",SUMIFS('Dermal Crosswalk'!$S$5:$S$32,'Dermal Crosswalk'!$A$5:$A$32,'Bridge Table'!$B280,'Dermal Crosswalk'!$C$5:$C$32,'Bridge Table'!$E280),SUMIFS('Dermal Crosswalk'!$N$5:$N$32,'Dermal Crosswalk'!$A$5:$A$32,'Bridge Table'!$B280,'Dermal Crosswalk'!$C$5:$C$32,'Bridge Table'!$E280))),"--")</f>
        <v>--</v>
      </c>
      <c r="N280" s="586" t="str">
        <f>IFERROR(IFERROR(VLOOKUP($D280,$Z$8:$AD$9,4,FALSE),0)/IF($D280="Inhalation",IF($K280="Central Tendency",SUMIFS('Inhalation Exposure'!$R$4:$R$60,'Inhalation Exposure'!$B$4:$B$60,$B280,'Inhalation Exposure'!$D$4:$D$60,$C280,'Inhalation Exposure'!$E$4:$E$60,$E280),SUMIFS('Inhalation Exposure'!$Q$4:$Q$60,'Inhalation Exposure'!$B$4:$B$60,$B280,'Inhalation Exposure'!$D$4:$D$60,$C280,'Inhalation Exposure'!$E$4:$E$60,$E280)),IF($K280="Central Tendency",SUMIFS('Dermal Crosswalk'!$Q$5:$Q$32,'Dermal Crosswalk'!$A$5:$A$32,'Bridge Table'!$B280,'Dermal Crosswalk'!$C$5:$C$32,'Bridge Table'!$E280),SUMIFS('Dermal Crosswalk'!$L$5:$L$32,'Dermal Crosswalk'!$A$5:$A$32,'Bridge Table'!$B280,'Dermal Crosswalk'!$C$5:$C$32,'Bridge Table'!$E280))),"--")</f>
        <v>--</v>
      </c>
      <c r="O280" s="586" t="str">
        <f>IF(IFERROR(VLOOKUP($D280,$Z$8:$AD$9,5,FALSE),0)*IF($D280="Inhalation",IF($K280="Central Tendency",SUMIFS('Inhalation Exposure'!$V$4:$V$60,'Inhalation Exposure'!$B$4:$B$60,$B280,'Inhalation Exposure'!$D$4:$D$60,$C280,'Inhalation Exposure'!$E$4:$E$60,$E280),SUMIFS('Inhalation Exposure'!$U$4:$U$60,'Inhalation Exposure'!$B$4:$B$60,$B280,'Inhalation Exposure'!$D$4:$D$60,$C280,'Inhalation Exposure'!$E$4:$E$60,$E280)),IF($K280="Central Tendency",SUMIFS('Dermal Crosswalk'!$R$5:$R$32,'Dermal Crosswalk'!$A$5:$A$32,'Bridge Table'!$B280,'Dermal Crosswalk'!$C$5:$C$32,'Bridge Table'!$E280),SUMIFS('Dermal Crosswalk'!$M$5:$M$32,'Dermal Crosswalk'!$A$5:$A$32,'Bridge Table'!$B280,'Dermal Crosswalk'!$C$5:$C$32,'Bridge Table'!$E280)))=0,"--",IFERROR(VLOOKUP($D280,$Z$8:$AD$9,5,FALSE),0)*IF($D280="Inhalation",IF($K280="Central Tendency",SUMIFS('Inhalation Exposure'!$V$4:$V$60,'Inhalation Exposure'!$B$4:$B$60,$B280,'Inhalation Exposure'!$D$4:$D$60,$C280,'Inhalation Exposure'!$E$4:$E$60,$E280),SUMIFS('Inhalation Exposure'!$U$4:$U$60,'Inhalation Exposure'!$B$4:$B$60,$B280,'Inhalation Exposure'!$D$4:$D$60,$C280,'Inhalation Exposure'!$E$4:$E$60,$E280)),IF($K280="Central Tendency",SUMIFS('Dermal Crosswalk'!$R$5:$R$32,'Dermal Crosswalk'!$A$5:$A$32,'Bridge Table'!$B280,'Dermal Crosswalk'!$C$5:$C$32,'Bridge Table'!$E280),SUMIFS('Dermal Crosswalk'!$M$5:$M$32,'Dermal Crosswalk'!$A$5:$A$32,'Bridge Table'!$B280,'Dermal Crosswalk'!$C$5:$C$32,'Bridge Table'!$E280))))</f>
        <v>--</v>
      </c>
      <c r="P280" s="610" t="s">
        <v>118</v>
      </c>
      <c r="Q280" s="610" t="s">
        <v>118</v>
      </c>
      <c r="R280" s="610" t="s">
        <v>118</v>
      </c>
      <c r="S280" s="610" t="s">
        <v>118</v>
      </c>
      <c r="U280" s="612" t="s">
        <v>118</v>
      </c>
      <c r="V280" s="614" t="s">
        <v>118</v>
      </c>
      <c r="W280" s="614" t="s">
        <v>118</v>
      </c>
      <c r="X280" s="616" t="s">
        <v>118</v>
      </c>
    </row>
    <row r="281" spans="1:24" ht="15" thickBot="1" x14ac:dyDescent="0.35">
      <c r="A281" s="372"/>
      <c r="B281" s="360" t="s">
        <v>146</v>
      </c>
      <c r="C281" s="361" t="s">
        <v>53</v>
      </c>
      <c r="D281" s="361" t="s">
        <v>111</v>
      </c>
      <c r="E281" s="362" t="s">
        <v>24</v>
      </c>
      <c r="F281" s="589"/>
      <c r="G281" s="589"/>
      <c r="H281" s="589"/>
      <c r="I281" s="589"/>
      <c r="J281" s="589"/>
      <c r="K281" s="585"/>
      <c r="L281" s="587"/>
      <c r="M281" s="587"/>
      <c r="N281" s="587"/>
      <c r="O281" s="587"/>
      <c r="P281" s="611"/>
      <c r="Q281" s="611"/>
      <c r="R281" s="611"/>
      <c r="S281" s="611"/>
      <c r="U281" s="613"/>
      <c r="V281" s="615"/>
      <c r="W281" s="615"/>
      <c r="X281" s="617"/>
    </row>
    <row r="282" spans="1:24" ht="15" thickBot="1" x14ac:dyDescent="0.35">
      <c r="A282" s="372"/>
      <c r="B282" s="360" t="s">
        <v>146</v>
      </c>
      <c r="C282" s="361" t="s">
        <v>53</v>
      </c>
      <c r="D282" s="361" t="s">
        <v>111</v>
      </c>
      <c r="E282" s="362" t="s">
        <v>24</v>
      </c>
      <c r="F282" s="589"/>
      <c r="G282" s="589"/>
      <c r="H282" s="589"/>
      <c r="I282" s="589"/>
      <c r="J282" s="589"/>
      <c r="K282" s="584" t="s">
        <v>88</v>
      </c>
      <c r="L282" s="586" t="str">
        <f>IFERROR(IFERROR(VLOOKUP($D282,$Z$8:$AD$9,2,FALSE),0)/IF($D282="Inhalation",IF($K282="Central Tendency",SUMIFS('Inhalation Exposure'!$L$4:$L$60,'Inhalation Exposure'!$B$4:$B$60,$B282,'Inhalation Exposure'!$D$4:$D$60,$C282,'Inhalation Exposure'!$E$4:$E$60,$E282),SUMIFS('Inhalation Exposure'!$K$4:$K$60,'Inhalation Exposure'!$B$4:$B$60,$B282,'Inhalation Exposure'!$D$4:$D$60,$C282,'Inhalation Exposure'!$E$4:$E$60,$E282)),IF($K282="Central Tendency",SUMIFS('Dermal Crosswalk'!$P$5:$P$32,'Dermal Crosswalk'!$A$5:$A$32,'Bridge Table'!$B282,'Dermal Crosswalk'!$C$5:$C$32,'Bridge Table'!$E282),SUMIFS('Dermal Crosswalk'!$K$5:$K$32,'Dermal Crosswalk'!$A$5:$A$32,'Bridge Table'!$B282,'Dermal Crosswalk'!$C$5:$C$32,'Bridge Table'!$E282))),"--")</f>
        <v>--</v>
      </c>
      <c r="M282" s="586" t="str">
        <f>IFERROR(IFERROR(VLOOKUP($D282,$Z$8:$AD$9,3,FALSE),0)/IF($D282="Inhalation",IF($K282="Central Tendency",SUMIFS('Inhalation Exposure'!$AB$4:$AB$60,'Inhalation Exposure'!$B$4:$B$60,$B282,'Inhalation Exposure'!$D$4:$D$60,$C282,'Inhalation Exposure'!$E$4:$E$60,$E282),SUMIFS('Inhalation Exposure'!$AA$4:$AA$60,'Inhalation Exposure'!$B$4:$B$60,$B282,'Inhalation Exposure'!$D$4:$D$60,$C282,'Inhalation Exposure'!$E$4:$E$60,$E282)),IF($K282="Central Tendency",SUMIFS('Dermal Crosswalk'!$S$5:$S$32,'Dermal Crosswalk'!$A$5:$A$32,'Bridge Table'!$B282,'Dermal Crosswalk'!$C$5:$C$32,'Bridge Table'!$E282),SUMIFS('Dermal Crosswalk'!$N$5:$N$32,'Dermal Crosswalk'!$A$5:$A$32,'Bridge Table'!$B282,'Dermal Crosswalk'!$C$5:$C$32,'Bridge Table'!$E282))),"--")</f>
        <v>--</v>
      </c>
      <c r="N282" s="586" t="str">
        <f>IFERROR(IFERROR(VLOOKUP($D282,$Z$8:$AD$9,4,FALSE),0)/IF($D282="Inhalation",IF($K282="Central Tendency",SUMIFS('Inhalation Exposure'!$R$4:$R$60,'Inhalation Exposure'!$B$4:$B$60,$B282,'Inhalation Exposure'!$D$4:$D$60,$C282,'Inhalation Exposure'!$E$4:$E$60,$E282),SUMIFS('Inhalation Exposure'!$Q$4:$Q$60,'Inhalation Exposure'!$B$4:$B$60,$B282,'Inhalation Exposure'!$D$4:$D$60,$C282,'Inhalation Exposure'!$E$4:$E$60,$E282)),IF($K282="Central Tendency",SUMIFS('Dermal Crosswalk'!$Q$5:$Q$32,'Dermal Crosswalk'!$A$5:$A$32,'Bridge Table'!$B282,'Dermal Crosswalk'!$C$5:$C$32,'Bridge Table'!$E282),SUMIFS('Dermal Crosswalk'!$L$5:$L$32,'Dermal Crosswalk'!$A$5:$A$32,'Bridge Table'!$B282,'Dermal Crosswalk'!$C$5:$C$32,'Bridge Table'!$E282))),"--")</f>
        <v>--</v>
      </c>
      <c r="O282" s="586" t="str">
        <f>IF(IFERROR(VLOOKUP($D282,$Z$8:$AD$9,5,FALSE),0)*IF($D282="Inhalation",IF($K282="Central Tendency",SUMIFS('Inhalation Exposure'!$V$4:$V$60,'Inhalation Exposure'!$B$4:$B$60,$B282,'Inhalation Exposure'!$D$4:$D$60,$C282,'Inhalation Exposure'!$E$4:$E$60,$E282),SUMIFS('Inhalation Exposure'!$U$4:$U$60,'Inhalation Exposure'!$B$4:$B$60,$B282,'Inhalation Exposure'!$D$4:$D$60,$C282,'Inhalation Exposure'!$E$4:$E$60,$E282)),IF($K282="Central Tendency",SUMIFS('Dermal Crosswalk'!$R$5:$R$32,'Dermal Crosswalk'!$A$5:$A$32,'Bridge Table'!$B282,'Dermal Crosswalk'!$C$5:$C$32,'Bridge Table'!$E282),SUMIFS('Dermal Crosswalk'!$M$5:$M$32,'Dermal Crosswalk'!$A$5:$A$32,'Bridge Table'!$B282,'Dermal Crosswalk'!$C$5:$C$32,'Bridge Table'!$E282)))=0,"--",IFERROR(VLOOKUP($D282,$Z$8:$AD$9,5,FALSE),0)*IF($D282="Inhalation",IF($K282="Central Tendency",SUMIFS('Inhalation Exposure'!$V$4:$V$60,'Inhalation Exposure'!$B$4:$B$60,$B282,'Inhalation Exposure'!$D$4:$D$60,$C282,'Inhalation Exposure'!$E$4:$E$60,$E282),SUMIFS('Inhalation Exposure'!$U$4:$U$60,'Inhalation Exposure'!$B$4:$B$60,$B282,'Inhalation Exposure'!$D$4:$D$60,$C282,'Inhalation Exposure'!$E$4:$E$60,$E282)),IF($K282="Central Tendency",SUMIFS('Dermal Crosswalk'!$R$5:$R$32,'Dermal Crosswalk'!$A$5:$A$32,'Bridge Table'!$B282,'Dermal Crosswalk'!$C$5:$C$32,'Bridge Table'!$E282),SUMIFS('Dermal Crosswalk'!$M$5:$M$32,'Dermal Crosswalk'!$A$5:$A$32,'Bridge Table'!$B282,'Dermal Crosswalk'!$C$5:$C$32,'Bridge Table'!$E282))))</f>
        <v>--</v>
      </c>
      <c r="P282" s="610" t="s">
        <v>118</v>
      </c>
      <c r="Q282" s="610" t="s">
        <v>118</v>
      </c>
      <c r="R282" s="610" t="s">
        <v>118</v>
      </c>
      <c r="S282" s="610" t="s">
        <v>118</v>
      </c>
      <c r="U282" s="612" t="s">
        <v>118</v>
      </c>
      <c r="V282" s="614" t="s">
        <v>118</v>
      </c>
      <c r="W282" s="614" t="s">
        <v>118</v>
      </c>
      <c r="X282" s="616" t="s">
        <v>118</v>
      </c>
    </row>
    <row r="283" spans="1:24" ht="15" thickBot="1" x14ac:dyDescent="0.35">
      <c r="A283" s="372"/>
      <c r="B283" s="360" t="s">
        <v>146</v>
      </c>
      <c r="C283" s="361" t="s">
        <v>53</v>
      </c>
      <c r="D283" s="361" t="s">
        <v>111</v>
      </c>
      <c r="E283" s="362" t="s">
        <v>24</v>
      </c>
      <c r="F283" s="589"/>
      <c r="G283" s="589"/>
      <c r="H283" s="589"/>
      <c r="I283" s="590"/>
      <c r="J283" s="590"/>
      <c r="K283" s="588"/>
      <c r="L283" s="587"/>
      <c r="M283" s="587"/>
      <c r="N283" s="587"/>
      <c r="O283" s="587"/>
      <c r="P283" s="611"/>
      <c r="Q283" s="611"/>
      <c r="R283" s="611"/>
      <c r="S283" s="611"/>
      <c r="U283" s="613"/>
      <c r="V283" s="615"/>
      <c r="W283" s="615"/>
      <c r="X283" s="617"/>
    </row>
    <row r="284" spans="1:24" ht="15" thickBot="1" x14ac:dyDescent="0.35">
      <c r="A284" s="372"/>
      <c r="B284" s="360" t="s">
        <v>146</v>
      </c>
      <c r="C284" s="361" t="s">
        <v>53</v>
      </c>
      <c r="D284" s="361" t="s">
        <v>111</v>
      </c>
      <c r="E284" s="362" t="s">
        <v>117</v>
      </c>
      <c r="F284" s="589"/>
      <c r="G284" s="589"/>
      <c r="H284" s="589"/>
      <c r="I284" s="589" t="s">
        <v>53</v>
      </c>
      <c r="J284" s="586" t="s">
        <v>115</v>
      </c>
      <c r="K284" s="584" t="s">
        <v>54</v>
      </c>
      <c r="L284" s="586" t="str">
        <f>IFERROR(IFERROR(VLOOKUP($D284,$Z$8:$AD$9,2,FALSE),0)/IF($D284="Inhalation",IF($K284="Central Tendency",SUMIFS('Inhalation Exposure'!$L$4:$L$60,'Inhalation Exposure'!$B$4:$B$60,$B284,'Inhalation Exposure'!$D$4:$D$60,$C284,'Inhalation Exposure'!$E$4:$E$60,$E284),SUMIFS('Inhalation Exposure'!$K$4:$K$60,'Inhalation Exposure'!$B$4:$B$60,$B284,'Inhalation Exposure'!$D$4:$D$60,$C284,'Inhalation Exposure'!$E$4:$E$60,$E284)),IF($K284="Central Tendency",SUMIFS('Dermal Crosswalk'!$P$5:$P$32,'Dermal Crosswalk'!$A$5:$A$32,'Bridge Table'!$B284,'Dermal Crosswalk'!$C$5:$C$32,'Bridge Table'!$E284),SUMIFS('Dermal Crosswalk'!$K$5:$K$32,'Dermal Crosswalk'!$A$5:$A$32,'Bridge Table'!$B284,'Dermal Crosswalk'!$C$5:$C$32,'Bridge Table'!$E284))),"--")</f>
        <v>--</v>
      </c>
      <c r="M284" s="586" t="str">
        <f>IFERROR(IFERROR(VLOOKUP($D284,$Z$8:$AD$9,3,FALSE),0)/IF($D284="Inhalation",IF($K284="Central Tendency",SUMIFS('Inhalation Exposure'!$AB$4:$AB$60,'Inhalation Exposure'!$B$4:$B$60,$B284,'Inhalation Exposure'!$D$4:$D$60,$C284,'Inhalation Exposure'!$E$4:$E$60,$E284),SUMIFS('Inhalation Exposure'!$AA$4:$AA$60,'Inhalation Exposure'!$B$4:$B$60,$B284,'Inhalation Exposure'!$D$4:$D$60,$C284,'Inhalation Exposure'!$E$4:$E$60,$E284)),IF($K284="Central Tendency",SUMIFS('Dermal Crosswalk'!$S$5:$S$32,'Dermal Crosswalk'!$A$5:$A$32,'Bridge Table'!$B284,'Dermal Crosswalk'!$C$5:$C$32,'Bridge Table'!$E284),SUMIFS('Dermal Crosswalk'!$N$5:$N$32,'Dermal Crosswalk'!$A$5:$A$32,'Bridge Table'!$B284,'Dermal Crosswalk'!$C$5:$C$32,'Bridge Table'!$E284))),"--")</f>
        <v>--</v>
      </c>
      <c r="N284" s="586" t="str">
        <f>IFERROR(IFERROR(VLOOKUP($D284,$Z$8:$AD$9,4,FALSE),0)/IF($D284="Inhalation",IF($K284="Central Tendency",SUMIFS('Inhalation Exposure'!$R$4:$R$60,'Inhalation Exposure'!$B$4:$B$60,$B284,'Inhalation Exposure'!$D$4:$D$60,$C284,'Inhalation Exposure'!$E$4:$E$60,$E284),SUMIFS('Inhalation Exposure'!$Q$4:$Q$60,'Inhalation Exposure'!$B$4:$B$60,$B284,'Inhalation Exposure'!$D$4:$D$60,$C284,'Inhalation Exposure'!$E$4:$E$60,$E284)),IF($K284="Central Tendency",SUMIFS('Dermal Crosswalk'!$Q$5:$Q$32,'Dermal Crosswalk'!$A$5:$A$32,'Bridge Table'!$B284,'Dermal Crosswalk'!$C$5:$C$32,'Bridge Table'!$E284),SUMIFS('Dermal Crosswalk'!$L$5:$L$32,'Dermal Crosswalk'!$A$5:$A$32,'Bridge Table'!$B284,'Dermal Crosswalk'!$C$5:$C$32,'Bridge Table'!$E284))),"--")</f>
        <v>--</v>
      </c>
      <c r="O284" s="586" t="str">
        <f>IF(IFERROR(VLOOKUP($D284,$Z$8:$AD$9,5,FALSE),0)*IF($D284="Inhalation",IF($K284="Central Tendency",SUMIFS('Inhalation Exposure'!$V$4:$V$60,'Inhalation Exposure'!$B$4:$B$60,$B284,'Inhalation Exposure'!$D$4:$D$60,$C284,'Inhalation Exposure'!$E$4:$E$60,$E284),SUMIFS('Inhalation Exposure'!$U$4:$U$60,'Inhalation Exposure'!$B$4:$B$60,$B284,'Inhalation Exposure'!$D$4:$D$60,$C284,'Inhalation Exposure'!$E$4:$E$60,$E284)),IF($K284="Central Tendency",SUMIFS('Dermal Crosswalk'!$R$5:$R$32,'Dermal Crosswalk'!$A$5:$A$32,'Bridge Table'!$B284,'Dermal Crosswalk'!$C$5:$C$32,'Bridge Table'!$E284),SUMIFS('Dermal Crosswalk'!$M$5:$M$32,'Dermal Crosswalk'!$A$5:$A$32,'Bridge Table'!$B284,'Dermal Crosswalk'!$C$5:$C$32,'Bridge Table'!$E284)))=0,"--",IFERROR(VLOOKUP($D284,$Z$8:$AD$9,5,FALSE),0)*IF($D284="Inhalation",IF($K284="Central Tendency",SUMIFS('Inhalation Exposure'!$V$4:$V$60,'Inhalation Exposure'!$B$4:$B$60,$B284,'Inhalation Exposure'!$D$4:$D$60,$C284,'Inhalation Exposure'!$E$4:$E$60,$E284),SUMIFS('Inhalation Exposure'!$U$4:$U$60,'Inhalation Exposure'!$B$4:$B$60,$B284,'Inhalation Exposure'!$D$4:$D$60,$C284,'Inhalation Exposure'!$E$4:$E$60,$E284)),IF($K284="Central Tendency",SUMIFS('Dermal Crosswalk'!$R$5:$R$32,'Dermal Crosswalk'!$A$5:$A$32,'Bridge Table'!$B284,'Dermal Crosswalk'!$C$5:$C$32,'Bridge Table'!$E284),SUMIFS('Dermal Crosswalk'!$M$5:$M$32,'Dermal Crosswalk'!$A$5:$A$32,'Bridge Table'!$B284,'Dermal Crosswalk'!$C$5:$C$32,'Bridge Table'!$E284))))</f>
        <v>--</v>
      </c>
      <c r="P284" s="610" t="s">
        <v>118</v>
      </c>
      <c r="Q284" s="610" t="s">
        <v>118</v>
      </c>
      <c r="R284" s="610" t="s">
        <v>118</v>
      </c>
      <c r="S284" s="610" t="s">
        <v>118</v>
      </c>
      <c r="U284" s="612" t="s">
        <v>118</v>
      </c>
      <c r="V284" s="614" t="s">
        <v>118</v>
      </c>
      <c r="W284" s="614" t="s">
        <v>118</v>
      </c>
      <c r="X284" s="616" t="s">
        <v>118</v>
      </c>
    </row>
    <row r="285" spans="1:24" ht="15" thickBot="1" x14ac:dyDescent="0.35">
      <c r="A285" s="372"/>
      <c r="B285" s="360" t="s">
        <v>146</v>
      </c>
      <c r="C285" s="361" t="s">
        <v>53</v>
      </c>
      <c r="D285" s="361" t="s">
        <v>111</v>
      </c>
      <c r="E285" s="362" t="s">
        <v>117</v>
      </c>
      <c r="F285" s="589"/>
      <c r="G285" s="589"/>
      <c r="H285" s="589"/>
      <c r="I285" s="589"/>
      <c r="J285" s="589"/>
      <c r="K285" s="585"/>
      <c r="L285" s="587"/>
      <c r="M285" s="587"/>
      <c r="N285" s="587"/>
      <c r="O285" s="587"/>
      <c r="P285" s="611"/>
      <c r="Q285" s="611"/>
      <c r="R285" s="611"/>
      <c r="S285" s="611"/>
      <c r="U285" s="613"/>
      <c r="V285" s="615"/>
      <c r="W285" s="615"/>
      <c r="X285" s="617"/>
    </row>
    <row r="286" spans="1:24" ht="15" thickBot="1" x14ac:dyDescent="0.35">
      <c r="A286" s="372"/>
      <c r="B286" s="360" t="s">
        <v>146</v>
      </c>
      <c r="C286" s="361" t="s">
        <v>53</v>
      </c>
      <c r="D286" s="361" t="s">
        <v>111</v>
      </c>
      <c r="E286" s="362" t="s">
        <v>117</v>
      </c>
      <c r="F286" s="589"/>
      <c r="G286" s="589"/>
      <c r="H286" s="589"/>
      <c r="I286" s="589"/>
      <c r="J286" s="589"/>
      <c r="K286" s="584" t="s">
        <v>88</v>
      </c>
      <c r="L286" s="586" t="str">
        <f>IFERROR(IFERROR(VLOOKUP($D286,$Z$8:$AD$9,2,FALSE),0)/IF($D286="Inhalation",IF($K286="Central Tendency",SUMIFS('Inhalation Exposure'!$L$4:$L$60,'Inhalation Exposure'!$B$4:$B$60,$B286,'Inhalation Exposure'!$D$4:$D$60,$C286,'Inhalation Exposure'!$E$4:$E$60,$E286),SUMIFS('Inhalation Exposure'!$K$4:$K$60,'Inhalation Exposure'!$B$4:$B$60,$B286,'Inhalation Exposure'!$D$4:$D$60,$C286,'Inhalation Exposure'!$E$4:$E$60,$E286)),IF($K286="Central Tendency",SUMIFS('Dermal Crosswalk'!$P$5:$P$32,'Dermal Crosswalk'!$A$5:$A$32,'Bridge Table'!$B286,'Dermal Crosswalk'!$C$5:$C$32,'Bridge Table'!$E286),SUMIFS('Dermal Crosswalk'!$K$5:$K$32,'Dermal Crosswalk'!$A$5:$A$32,'Bridge Table'!$B286,'Dermal Crosswalk'!$C$5:$C$32,'Bridge Table'!$E286))),"--")</f>
        <v>--</v>
      </c>
      <c r="M286" s="586" t="str">
        <f>IFERROR(IFERROR(VLOOKUP($D286,$Z$8:$AD$9,3,FALSE),0)/IF($D286="Inhalation",IF($K286="Central Tendency",SUMIFS('Inhalation Exposure'!$AB$4:$AB$60,'Inhalation Exposure'!$B$4:$B$60,$B286,'Inhalation Exposure'!$D$4:$D$60,$C286,'Inhalation Exposure'!$E$4:$E$60,$E286),SUMIFS('Inhalation Exposure'!$AA$4:$AA$60,'Inhalation Exposure'!$B$4:$B$60,$B286,'Inhalation Exposure'!$D$4:$D$60,$C286,'Inhalation Exposure'!$E$4:$E$60,$E286)),IF($K286="Central Tendency",SUMIFS('Dermal Crosswalk'!$S$5:$S$32,'Dermal Crosswalk'!$A$5:$A$32,'Bridge Table'!$B286,'Dermal Crosswalk'!$C$5:$C$32,'Bridge Table'!$E286),SUMIFS('Dermal Crosswalk'!$N$5:$N$32,'Dermal Crosswalk'!$A$5:$A$32,'Bridge Table'!$B286,'Dermal Crosswalk'!$C$5:$C$32,'Bridge Table'!$E286))),"--")</f>
        <v>--</v>
      </c>
      <c r="N286" s="586" t="str">
        <f>IFERROR(IFERROR(VLOOKUP($D286,$Z$8:$AD$9,4,FALSE),0)/IF($D286="Inhalation",IF($K286="Central Tendency",SUMIFS('Inhalation Exposure'!$R$4:$R$60,'Inhalation Exposure'!$B$4:$B$60,$B286,'Inhalation Exposure'!$D$4:$D$60,$C286,'Inhalation Exposure'!$E$4:$E$60,$E286),SUMIFS('Inhalation Exposure'!$Q$4:$Q$60,'Inhalation Exposure'!$B$4:$B$60,$B286,'Inhalation Exposure'!$D$4:$D$60,$C286,'Inhalation Exposure'!$E$4:$E$60,$E286)),IF($K286="Central Tendency",SUMIFS('Dermal Crosswalk'!$Q$5:$Q$32,'Dermal Crosswalk'!$A$5:$A$32,'Bridge Table'!$B286,'Dermal Crosswalk'!$C$5:$C$32,'Bridge Table'!$E286),SUMIFS('Dermal Crosswalk'!$L$5:$L$32,'Dermal Crosswalk'!$A$5:$A$32,'Bridge Table'!$B286,'Dermal Crosswalk'!$C$5:$C$32,'Bridge Table'!$E286))),"--")</f>
        <v>--</v>
      </c>
      <c r="O286" s="586" t="str">
        <f>IF(IFERROR(VLOOKUP($D286,$Z$8:$AD$9,5,FALSE),0)*IF($D286="Inhalation",IF($K286="Central Tendency",SUMIFS('Inhalation Exposure'!$V$4:$V$60,'Inhalation Exposure'!$B$4:$B$60,$B286,'Inhalation Exposure'!$D$4:$D$60,$C286,'Inhalation Exposure'!$E$4:$E$60,$E286),SUMIFS('Inhalation Exposure'!$U$4:$U$60,'Inhalation Exposure'!$B$4:$B$60,$B286,'Inhalation Exposure'!$D$4:$D$60,$C286,'Inhalation Exposure'!$E$4:$E$60,$E286)),IF($K286="Central Tendency",SUMIFS('Dermal Crosswalk'!$R$5:$R$32,'Dermal Crosswalk'!$A$5:$A$32,'Bridge Table'!$B286,'Dermal Crosswalk'!$C$5:$C$32,'Bridge Table'!$E286),SUMIFS('Dermal Crosswalk'!$M$5:$M$32,'Dermal Crosswalk'!$A$5:$A$32,'Bridge Table'!$B286,'Dermal Crosswalk'!$C$5:$C$32,'Bridge Table'!$E286)))=0,"--",IFERROR(VLOOKUP($D286,$Z$8:$AD$9,5,FALSE),0)*IF($D286="Inhalation",IF($K286="Central Tendency",SUMIFS('Inhalation Exposure'!$V$4:$V$60,'Inhalation Exposure'!$B$4:$B$60,$B286,'Inhalation Exposure'!$D$4:$D$60,$C286,'Inhalation Exposure'!$E$4:$E$60,$E286),SUMIFS('Inhalation Exposure'!$U$4:$U$60,'Inhalation Exposure'!$B$4:$B$60,$B286,'Inhalation Exposure'!$D$4:$D$60,$C286,'Inhalation Exposure'!$E$4:$E$60,$E286)),IF($K286="Central Tendency",SUMIFS('Dermal Crosswalk'!$R$5:$R$32,'Dermal Crosswalk'!$A$5:$A$32,'Bridge Table'!$B286,'Dermal Crosswalk'!$C$5:$C$32,'Bridge Table'!$E286),SUMIFS('Dermal Crosswalk'!$M$5:$M$32,'Dermal Crosswalk'!$A$5:$A$32,'Bridge Table'!$B286,'Dermal Crosswalk'!$C$5:$C$32,'Bridge Table'!$E286))))</f>
        <v>--</v>
      </c>
      <c r="P286" s="610" t="s">
        <v>118</v>
      </c>
      <c r="Q286" s="610" t="s">
        <v>118</v>
      </c>
      <c r="R286" s="610" t="s">
        <v>118</v>
      </c>
      <c r="S286" s="610" t="s">
        <v>118</v>
      </c>
      <c r="U286" s="612" t="s">
        <v>118</v>
      </c>
      <c r="V286" s="614" t="s">
        <v>118</v>
      </c>
      <c r="W286" s="614" t="s">
        <v>118</v>
      </c>
      <c r="X286" s="616" t="s">
        <v>118</v>
      </c>
    </row>
    <row r="287" spans="1:24" ht="15" thickBot="1" x14ac:dyDescent="0.35">
      <c r="A287" s="372"/>
      <c r="B287" s="360" t="s">
        <v>146</v>
      </c>
      <c r="C287" s="361" t="s">
        <v>53</v>
      </c>
      <c r="D287" s="361" t="s">
        <v>111</v>
      </c>
      <c r="E287" s="362" t="s">
        <v>117</v>
      </c>
      <c r="F287" s="589"/>
      <c r="G287" s="589"/>
      <c r="H287" s="589"/>
      <c r="I287" s="590"/>
      <c r="J287" s="590"/>
      <c r="K287" s="588"/>
      <c r="L287" s="587"/>
      <c r="M287" s="587"/>
      <c r="N287" s="587"/>
      <c r="O287" s="587"/>
      <c r="P287" s="611"/>
      <c r="Q287" s="611"/>
      <c r="R287" s="611"/>
      <c r="S287" s="611"/>
      <c r="U287" s="613"/>
      <c r="V287" s="615"/>
      <c r="W287" s="615"/>
      <c r="X287" s="617"/>
    </row>
    <row r="288" spans="1:24" ht="15.6" customHeight="1" thickTop="1" thickBot="1" x14ac:dyDescent="0.35">
      <c r="A288" s="372"/>
      <c r="B288" s="360" t="s">
        <v>146</v>
      </c>
      <c r="C288" s="361" t="s">
        <v>25</v>
      </c>
      <c r="D288" s="361" t="s">
        <v>16</v>
      </c>
      <c r="E288" s="362" t="s">
        <v>24</v>
      </c>
      <c r="F288" s="589"/>
      <c r="G288" s="589"/>
      <c r="H288" s="589"/>
      <c r="I288" s="589" t="s">
        <v>25</v>
      </c>
      <c r="J288" s="609" t="s">
        <v>16</v>
      </c>
      <c r="K288" s="607" t="s">
        <v>54</v>
      </c>
      <c r="L288" s="586">
        <f>IFERROR(IFERROR(VLOOKUP($D288,$Z$8:$AD$9,2,FALSE),0)/IF($D288="Inhalation",IF($K288="Central Tendency",SUMIFS('Inhalation Exposure'!$N$4:$N$61,'Inhalation Exposure'!$B$4:$B$61,$B288,'Inhalation Exposure'!$D$4:$D$61,$C288,'Inhalation Exposure'!$E$4:$E$61,$E288),SUMIFS('Inhalation Exposure'!$M$4:$M$61,'Inhalation Exposure'!$B$4:$B$61,$B288,'Inhalation Exposure'!$D$4:$D$61,$C288,'Inhalation Exposure'!$E$4:$E$61,$E288)),IF($K288="Central Tendency",SUMIFS('Dermal Crosswalk'!$P$5:$P$32,'Dermal Crosswalk'!$A$5:$A$32,'Bridge Table'!$B288,'Dermal Crosswalk'!$C$5:$C$32,'Bridge Table'!$E288),SUMIFS('Dermal Crosswalk'!$K$5:$K$32,'Dermal Crosswalk'!$A$5:$A$32,'Bridge Table'!$B288,'Dermal Crosswalk'!$C$5:$C$32,'Bridge Table'!$E288))),"--")</f>
        <v>6.3906909385693993</v>
      </c>
      <c r="M288" s="586">
        <f>IFERROR(IFERROR(VLOOKUP($D288,$Z$8:$AD$9,3,FALSE),0)/IF($D288="Inhalation",IF($K288="Central Tendency",SUMIFS('Inhalation Exposure'!$AB$4:$AB$61,'Inhalation Exposure'!$B$4:$B$61,$B288,'Inhalation Exposure'!$D$4:$D$61,$C288,'Inhalation Exposure'!$E$4:$E$61,$E288),SUMIFS('Inhalation Exposure'!$AA$4:$AA$61,'Inhalation Exposure'!$B$4:$B$61,$B288,'Inhalation Exposure'!$D$4:$D$61,$C288,'Inhalation Exposure'!$E$4:$E$61,$E288)),IF($K288="Central Tendency",SUMIFS('Dermal Crosswalk'!$S$5:$S$32,'Dermal Crosswalk'!$A$5:$A$32,'Bridge Table'!$B288,'Dermal Crosswalk'!$C$5:$C$32,'Bridge Table'!$E288),SUMIFS('Dermal Crosswalk'!$N$5:$N$32,'Dermal Crosswalk'!$A$5:$A$32,'Bridge Table'!$B288,'Dermal Crosswalk'!$C$5:$C$32,'Bridge Table'!$E288))),"--")</f>
        <v>2.5148836626409463</v>
      </c>
      <c r="N288" s="586">
        <f>IFERROR(IFERROR(VLOOKUP($D288,$Z$8:$AD$9,4,FALSE),0)/IF($D288="Inhalation",IF($K288="Central Tendency",SUMIFS('Inhalation Exposure'!$R$4:$R$61,'Inhalation Exposure'!$B$4:$B$61,$B288,'Inhalation Exposure'!$D$4:$D$61,$C288,'Inhalation Exposure'!$E$4:$E$61,$E288),SUMIFS('Inhalation Exposure'!$Q$4:$Q$61,'Inhalation Exposure'!$B$4:$B$61,$B288,'Inhalation Exposure'!$D$4:$D$61,$C288,'Inhalation Exposure'!$E$4:$E$61,$E288)),IF($K288="Central Tendency",SUMIFS('Dermal Crosswalk'!$Q$5:$Q$32,'Dermal Crosswalk'!$A$5:$A$32,'Bridge Table'!$B288,'Dermal Crosswalk'!$C$5:$C$32,'Bridge Table'!$E288),SUMIFS('Dermal Crosswalk'!$L$5:$L$32,'Dermal Crosswalk'!$A$5:$A$32,'Bridge Table'!$B288,'Dermal Crosswalk'!$C$5:$C$32,'Bridge Table'!$E288))),"--")</f>
        <v>2.6926021081342397</v>
      </c>
      <c r="O288" s="586">
        <f>IFERROR(IFERROR(VLOOKUP($D288,$Z$8:$AD$9,5,FALSE),0)*IF($D288="Inhalation",IF($K288="Central Tendency",SUMIFS('Inhalation Exposure'!$V$4:$V$61,'Inhalation Exposure'!$B$4:$B$61,$B288,'Inhalation Exposure'!$D$4:$D$61,$C288,'Inhalation Exposure'!$E$4:$E$61,$E288),SUMIFS('Inhalation Exposure'!$U$4:$U$61,'Inhalation Exposure'!$B$4:$B$61,$B288,'Inhalation Exposure'!$D$4:$D$61,$C288,'Inhalation Exposure'!$E$4:$E$61,$E288)),IF($K288="Central Tendency",SUMIFS('Dermal Crosswalk'!$R$5:$R$32,'Dermal Crosswalk'!$A$5:$A$32,'Bridge Table'!$B288,'Dermal Crosswalk'!$C$5:$C$32,'Bridge Table'!$E288),SUMIFS('Dermal Crosswalk'!$M$5:$M$32,'Dermal Crosswalk'!$A$5:$A$32,'Bridge Table'!$B288,'Dermal Crosswalk'!$C$5:$C$32,'Bridge Table'!$E288))),"--")</f>
        <v>9.8724204068976126E-3</v>
      </c>
      <c r="P288" s="382">
        <f>L288*U288</f>
        <v>31.953454692846996</v>
      </c>
      <c r="Q288" s="382">
        <f t="shared" ref="Q288" si="87">M288*V288</f>
        <v>12.574418313204731</v>
      </c>
      <c r="R288" s="382">
        <f>N288*W288</f>
        <v>13.463010540671199</v>
      </c>
      <c r="S288" s="383">
        <f>O288/X288</f>
        <v>1.9744840813795224E-3</v>
      </c>
      <c r="U288" s="378">
        <v>5</v>
      </c>
      <c r="V288" s="379">
        <v>5</v>
      </c>
      <c r="W288" s="379">
        <v>5</v>
      </c>
      <c r="X288" s="380">
        <v>5</v>
      </c>
    </row>
    <row r="289" spans="1:24" ht="15" thickBot="1" x14ac:dyDescent="0.35">
      <c r="A289" s="372"/>
      <c r="B289" s="360" t="s">
        <v>146</v>
      </c>
      <c r="C289" s="361" t="s">
        <v>25</v>
      </c>
      <c r="D289" s="361" t="s">
        <v>16</v>
      </c>
      <c r="E289" s="362" t="s">
        <v>24</v>
      </c>
      <c r="F289" s="589"/>
      <c r="G289" s="589"/>
      <c r="H289" s="589"/>
      <c r="I289" s="589"/>
      <c r="J289" s="589"/>
      <c r="K289" s="608"/>
      <c r="L289" s="587"/>
      <c r="M289" s="587"/>
      <c r="N289" s="587"/>
      <c r="O289" s="587"/>
      <c r="P289" s="373" t="str">
        <f>CONCATENATE("(PF ",U288,")")</f>
        <v>(PF 5)</v>
      </c>
      <c r="Q289" s="373" t="str">
        <f>CONCATENATE("(PF ",V288,")")</f>
        <v>(PF 5)</v>
      </c>
      <c r="R289" s="373" t="str">
        <f>CONCATENATE("(PF ",W288,")")</f>
        <v>(PF 5)</v>
      </c>
      <c r="S289" s="373" t="str">
        <f>CONCATENATE("(PF ",X288,")")</f>
        <v>(PF 5)</v>
      </c>
      <c r="U289" s="374" t="s">
        <v>119</v>
      </c>
      <c r="V289" s="375" t="s">
        <v>119</v>
      </c>
      <c r="W289" s="375" t="s">
        <v>119</v>
      </c>
      <c r="X289" s="376" t="s">
        <v>119</v>
      </c>
    </row>
    <row r="290" spans="1:24" ht="15" customHeight="1" thickBot="1" x14ac:dyDescent="0.35">
      <c r="A290" s="372"/>
      <c r="B290" s="360" t="s">
        <v>146</v>
      </c>
      <c r="C290" s="361" t="s">
        <v>25</v>
      </c>
      <c r="D290" s="361" t="s">
        <v>16</v>
      </c>
      <c r="E290" s="362" t="s">
        <v>24</v>
      </c>
      <c r="F290" s="589"/>
      <c r="G290" s="589"/>
      <c r="H290" s="589"/>
      <c r="I290" s="589"/>
      <c r="J290" s="589"/>
      <c r="K290" s="584" t="s">
        <v>88</v>
      </c>
      <c r="L290" s="586">
        <f>IFERROR(IFERROR(VLOOKUP($D290,$Z$8:$AD$9,2,FALSE),0)/IF($D290="Inhalation",IF($K290="Central Tendency",SUMIFS('Inhalation Exposure'!$N$4:$N$61,'Inhalation Exposure'!$B$4:$B$61,$B290,'Inhalation Exposure'!$D$4:$D$61,$C290,'Inhalation Exposure'!$E$4:$E$61,$E290),SUMIFS('Inhalation Exposure'!$M$4:$M$61,'Inhalation Exposure'!$B$4:$B$61,$B290,'Inhalation Exposure'!$D$4:$D$61,$C290,'Inhalation Exposure'!$E$4:$E$61,$E290)),IF($K290="Central Tendency",SUMIFS('Dermal Crosswalk'!$P$5:$P$32,'Dermal Crosswalk'!$A$5:$A$32,'Bridge Table'!$B290,'Dermal Crosswalk'!$C$5:$C$32,'Bridge Table'!$E290),SUMIFS('Dermal Crosswalk'!$K$5:$K$32,'Dermal Crosswalk'!$A$5:$A$32,'Bridge Table'!$B290,'Dermal Crosswalk'!$C$5:$C$32,'Bridge Table'!$E290))),"--")</f>
        <v>1.1788653187652289</v>
      </c>
      <c r="M290" s="586">
        <f>IFERROR(IFERROR(VLOOKUP($D290,$Z$8:$AD$9,3,FALSE),0)/IF($D290="Inhalation",IF($K290="Central Tendency",SUMIFS('Inhalation Exposure'!$AB$4:$AB$61,'Inhalation Exposure'!$B$4:$B$61,$B290,'Inhalation Exposure'!$D$4:$D$61,$C290,'Inhalation Exposure'!$E$4:$E$61,$E290),SUMIFS('Inhalation Exposure'!$AA$4:$AA$61,'Inhalation Exposure'!$B$4:$B$61,$B290,'Inhalation Exposure'!$D$4:$D$61,$C290,'Inhalation Exposure'!$E$4:$E$61,$E290)),IF($K290="Central Tendency",SUMIFS('Dermal Crosswalk'!$S$5:$S$32,'Dermal Crosswalk'!$A$5:$A$32,'Bridge Table'!$B290,'Dermal Crosswalk'!$C$5:$C$32,'Bridge Table'!$E290),SUMIFS('Dermal Crosswalk'!$N$5:$N$32,'Dermal Crosswalk'!$A$5:$A$32,'Bridge Table'!$B290,'Dermal Crosswalk'!$C$5:$C$32,'Bridge Table'!$E290))),"--")</f>
        <v>0.46391057854541723</v>
      </c>
      <c r="N290" s="586">
        <f>IFERROR(IFERROR(VLOOKUP($D290,$Z$8:$AD$9,4,FALSE),0)/IF($D290="Inhalation",IF($K290="Central Tendency",SUMIFS('Inhalation Exposure'!$R$4:$R$61,'Inhalation Exposure'!$B$4:$B$61,$B290,'Inhalation Exposure'!$D$4:$D$61,$C290,'Inhalation Exposure'!$E$4:$E$61,$E290),SUMIFS('Inhalation Exposure'!$Q$4:$Q$61,'Inhalation Exposure'!$B$4:$B$61,$B290,'Inhalation Exposure'!$D$4:$D$61,$C290,'Inhalation Exposure'!$E$4:$E$61,$E290)),IF($K290="Central Tendency",SUMIFS('Dermal Crosswalk'!$Q$5:$Q$32,'Dermal Crosswalk'!$A$5:$A$32,'Bridge Table'!$B290,'Dermal Crosswalk'!$C$5:$C$32,'Bridge Table'!$E290),SUMIFS('Dermal Crosswalk'!$L$5:$L$32,'Dermal Crosswalk'!$A$5:$A$32,'Bridge Table'!$B290,'Dermal Crosswalk'!$C$5:$C$32,'Bridge Table'!$E290))),"--")</f>
        <v>0.49669359276262676</v>
      </c>
      <c r="O290" s="586">
        <f>IFERROR(IFERROR(VLOOKUP($D290,$Z$8:$AD$9,5,FALSE),0)*IF($D290="Inhalation",IF($K290="Central Tendency",SUMIFS('Inhalation Exposure'!$V$4:$V$61,'Inhalation Exposure'!$B$4:$B$61,$B290,'Inhalation Exposure'!$D$4:$D$61,$C290,'Inhalation Exposure'!$E$4:$E$61,$E290),SUMIFS('Inhalation Exposure'!$U$4:$U$61,'Inhalation Exposure'!$B$4:$B$61,$B290,'Inhalation Exposure'!$D$4:$D$61,$C290,'Inhalation Exposure'!$E$4:$E$61,$E290)),IF($K290="Central Tendency",SUMIFS('Dermal Crosswalk'!$R$5:$R$32,'Dermal Crosswalk'!$A$5:$A$32,'Bridge Table'!$B290,'Dermal Crosswalk'!$C$5:$C$32,'Bridge Table'!$E290),SUMIFS('Dermal Crosswalk'!$M$5:$M$32,'Dermal Crosswalk'!$A$5:$A$32,'Bridge Table'!$B290,'Dermal Crosswalk'!$C$5:$C$32,'Bridge Table'!$E290))),"--")</f>
        <v>6.905665887337549E-2</v>
      </c>
      <c r="P290" s="382">
        <f>L290*U290</f>
        <v>5.8943265938261451</v>
      </c>
      <c r="Q290" s="382">
        <f t="shared" ref="Q290" si="88">M290*V290</f>
        <v>2.3195528927270863</v>
      </c>
      <c r="R290" s="382">
        <f t="shared" ref="R290" si="89">N290*W290</f>
        <v>2.4834679638131338</v>
      </c>
      <c r="S290" s="383">
        <f>O290/X290</f>
        <v>1.3811331774675098E-2</v>
      </c>
      <c r="U290" s="378">
        <v>5</v>
      </c>
      <c r="V290" s="379">
        <v>5</v>
      </c>
      <c r="W290" s="379">
        <v>5</v>
      </c>
      <c r="X290" s="380">
        <v>5</v>
      </c>
    </row>
    <row r="291" spans="1:24" ht="15" thickBot="1" x14ac:dyDescent="0.35">
      <c r="A291" s="372"/>
      <c r="B291" s="360" t="s">
        <v>146</v>
      </c>
      <c r="C291" s="361" t="s">
        <v>25</v>
      </c>
      <c r="D291" s="361" t="s">
        <v>16</v>
      </c>
      <c r="E291" s="362" t="s">
        <v>24</v>
      </c>
      <c r="F291" s="589"/>
      <c r="G291" s="589"/>
      <c r="H291" s="589"/>
      <c r="I291" s="590"/>
      <c r="J291" s="590"/>
      <c r="K291" s="588"/>
      <c r="L291" s="587"/>
      <c r="M291" s="587"/>
      <c r="N291" s="587"/>
      <c r="O291" s="587"/>
      <c r="P291" s="373" t="str">
        <f>CONCATENATE("(PF ",U290,")")</f>
        <v>(PF 5)</v>
      </c>
      <c r="Q291" s="373" t="str">
        <f>CONCATENATE("(PF ",V290,")")</f>
        <v>(PF 5)</v>
      </c>
      <c r="R291" s="373" t="str">
        <f>CONCATENATE("(PF ",W290,")")</f>
        <v>(PF 5)</v>
      </c>
      <c r="S291" s="373" t="str">
        <f>CONCATENATE("(PF ",X290,")")</f>
        <v>(PF 5)</v>
      </c>
      <c r="U291" s="374" t="s">
        <v>119</v>
      </c>
      <c r="V291" s="375" t="s">
        <v>119</v>
      </c>
      <c r="W291" s="375" t="s">
        <v>119</v>
      </c>
      <c r="X291" s="376" t="s">
        <v>119</v>
      </c>
    </row>
    <row r="292" spans="1:24" ht="15.6" customHeight="1" thickTop="1" thickBot="1" x14ac:dyDescent="0.35">
      <c r="A292" s="372"/>
      <c r="B292" s="360" t="s">
        <v>146</v>
      </c>
      <c r="C292" s="361" t="s">
        <v>25</v>
      </c>
      <c r="D292" s="361" t="s">
        <v>16</v>
      </c>
      <c r="E292" s="362" t="s">
        <v>117</v>
      </c>
      <c r="F292" s="589"/>
      <c r="G292" s="589"/>
      <c r="H292" s="589"/>
      <c r="I292" s="609" t="s">
        <v>25</v>
      </c>
      <c r="J292" s="609" t="s">
        <v>16</v>
      </c>
      <c r="K292" s="607" t="s">
        <v>54</v>
      </c>
      <c r="L292" s="586">
        <f>IFERROR(IFERROR(VLOOKUP($D292,$Z$8:$AD$9,2,FALSE),0)/IF($D292="Inhalation",IF($K292="Central Tendency",SUMIFS('Inhalation Exposure'!$N$4:$N$61,'Inhalation Exposure'!$B$4:$B$61,$B292,'Inhalation Exposure'!$D$4:$D$61,$C292,'Inhalation Exposure'!$E$4:$E$61,$E292),SUMIFS('Inhalation Exposure'!$M$4:$M$61,'Inhalation Exposure'!$B$4:$B$61,$B292,'Inhalation Exposure'!$D$4:$D$61,$C292,'Inhalation Exposure'!$E$4:$E$61,$E292)),IF($K292="Central Tendency",SUMIFS('Dermal Crosswalk'!$P$5:$P$32,'Dermal Crosswalk'!$A$5:$A$32,'Bridge Table'!$B292,'Dermal Crosswalk'!$C$5:$C$32,'Bridge Table'!$E292),SUMIFS('Dermal Crosswalk'!$K$5:$K$32,'Dermal Crosswalk'!$A$5:$A$32,'Bridge Table'!$B292,'Dermal Crosswalk'!$C$5:$C$32,'Bridge Table'!$E292))),"--")</f>
        <v>6.3906909385693993</v>
      </c>
      <c r="M292" s="586">
        <f>IFERROR(IFERROR(VLOOKUP($D292,$Z$8:$AD$9,3,FALSE),0)/IF($D292="Inhalation",IF($K292="Central Tendency",SUMIFS('Inhalation Exposure'!$AB$4:$AB$61,'Inhalation Exposure'!$B$4:$B$61,$B292,'Inhalation Exposure'!$D$4:$D$61,$C292,'Inhalation Exposure'!$E$4:$E$61,$E292),SUMIFS('Inhalation Exposure'!$AA$4:$AA$61,'Inhalation Exposure'!$B$4:$B$61,$B292,'Inhalation Exposure'!$D$4:$D$61,$C292,'Inhalation Exposure'!$E$4:$E$61,$E292)),IF($K292="Central Tendency",SUMIFS('Dermal Crosswalk'!$S$5:$S$32,'Dermal Crosswalk'!$A$5:$A$32,'Bridge Table'!$B292,'Dermal Crosswalk'!$C$5:$C$32,'Bridge Table'!$E292),SUMIFS('Dermal Crosswalk'!$N$5:$N$32,'Dermal Crosswalk'!$A$5:$A$32,'Bridge Table'!$B292,'Dermal Crosswalk'!$C$5:$C$32,'Bridge Table'!$E292))),"--")</f>
        <v>2.5148836626409463</v>
      </c>
      <c r="N292" s="586">
        <f>IFERROR(IFERROR(VLOOKUP($D292,$Z$8:$AD$9,4,FALSE),0)/IF($D292="Inhalation",IF($K292="Central Tendency",SUMIFS('Inhalation Exposure'!$R$4:$R$61,'Inhalation Exposure'!$B$4:$B$61,$B292,'Inhalation Exposure'!$D$4:$D$61,$C292,'Inhalation Exposure'!$E$4:$E$61,$E292),SUMIFS('Inhalation Exposure'!$Q$4:$Q$61,'Inhalation Exposure'!$B$4:$B$61,$B292,'Inhalation Exposure'!$D$4:$D$61,$C292,'Inhalation Exposure'!$E$4:$E$61,$E292)),IF($K292="Central Tendency",SUMIFS('Dermal Crosswalk'!$Q$5:$Q$32,'Dermal Crosswalk'!$A$5:$A$32,'Bridge Table'!$B292,'Dermal Crosswalk'!$C$5:$C$32,'Bridge Table'!$E292),SUMIFS('Dermal Crosswalk'!$L$5:$L$32,'Dermal Crosswalk'!$A$5:$A$32,'Bridge Table'!$B292,'Dermal Crosswalk'!$C$5:$C$32,'Bridge Table'!$E292))),"--")</f>
        <v>2.6926021081342397</v>
      </c>
      <c r="O292" s="586">
        <f>IFERROR(IFERROR(VLOOKUP($D292,$Z$8:$AD$9,5,FALSE),0)*IF($D292="Inhalation",IF($K292="Central Tendency",SUMIFS('Inhalation Exposure'!$V$4:$V$61,'Inhalation Exposure'!$B$4:$B$61,$B292,'Inhalation Exposure'!$D$4:$D$61,$C292,'Inhalation Exposure'!$E$4:$E$61,$E292),SUMIFS('Inhalation Exposure'!$U$4:$U$61,'Inhalation Exposure'!$B$4:$B$61,$B292,'Inhalation Exposure'!$D$4:$D$61,$C292,'Inhalation Exposure'!$E$4:$E$61,$E292)),IF($K292="Central Tendency",SUMIFS('Dermal Crosswalk'!$R$5:$R$32,'Dermal Crosswalk'!$A$5:$A$32,'Bridge Table'!$B292,'Dermal Crosswalk'!$C$5:$C$32,'Bridge Table'!$E292),SUMIFS('Dermal Crosswalk'!$M$5:$M$32,'Dermal Crosswalk'!$A$5:$A$32,'Bridge Table'!$B292,'Dermal Crosswalk'!$C$5:$C$32,'Bridge Table'!$E292))),"--")</f>
        <v>9.8724204068976126E-3</v>
      </c>
      <c r="P292" s="382">
        <f>L292*U292</f>
        <v>31.953454692846996</v>
      </c>
      <c r="Q292" s="382">
        <f t="shared" ref="Q292" si="90">M292*V292</f>
        <v>12.574418313204731</v>
      </c>
      <c r="R292" s="382">
        <f t="shared" ref="R292" si="91">N292*W292</f>
        <v>13.463010540671199</v>
      </c>
      <c r="S292" s="383">
        <f>O292/X292</f>
        <v>1.9744840813795224E-3</v>
      </c>
      <c r="U292" s="378">
        <v>5</v>
      </c>
      <c r="V292" s="379">
        <v>5</v>
      </c>
      <c r="W292" s="379">
        <v>5</v>
      </c>
      <c r="X292" s="380">
        <v>5</v>
      </c>
    </row>
    <row r="293" spans="1:24" ht="15" thickBot="1" x14ac:dyDescent="0.35">
      <c r="A293" s="372"/>
      <c r="B293" s="360" t="s">
        <v>146</v>
      </c>
      <c r="C293" s="361" t="s">
        <v>25</v>
      </c>
      <c r="D293" s="361" t="s">
        <v>16</v>
      </c>
      <c r="E293" s="362" t="s">
        <v>117</v>
      </c>
      <c r="F293" s="589"/>
      <c r="G293" s="589"/>
      <c r="H293" s="589"/>
      <c r="I293" s="589"/>
      <c r="J293" s="589"/>
      <c r="K293" s="608"/>
      <c r="L293" s="587"/>
      <c r="M293" s="587"/>
      <c r="N293" s="587"/>
      <c r="O293" s="587"/>
      <c r="P293" s="373" t="str">
        <f>CONCATENATE("(PF ",U292,")")</f>
        <v>(PF 5)</v>
      </c>
      <c r="Q293" s="373" t="str">
        <f>CONCATENATE("(PF ",V292,")")</f>
        <v>(PF 5)</v>
      </c>
      <c r="R293" s="373" t="str">
        <f>CONCATENATE("(PF ",W292,")")</f>
        <v>(PF 5)</v>
      </c>
      <c r="S293" s="373" t="str">
        <f>CONCATENATE("(PF ",X292,")")</f>
        <v>(PF 5)</v>
      </c>
      <c r="U293" s="374" t="s">
        <v>119</v>
      </c>
      <c r="V293" s="375" t="s">
        <v>119</v>
      </c>
      <c r="W293" s="375" t="s">
        <v>119</v>
      </c>
      <c r="X293" s="376" t="s">
        <v>119</v>
      </c>
    </row>
    <row r="294" spans="1:24" ht="15.6" customHeight="1" thickBot="1" x14ac:dyDescent="0.35">
      <c r="A294" s="372"/>
      <c r="B294" s="360" t="s">
        <v>146</v>
      </c>
      <c r="C294" s="361" t="s">
        <v>25</v>
      </c>
      <c r="D294" s="361" t="s">
        <v>16</v>
      </c>
      <c r="E294" s="362" t="s">
        <v>117</v>
      </c>
      <c r="F294" s="589"/>
      <c r="G294" s="589"/>
      <c r="H294" s="589"/>
      <c r="I294" s="589"/>
      <c r="J294" s="589"/>
      <c r="K294" s="584" t="s">
        <v>88</v>
      </c>
      <c r="L294" s="586">
        <f>IFERROR(IFERROR(VLOOKUP($D294,$Z$8:$AD$9,2,FALSE),0)/IF($D294="Inhalation",IF($K294="Central Tendency",SUMIFS('Inhalation Exposure'!$N$4:$N$61,'Inhalation Exposure'!$B$4:$B$61,$B294,'Inhalation Exposure'!$D$4:$D$61,$C294,'Inhalation Exposure'!$E$4:$E$61,$E294),SUMIFS('Inhalation Exposure'!$M$4:$M$61,'Inhalation Exposure'!$B$4:$B$61,$B294,'Inhalation Exposure'!$D$4:$D$61,$C294,'Inhalation Exposure'!$E$4:$E$61,$E294)),IF($K294="Central Tendency",SUMIFS('Dermal Crosswalk'!$P$5:$P$32,'Dermal Crosswalk'!$A$5:$A$32,'Bridge Table'!$B294,'Dermal Crosswalk'!$C$5:$C$32,'Bridge Table'!$E294),SUMIFS('Dermal Crosswalk'!$K$5:$K$32,'Dermal Crosswalk'!$A$5:$A$32,'Bridge Table'!$B294,'Dermal Crosswalk'!$C$5:$C$32,'Bridge Table'!$E294))),"--")</f>
        <v>1.1788653187652289</v>
      </c>
      <c r="M294" s="586">
        <f>IFERROR(IFERROR(VLOOKUP($D294,$Z$8:$AD$9,3,FALSE),0)/IF($D294="Inhalation",IF($K294="Central Tendency",SUMIFS('Inhalation Exposure'!$AB$4:$AB$61,'Inhalation Exposure'!$B$4:$B$61,$B294,'Inhalation Exposure'!$D$4:$D$61,$C294,'Inhalation Exposure'!$E$4:$E$61,$E294),SUMIFS('Inhalation Exposure'!$AA$4:$AA$61,'Inhalation Exposure'!$B$4:$B$61,$B294,'Inhalation Exposure'!$D$4:$D$61,$C294,'Inhalation Exposure'!$E$4:$E$61,$E294)),IF($K294="Central Tendency",SUMIFS('Dermal Crosswalk'!$S$5:$S$32,'Dermal Crosswalk'!$A$5:$A$32,'Bridge Table'!$B294,'Dermal Crosswalk'!$C$5:$C$32,'Bridge Table'!$E294),SUMIFS('Dermal Crosswalk'!$N$5:$N$32,'Dermal Crosswalk'!$A$5:$A$32,'Bridge Table'!$B294,'Dermal Crosswalk'!$C$5:$C$32,'Bridge Table'!$E294))),"--")</f>
        <v>0.46391057854541723</v>
      </c>
      <c r="N294" s="586">
        <f>IFERROR(IFERROR(VLOOKUP($D294,$Z$8:$AD$9,4,FALSE),0)/IF($D294="Inhalation",IF($K294="Central Tendency",SUMIFS('Inhalation Exposure'!$R$4:$R$61,'Inhalation Exposure'!$B$4:$B$61,$B294,'Inhalation Exposure'!$D$4:$D$61,$C294,'Inhalation Exposure'!$E$4:$E$61,$E294),SUMIFS('Inhalation Exposure'!$Q$4:$Q$61,'Inhalation Exposure'!$B$4:$B$61,$B294,'Inhalation Exposure'!$D$4:$D$61,$C294,'Inhalation Exposure'!$E$4:$E$61,$E294)),IF($K294="Central Tendency",SUMIFS('Dermal Crosswalk'!$Q$5:$Q$32,'Dermal Crosswalk'!$A$5:$A$32,'Bridge Table'!$B294,'Dermal Crosswalk'!$C$5:$C$32,'Bridge Table'!$E294),SUMIFS('Dermal Crosswalk'!$L$5:$L$32,'Dermal Crosswalk'!$A$5:$A$32,'Bridge Table'!$B294,'Dermal Crosswalk'!$C$5:$C$32,'Bridge Table'!$E294))),"--")</f>
        <v>0.49669359276262676</v>
      </c>
      <c r="O294" s="586">
        <f>IFERROR(IFERROR(VLOOKUP($D294,$Z$8:$AD$9,5,FALSE),0)*IF($D294="Inhalation",IF($K294="Central Tendency",SUMIFS('Inhalation Exposure'!$V$4:$V$61,'Inhalation Exposure'!$B$4:$B$61,$B294,'Inhalation Exposure'!$D$4:$D$61,$C294,'Inhalation Exposure'!$E$4:$E$61,$E294),SUMIFS('Inhalation Exposure'!$U$4:$U$61,'Inhalation Exposure'!$B$4:$B$61,$B294,'Inhalation Exposure'!$D$4:$D$61,$C294,'Inhalation Exposure'!$E$4:$E$61,$E294)),IF($K294="Central Tendency",SUMIFS('Dermal Crosswalk'!$R$5:$R$32,'Dermal Crosswalk'!$A$5:$A$32,'Bridge Table'!$B294,'Dermal Crosswalk'!$C$5:$C$32,'Bridge Table'!$E294),SUMIFS('Dermal Crosswalk'!$M$5:$M$32,'Dermal Crosswalk'!$A$5:$A$32,'Bridge Table'!$B294,'Dermal Crosswalk'!$C$5:$C$32,'Bridge Table'!$E294))),"--")</f>
        <v>6.905665887337549E-2</v>
      </c>
      <c r="P294" s="363">
        <f>L294*U294</f>
        <v>5.8943265938261451</v>
      </c>
      <c r="Q294" s="363">
        <f t="shared" ref="Q294" si="92">M294*V294</f>
        <v>2.3195528927270863</v>
      </c>
      <c r="R294" s="363">
        <f t="shared" ref="R294" si="93">N294*W294</f>
        <v>2.4834679638131338</v>
      </c>
      <c r="S294" s="364">
        <f>O294/X294</f>
        <v>1.3811331774675098E-2</v>
      </c>
      <c r="U294" s="378">
        <v>5</v>
      </c>
      <c r="V294" s="379">
        <v>5</v>
      </c>
      <c r="W294" s="379">
        <v>5</v>
      </c>
      <c r="X294" s="380">
        <v>5</v>
      </c>
    </row>
    <row r="295" spans="1:24" ht="15" thickBot="1" x14ac:dyDescent="0.35">
      <c r="A295" s="372"/>
      <c r="B295" s="360" t="s">
        <v>146</v>
      </c>
      <c r="C295" s="361" t="s">
        <v>25</v>
      </c>
      <c r="D295" s="361" t="s">
        <v>16</v>
      </c>
      <c r="E295" s="362" t="s">
        <v>117</v>
      </c>
      <c r="F295" s="587"/>
      <c r="G295" s="587"/>
      <c r="H295" s="587"/>
      <c r="I295" s="587"/>
      <c r="J295" s="587"/>
      <c r="K295" s="585"/>
      <c r="L295" s="587"/>
      <c r="M295" s="587"/>
      <c r="N295" s="587"/>
      <c r="O295" s="587"/>
      <c r="P295" s="373" t="str">
        <f>CONCATENATE("(PF ",U294,")")</f>
        <v>(PF 5)</v>
      </c>
      <c r="Q295" s="373" t="str">
        <f>CONCATENATE("(PF ",V294,")")</f>
        <v>(PF 5)</v>
      </c>
      <c r="R295" s="373" t="str">
        <f>CONCATENATE("(PF ",W294,")")</f>
        <v>(PF 5)</v>
      </c>
      <c r="S295" s="373" t="str">
        <f>CONCATENATE("(PF ",X294,")")</f>
        <v>(PF 5)</v>
      </c>
      <c r="U295" s="384" t="s">
        <v>119</v>
      </c>
      <c r="V295" s="385" t="s">
        <v>119</v>
      </c>
      <c r="W295" s="385" t="s">
        <v>119</v>
      </c>
      <c r="X295" s="386" t="s">
        <v>119</v>
      </c>
    </row>
    <row r="296" spans="1:24" ht="15" customHeight="1" thickBot="1" x14ac:dyDescent="0.35">
      <c r="A296" s="372"/>
      <c r="B296" s="360">
        <v>7</v>
      </c>
      <c r="C296" s="361" t="s">
        <v>25</v>
      </c>
      <c r="D296" s="361" t="s">
        <v>111</v>
      </c>
      <c r="E296" s="362" t="s">
        <v>24</v>
      </c>
      <c r="F296" s="586" t="s">
        <v>148</v>
      </c>
      <c r="G296" s="586" t="s">
        <v>149</v>
      </c>
      <c r="H296" s="586" t="s">
        <v>150</v>
      </c>
      <c r="I296" s="586" t="s">
        <v>25</v>
      </c>
      <c r="J296" s="586" t="s">
        <v>115</v>
      </c>
      <c r="K296" s="584" t="s">
        <v>54</v>
      </c>
      <c r="L296" s="586">
        <f>IFERROR(IFERROR(VLOOKUP($D296,$Z$8:$AD$9,2,FALSE),0)/IF($D296="Inhalation",IF($K296="Central Tendency",SUMIFS('Inhalation Exposure'!$N$4:$N$61,'Inhalation Exposure'!$B$4:$B$61,$B296,'Inhalation Exposure'!$D$4:$D$61,$C296,'Inhalation Exposure'!$E$4:$E$61,$E296),SUMIFS('Inhalation Exposure'!$M$4:$M$61,'Inhalation Exposure'!$B$4:$B$61,$B296,'Inhalation Exposure'!$D$4:$D$61,$C296,'Inhalation Exposure'!$E$4:$E$61,$E296)),IF($K296="Central Tendency",SUMIFS('Dermal Crosswalk'!$P$5:$P$32,'Dermal Crosswalk'!$A$5:$A$32,'Bridge Table'!$B296,'Dermal Crosswalk'!$C$5:$C$32,'Bridge Table'!$E296),SUMIFS('Dermal Crosswalk'!$K$5:$K$32,'Dermal Crosswalk'!$A$5:$A$32,'Bridge Table'!$B296,'Dermal Crosswalk'!$C$5:$C$32,'Bridge Table'!$E296))),"--")</f>
        <v>5823461.538461538</v>
      </c>
      <c r="M296" s="586">
        <f>IFERROR(IFERROR(VLOOKUP($D296,$Z$8:$AD$9,3,FALSE),0)/IF($D296="Inhalation",IF($K296="Central Tendency",SUMIFS('Inhalation Exposure'!$AB$4:$AB$61,'Inhalation Exposure'!$B$4:$B$61,$B296,'Inhalation Exposure'!$D$4:$D$61,$C296,'Inhalation Exposure'!$E$4:$E$61,$E296),SUMIFS('Inhalation Exposure'!$AA$4:$AA$61,'Inhalation Exposure'!$B$4:$B$61,$B296,'Inhalation Exposure'!$D$4:$D$61,$C296,'Inhalation Exposure'!$E$4:$E$61,$E296)),IF($K296="Central Tendency",SUMIFS('Dermal Crosswalk'!$S$5:$S$32,'Dermal Crosswalk'!$A$5:$A$32,'Bridge Table'!$B296,'Dermal Crosswalk'!$C$5:$C$32,'Bridge Table'!$E296),SUMIFS('Dermal Crosswalk'!$N$5:$N$32,'Dermal Crosswalk'!$A$5:$A$32,'Bridge Table'!$B296,'Dermal Crosswalk'!$C$5:$C$32,'Bridge Table'!$E296))),"--")</f>
        <v>2297517.4825174827</v>
      </c>
      <c r="N296" s="586">
        <f>IFERROR(IFERROR(VLOOKUP($D296,$Z$8:$AD$9,4,FALSE),0)/IF($D296="Inhalation",IF($K296="Central Tendency",SUMIFS('Inhalation Exposure'!$R$4:$R$61,'Inhalation Exposure'!$B$4:$B$61,$B296,'Inhalation Exposure'!$D$4:$D$61,$C296,'Inhalation Exposure'!$E$4:$E$61,$E296),SUMIFS('Inhalation Exposure'!$Q$4:$Q$61,'Inhalation Exposure'!$B$4:$B$61,$B296,'Inhalation Exposure'!$D$4:$D$61,$C296,'Inhalation Exposure'!$E$4:$E$61,$E296)),IF($K296="Central Tendency",SUMIFS('Dermal Crosswalk'!$Q$5:$Q$32,'Dermal Crosswalk'!$A$5:$A$32,'Bridge Table'!$B296,'Dermal Crosswalk'!$C$5:$C$32,'Bridge Table'!$E296),SUMIFS('Dermal Crosswalk'!$L$5:$L$32,'Dermal Crosswalk'!$A$5:$A$32,'Bridge Table'!$B296,'Dermal Crosswalk'!$C$5:$C$32,'Bridge Table'!$E296))),"--")</f>
        <v>2459875.384615385</v>
      </c>
      <c r="O296" s="586">
        <f>IFERROR(IFERROR(VLOOKUP($D296,$Z$8:$AD$9,5,FALSE),0)*IF($D296="Inhalation",IF($K296="Central Tendency",SUMIFS('Inhalation Exposure'!$V$4:$V$61,'Inhalation Exposure'!$B$4:$B$61,$B296,'Inhalation Exposure'!$D$4:$D$61,$C296,'Inhalation Exposure'!$E$4:$E$61,$E296),SUMIFS('Inhalation Exposure'!$U$4:$U$61,'Inhalation Exposure'!$B$4:$B$61,$B296,'Inhalation Exposure'!$D$4:$D$61,$C296,'Inhalation Exposure'!$E$4:$E$61,$E296)),IF($K296="Central Tendency",SUMIFS('Dermal Crosswalk'!$R$5:$R$32,'Dermal Crosswalk'!$A$5:$A$32,'Bridge Table'!$B296,'Dermal Crosswalk'!$C$5:$C$32,'Bridge Table'!$E296),SUMIFS('Dermal Crosswalk'!$M$5:$M$32,'Dermal Crosswalk'!$A$5:$A$32,'Bridge Table'!$B296,'Dermal Crosswalk'!$C$5:$C$32,'Bridge Table'!$E296))),"--")</f>
        <v>1.0857173919796229E-8</v>
      </c>
      <c r="P296" s="363">
        <f>IFERROR(L296*U296,"Not Assessed")</f>
        <v>58234615.384615377</v>
      </c>
      <c r="Q296" s="363">
        <f>IFERROR(M296*V296,"Not Assessed")</f>
        <v>22975174.825174827</v>
      </c>
      <c r="R296" s="363">
        <f>IFERROR(N296*W296,"Not Assessed")</f>
        <v>24598753.846153848</v>
      </c>
      <c r="S296" s="364">
        <f>IFERROR(O296/X296, "Not Assessed")</f>
        <v>1.0857173919796229E-9</v>
      </c>
      <c r="U296" s="365">
        <v>10</v>
      </c>
      <c r="V296" s="366">
        <v>10</v>
      </c>
      <c r="W296" s="366">
        <v>10</v>
      </c>
      <c r="X296" s="367">
        <v>10</v>
      </c>
    </row>
    <row r="297" spans="1:24" ht="15" thickBot="1" x14ac:dyDescent="0.35">
      <c r="A297" s="372"/>
      <c r="B297" s="360">
        <v>7</v>
      </c>
      <c r="C297" s="361" t="s">
        <v>25</v>
      </c>
      <c r="D297" s="361" t="s">
        <v>111</v>
      </c>
      <c r="E297" s="362" t="s">
        <v>24</v>
      </c>
      <c r="F297" s="589"/>
      <c r="G297" s="589"/>
      <c r="H297" s="589"/>
      <c r="I297" s="589"/>
      <c r="J297" s="589"/>
      <c r="K297" s="585"/>
      <c r="L297" s="587"/>
      <c r="M297" s="587"/>
      <c r="N297" s="587"/>
      <c r="O297" s="587"/>
      <c r="P297" s="373" t="str">
        <f>CONCATENATE("(APF ",U296,")")</f>
        <v>(APF 10)</v>
      </c>
      <c r="Q297" s="373" t="str">
        <f>CONCATENATE("(APF ",V296,")")</f>
        <v>(APF 10)</v>
      </c>
      <c r="R297" s="373" t="str">
        <f>CONCATENATE("(APF ",W296,")")</f>
        <v>(APF 10)</v>
      </c>
      <c r="S297" s="373" t="str">
        <f>CONCATENATE("(APF ",X296,")")</f>
        <v>(APF 10)</v>
      </c>
      <c r="U297" s="374" t="s">
        <v>116</v>
      </c>
      <c r="V297" s="375" t="s">
        <v>116</v>
      </c>
      <c r="W297" s="375" t="s">
        <v>116</v>
      </c>
      <c r="X297" s="376" t="s">
        <v>116</v>
      </c>
    </row>
    <row r="298" spans="1:24" ht="15" thickBot="1" x14ac:dyDescent="0.35">
      <c r="A298" s="372"/>
      <c r="B298" s="360">
        <v>7</v>
      </c>
      <c r="C298" s="361" t="s">
        <v>25</v>
      </c>
      <c r="D298" s="361" t="s">
        <v>111</v>
      </c>
      <c r="E298" s="362" t="s">
        <v>24</v>
      </c>
      <c r="F298" s="589"/>
      <c r="G298" s="589"/>
      <c r="H298" s="589"/>
      <c r="I298" s="589"/>
      <c r="J298" s="589"/>
      <c r="K298" s="584" t="s">
        <v>88</v>
      </c>
      <c r="L298" s="586">
        <f>IFERROR(IFERROR(VLOOKUP($D298,$Z$8:$AD$9,2,FALSE),0)/IF($D298="Inhalation",IF($K298="Central Tendency",SUMIFS('Inhalation Exposure'!$N$4:$N$61,'Inhalation Exposure'!$B$4:$B$61,$B298,'Inhalation Exposure'!$D$4:$D$61,$C298,'Inhalation Exposure'!$E$4:$E$61,$E298),SUMIFS('Inhalation Exposure'!$M$4:$M$61,'Inhalation Exposure'!$B$4:$B$61,$B298,'Inhalation Exposure'!$D$4:$D$61,$C298,'Inhalation Exposure'!$E$4:$E$61,$E298)),IF($K298="Central Tendency",SUMIFS('Dermal Crosswalk'!$P$5:$P$32,'Dermal Crosswalk'!$A$5:$A$32,'Bridge Table'!$B298,'Dermal Crosswalk'!$C$5:$C$32,'Bridge Table'!$E298),SUMIFS('Dermal Crosswalk'!$K$5:$K$32,'Dermal Crosswalk'!$A$5:$A$32,'Bridge Table'!$B298,'Dermal Crosswalk'!$C$5:$C$32,'Bridge Table'!$E298))),"--")</f>
        <v>5823461.538461538</v>
      </c>
      <c r="M298" s="586">
        <f>IFERROR(IFERROR(VLOOKUP($D298,$Z$8:$AD$9,3,FALSE),0)/IF($D298="Inhalation",IF($K298="Central Tendency",SUMIFS('Inhalation Exposure'!$AB$4:$AB$61,'Inhalation Exposure'!$B$4:$B$61,$B298,'Inhalation Exposure'!$D$4:$D$61,$C298,'Inhalation Exposure'!$E$4:$E$61,$E298),SUMIFS('Inhalation Exposure'!$AA$4:$AA$61,'Inhalation Exposure'!$B$4:$B$61,$B298,'Inhalation Exposure'!$D$4:$D$61,$C298,'Inhalation Exposure'!$E$4:$E$61,$E298)),IF($K298="Central Tendency",SUMIFS('Dermal Crosswalk'!$S$5:$S$32,'Dermal Crosswalk'!$A$5:$A$32,'Bridge Table'!$B298,'Dermal Crosswalk'!$C$5:$C$32,'Bridge Table'!$E298),SUMIFS('Dermal Crosswalk'!$N$5:$N$32,'Dermal Crosswalk'!$A$5:$A$32,'Bridge Table'!$B298,'Dermal Crosswalk'!$C$5:$C$32,'Bridge Table'!$E298))),"--")</f>
        <v>2297517.4825174827</v>
      </c>
      <c r="N298" s="586">
        <f>IFERROR(IFERROR(VLOOKUP($D298,$Z$8:$AD$9,4,FALSE),0)/IF($D298="Inhalation",IF($K298="Central Tendency",SUMIFS('Inhalation Exposure'!$R$4:$R$61,'Inhalation Exposure'!$B$4:$B$61,$B298,'Inhalation Exposure'!$D$4:$D$61,$C298,'Inhalation Exposure'!$E$4:$E$61,$E298),SUMIFS('Inhalation Exposure'!$Q$4:$Q$61,'Inhalation Exposure'!$B$4:$B$61,$B298,'Inhalation Exposure'!$D$4:$D$61,$C298,'Inhalation Exposure'!$E$4:$E$61,$E298)),IF($K298="Central Tendency",SUMIFS('Dermal Crosswalk'!$Q$5:$Q$32,'Dermal Crosswalk'!$A$5:$A$32,'Bridge Table'!$B298,'Dermal Crosswalk'!$C$5:$C$32,'Bridge Table'!$E298),SUMIFS('Dermal Crosswalk'!$L$5:$L$32,'Dermal Crosswalk'!$A$5:$A$32,'Bridge Table'!$B298,'Dermal Crosswalk'!$C$5:$C$32,'Bridge Table'!$E298))),"--")</f>
        <v>2459875.3846153845</v>
      </c>
      <c r="O298" s="586">
        <f>IFERROR(IFERROR(VLOOKUP($D298,$Z$8:$AD$9,5,FALSE),0)*IF($D298="Inhalation",IF($K298="Central Tendency",SUMIFS('Inhalation Exposure'!$V$4:$V$61,'Inhalation Exposure'!$B$4:$B$61,$B298,'Inhalation Exposure'!$D$4:$D$61,$C298,'Inhalation Exposure'!$E$4:$E$61,$E298),SUMIFS('Inhalation Exposure'!$U$4:$U$61,'Inhalation Exposure'!$B$4:$B$61,$B298,'Inhalation Exposure'!$D$4:$D$61,$C298,'Inhalation Exposure'!$E$4:$E$61,$E298)),IF($K298="Central Tendency",SUMIFS('Dermal Crosswalk'!$R$5:$R$32,'Dermal Crosswalk'!$A$5:$A$32,'Bridge Table'!$B298,'Dermal Crosswalk'!$C$5:$C$32,'Bridge Table'!$E298),SUMIFS('Dermal Crosswalk'!$M$5:$M$32,'Dermal Crosswalk'!$A$5:$A$32,'Bridge Table'!$B298,'Dermal Crosswalk'!$C$5:$C$32,'Bridge Table'!$E298))),"--")</f>
        <v>1.4009256670704812E-8</v>
      </c>
      <c r="P298" s="363">
        <f>IFERROR(L298*U298,"Not Assessed")</f>
        <v>58234615.384615377</v>
      </c>
      <c r="Q298" s="363">
        <f>IFERROR(M298*V298,"Not Assessed")</f>
        <v>22975174.825174827</v>
      </c>
      <c r="R298" s="363">
        <f>IFERROR(N298*W298,"Not Assessed")</f>
        <v>24598753.846153844</v>
      </c>
      <c r="S298" s="364">
        <f>IFERROR(O298/X298, "Not Assessed")</f>
        <v>1.4009256670704811E-9</v>
      </c>
      <c r="U298" s="378">
        <v>10</v>
      </c>
      <c r="V298" s="379">
        <v>10</v>
      </c>
      <c r="W298" s="379">
        <v>10</v>
      </c>
      <c r="X298" s="380">
        <v>10</v>
      </c>
    </row>
    <row r="299" spans="1:24" ht="15" thickBot="1" x14ac:dyDescent="0.35">
      <c r="A299" s="372"/>
      <c r="B299" s="360">
        <v>7</v>
      </c>
      <c r="C299" s="361" t="s">
        <v>25</v>
      </c>
      <c r="D299" s="361" t="s">
        <v>111</v>
      </c>
      <c r="E299" s="362" t="s">
        <v>24</v>
      </c>
      <c r="F299" s="589"/>
      <c r="G299" s="589"/>
      <c r="H299" s="589"/>
      <c r="I299" s="590"/>
      <c r="J299" s="590"/>
      <c r="K299" s="588"/>
      <c r="L299" s="587"/>
      <c r="M299" s="587"/>
      <c r="N299" s="587"/>
      <c r="O299" s="587"/>
      <c r="P299" s="373" t="str">
        <f>CONCATENATE("(APF ",U298,")")</f>
        <v>(APF 10)</v>
      </c>
      <c r="Q299" s="373" t="str">
        <f>CONCATENATE("(APF ",V298,")")</f>
        <v>(APF 10)</v>
      </c>
      <c r="R299" s="373" t="str">
        <f>CONCATENATE("(APF ",W298,")")</f>
        <v>(APF 10)</v>
      </c>
      <c r="S299" s="373" t="str">
        <f>CONCATENATE("(APF ",X298,")")</f>
        <v>(APF 10)</v>
      </c>
      <c r="U299" s="374" t="s">
        <v>116</v>
      </c>
      <c r="V299" s="375" t="s">
        <v>116</v>
      </c>
      <c r="W299" s="375" t="s">
        <v>116</v>
      </c>
      <c r="X299" s="376" t="s">
        <v>116</v>
      </c>
    </row>
    <row r="300" spans="1:24" ht="15" customHeight="1" thickBot="1" x14ac:dyDescent="0.35">
      <c r="A300" s="372"/>
      <c r="B300" s="360">
        <v>7</v>
      </c>
      <c r="C300" s="361" t="s">
        <v>25</v>
      </c>
      <c r="D300" s="361" t="s">
        <v>111</v>
      </c>
      <c r="E300" s="362" t="s">
        <v>117</v>
      </c>
      <c r="F300" s="589"/>
      <c r="G300" s="589"/>
      <c r="H300" s="589"/>
      <c r="I300" s="589" t="s">
        <v>25</v>
      </c>
      <c r="J300" s="586" t="s">
        <v>115</v>
      </c>
      <c r="K300" s="584" t="s">
        <v>54</v>
      </c>
      <c r="L300" s="586">
        <f>IFERROR(IFERROR(VLOOKUP($D300,$Z$8:$AD$9,2,FALSE),0)/IF($D300="Inhalation",IF($K300="Central Tendency",SUMIFS('Inhalation Exposure'!$N$4:$N$61,'Inhalation Exposure'!$B$4:$B$61,$B300,'Inhalation Exposure'!$D$4:$D$61,$C300,'Inhalation Exposure'!$E$4:$E$61,$E300),SUMIFS('Inhalation Exposure'!$M$4:$M$61,'Inhalation Exposure'!$B$4:$B$61,$B300,'Inhalation Exposure'!$D$4:$D$61,$C300,'Inhalation Exposure'!$E$4:$E$61,$E300)),IF($K300="Central Tendency",SUMIFS('Dermal Crosswalk'!$P$5:$P$32,'Dermal Crosswalk'!$A$5:$A$32,'Bridge Table'!$B300,'Dermal Crosswalk'!$C$5:$C$32,'Bridge Table'!$E300),SUMIFS('Dermal Crosswalk'!$K$5:$K$32,'Dermal Crosswalk'!$A$5:$A$32,'Bridge Table'!$B300,'Dermal Crosswalk'!$C$5:$C$32,'Bridge Table'!$E300))),"--")</f>
        <v>5823461.538461538</v>
      </c>
      <c r="M300" s="586">
        <f>IFERROR(IFERROR(VLOOKUP($D300,$Z$8:$AD$9,3,FALSE),0)/IF($D300="Inhalation",IF($K300="Central Tendency",SUMIFS('Inhalation Exposure'!$AB$4:$AB$61,'Inhalation Exposure'!$B$4:$B$61,$B300,'Inhalation Exposure'!$D$4:$D$61,$C300,'Inhalation Exposure'!$E$4:$E$61,$E300),SUMIFS('Inhalation Exposure'!$AA$4:$AA$61,'Inhalation Exposure'!$B$4:$B$61,$B300,'Inhalation Exposure'!$D$4:$D$61,$C300,'Inhalation Exposure'!$E$4:$E$61,$E300)),IF($K300="Central Tendency",SUMIFS('Dermal Crosswalk'!$S$5:$S$32,'Dermal Crosswalk'!$A$5:$A$32,'Bridge Table'!$B300,'Dermal Crosswalk'!$C$5:$C$32,'Bridge Table'!$E300),SUMIFS('Dermal Crosswalk'!$N$5:$N$32,'Dermal Crosswalk'!$A$5:$A$32,'Bridge Table'!$B300,'Dermal Crosswalk'!$C$5:$C$32,'Bridge Table'!$E300))),"--")</f>
        <v>2297517.4825174827</v>
      </c>
      <c r="N300" s="586">
        <f>IFERROR(IFERROR(VLOOKUP($D300,$Z$8:$AD$9,4,FALSE),0)/IF($D300="Inhalation",IF($K300="Central Tendency",SUMIFS('Inhalation Exposure'!$R$4:$R$61,'Inhalation Exposure'!$B$4:$B$61,$B300,'Inhalation Exposure'!$D$4:$D$61,$C300,'Inhalation Exposure'!$E$4:$E$61,$E300),SUMIFS('Inhalation Exposure'!$Q$4:$Q$61,'Inhalation Exposure'!$B$4:$B$61,$B300,'Inhalation Exposure'!$D$4:$D$61,$C300,'Inhalation Exposure'!$E$4:$E$61,$E300)),IF($K300="Central Tendency",SUMIFS('Dermal Crosswalk'!$Q$5:$Q$32,'Dermal Crosswalk'!$A$5:$A$32,'Bridge Table'!$B300,'Dermal Crosswalk'!$C$5:$C$32,'Bridge Table'!$E300),SUMIFS('Dermal Crosswalk'!$L$5:$L$32,'Dermal Crosswalk'!$A$5:$A$32,'Bridge Table'!$B300,'Dermal Crosswalk'!$C$5:$C$32,'Bridge Table'!$E300))),"--")</f>
        <v>2459875.384615385</v>
      </c>
      <c r="O300" s="586">
        <f>IFERROR(IFERROR(VLOOKUP($D300,$Z$8:$AD$9,5,FALSE),0)*IF($D300="Inhalation",IF($K300="Central Tendency",SUMIFS('Inhalation Exposure'!$V$4:$V$61,'Inhalation Exposure'!$B$4:$B$61,$B300,'Inhalation Exposure'!$D$4:$D$61,$C300,'Inhalation Exposure'!$E$4:$E$61,$E300),SUMIFS('Inhalation Exposure'!$U$4:$U$61,'Inhalation Exposure'!$B$4:$B$61,$B300,'Inhalation Exposure'!$D$4:$D$61,$C300,'Inhalation Exposure'!$E$4:$E$61,$E300)),IF($K300="Central Tendency",SUMIFS('Dermal Crosswalk'!$R$5:$R$32,'Dermal Crosswalk'!$A$5:$A$32,'Bridge Table'!$B300,'Dermal Crosswalk'!$C$5:$C$32,'Bridge Table'!$E300),SUMIFS('Dermal Crosswalk'!$M$5:$M$32,'Dermal Crosswalk'!$A$5:$A$32,'Bridge Table'!$B300,'Dermal Crosswalk'!$C$5:$C$32,'Bridge Table'!$E300))),"--")</f>
        <v>1.0857173919796229E-8</v>
      </c>
      <c r="P300" s="363">
        <f>IFERROR(L300*U300,"Not Assessed")</f>
        <v>58234615.384615377</v>
      </c>
      <c r="Q300" s="363">
        <f>IFERROR(M300*V300,"Not Assessed")</f>
        <v>22975174.825174827</v>
      </c>
      <c r="R300" s="363">
        <f>IFERROR(N300*W300,"Not Assessed")</f>
        <v>24598753.846153848</v>
      </c>
      <c r="S300" s="364">
        <f>IFERROR(O300/X300, "Not Assessed")</f>
        <v>1.0857173919796229E-9</v>
      </c>
      <c r="U300" s="378">
        <v>10</v>
      </c>
      <c r="V300" s="379">
        <v>10</v>
      </c>
      <c r="W300" s="379">
        <v>10</v>
      </c>
      <c r="X300" s="380">
        <v>10</v>
      </c>
    </row>
    <row r="301" spans="1:24" ht="15" thickBot="1" x14ac:dyDescent="0.35">
      <c r="A301" s="372"/>
      <c r="B301" s="360">
        <v>7</v>
      </c>
      <c r="C301" s="361" t="s">
        <v>25</v>
      </c>
      <c r="D301" s="361" t="s">
        <v>111</v>
      </c>
      <c r="E301" s="362" t="s">
        <v>117</v>
      </c>
      <c r="F301" s="589"/>
      <c r="G301" s="589"/>
      <c r="H301" s="589"/>
      <c r="I301" s="589"/>
      <c r="J301" s="589"/>
      <c r="K301" s="585"/>
      <c r="L301" s="587"/>
      <c r="M301" s="587"/>
      <c r="N301" s="587"/>
      <c r="O301" s="587"/>
      <c r="P301" s="373" t="str">
        <f>CONCATENATE("(APF ",U300,")")</f>
        <v>(APF 10)</v>
      </c>
      <c r="Q301" s="373" t="str">
        <f>CONCATENATE("(APF ",V300,")")</f>
        <v>(APF 10)</v>
      </c>
      <c r="R301" s="373" t="str">
        <f>CONCATENATE("(APF ",W300,")")</f>
        <v>(APF 10)</v>
      </c>
      <c r="S301" s="373" t="str">
        <f>CONCATENATE("(APF ",X300,")")</f>
        <v>(APF 10)</v>
      </c>
      <c r="U301" s="374" t="s">
        <v>116</v>
      </c>
      <c r="V301" s="375" t="s">
        <v>116</v>
      </c>
      <c r="W301" s="375" t="s">
        <v>116</v>
      </c>
      <c r="X301" s="376" t="s">
        <v>116</v>
      </c>
    </row>
    <row r="302" spans="1:24" ht="15" thickBot="1" x14ac:dyDescent="0.35">
      <c r="A302" s="372"/>
      <c r="B302" s="360">
        <v>7</v>
      </c>
      <c r="C302" s="361" t="s">
        <v>25</v>
      </c>
      <c r="D302" s="361" t="s">
        <v>111</v>
      </c>
      <c r="E302" s="362" t="s">
        <v>117</v>
      </c>
      <c r="F302" s="589"/>
      <c r="G302" s="589"/>
      <c r="H302" s="589"/>
      <c r="I302" s="589"/>
      <c r="J302" s="589"/>
      <c r="K302" s="584" t="s">
        <v>88</v>
      </c>
      <c r="L302" s="586">
        <f>IFERROR(IFERROR(VLOOKUP($D302,$Z$8:$AD$9,2,FALSE),0)/IF($D302="Inhalation",IF($K302="Central Tendency",SUMIFS('Inhalation Exposure'!$N$4:$N$61,'Inhalation Exposure'!$B$4:$B$61,$B302,'Inhalation Exposure'!$D$4:$D$61,$C302,'Inhalation Exposure'!$E$4:$E$61,$E302),SUMIFS('Inhalation Exposure'!$M$4:$M$61,'Inhalation Exposure'!$B$4:$B$61,$B302,'Inhalation Exposure'!$D$4:$D$61,$C302,'Inhalation Exposure'!$E$4:$E$61,$E302)),IF($K302="Central Tendency",SUMIFS('Dermal Crosswalk'!$P$5:$P$32,'Dermal Crosswalk'!$A$5:$A$32,'Bridge Table'!$B302,'Dermal Crosswalk'!$C$5:$C$32,'Bridge Table'!$E302),SUMIFS('Dermal Crosswalk'!$K$5:$K$32,'Dermal Crosswalk'!$A$5:$A$32,'Bridge Table'!$B302,'Dermal Crosswalk'!$C$5:$C$32,'Bridge Table'!$E302))),"--")</f>
        <v>5823461.538461538</v>
      </c>
      <c r="M302" s="586">
        <f>IFERROR(IFERROR(VLOOKUP($D302,$Z$8:$AD$9,3,FALSE),0)/IF($D302="Inhalation",IF($K302="Central Tendency",SUMIFS('Inhalation Exposure'!$AB$4:$AB$61,'Inhalation Exposure'!$B$4:$B$61,$B302,'Inhalation Exposure'!$D$4:$D$61,$C302,'Inhalation Exposure'!$E$4:$E$61,$E302),SUMIFS('Inhalation Exposure'!$AA$4:$AA$61,'Inhalation Exposure'!$B$4:$B$61,$B302,'Inhalation Exposure'!$D$4:$D$61,$C302,'Inhalation Exposure'!$E$4:$E$61,$E302)),IF($K302="Central Tendency",SUMIFS('Dermal Crosswalk'!$S$5:$S$32,'Dermal Crosswalk'!$A$5:$A$32,'Bridge Table'!$B302,'Dermal Crosswalk'!$C$5:$C$32,'Bridge Table'!$E302),SUMIFS('Dermal Crosswalk'!$N$5:$N$32,'Dermal Crosswalk'!$A$5:$A$32,'Bridge Table'!$B302,'Dermal Crosswalk'!$C$5:$C$32,'Bridge Table'!$E302))),"--")</f>
        <v>2297517.4825174827</v>
      </c>
      <c r="N302" s="586">
        <f>IFERROR(IFERROR(VLOOKUP($D302,$Z$8:$AD$9,4,FALSE),0)/IF($D302="Inhalation",IF($K302="Central Tendency",SUMIFS('Inhalation Exposure'!$R$4:$R$61,'Inhalation Exposure'!$B$4:$B$61,$B302,'Inhalation Exposure'!$D$4:$D$61,$C302,'Inhalation Exposure'!$E$4:$E$61,$E302),SUMIFS('Inhalation Exposure'!$Q$4:$Q$61,'Inhalation Exposure'!$B$4:$B$61,$B302,'Inhalation Exposure'!$D$4:$D$61,$C302,'Inhalation Exposure'!$E$4:$E$61,$E302)),IF($K302="Central Tendency",SUMIFS('Dermal Crosswalk'!$Q$5:$Q$32,'Dermal Crosswalk'!$A$5:$A$32,'Bridge Table'!$B302,'Dermal Crosswalk'!$C$5:$C$32,'Bridge Table'!$E302),SUMIFS('Dermal Crosswalk'!$L$5:$L$32,'Dermal Crosswalk'!$A$5:$A$32,'Bridge Table'!$B302,'Dermal Crosswalk'!$C$5:$C$32,'Bridge Table'!$E302))),"--")</f>
        <v>2459875.3846153845</v>
      </c>
      <c r="O302" s="586">
        <f>IFERROR(IFERROR(VLOOKUP($D302,$Z$8:$AD$9,5,FALSE),0)*IF($D302="Inhalation",IF($K302="Central Tendency",SUMIFS('Inhalation Exposure'!$V$4:$V$61,'Inhalation Exposure'!$B$4:$B$61,$B302,'Inhalation Exposure'!$D$4:$D$61,$C302,'Inhalation Exposure'!$E$4:$E$61,$E302),SUMIFS('Inhalation Exposure'!$U$4:$U$61,'Inhalation Exposure'!$B$4:$B$61,$B302,'Inhalation Exposure'!$D$4:$D$61,$C302,'Inhalation Exposure'!$E$4:$E$61,$E302)),IF($K302="Central Tendency",SUMIFS('Dermal Crosswalk'!$R$5:$R$32,'Dermal Crosswalk'!$A$5:$A$32,'Bridge Table'!$B302,'Dermal Crosswalk'!$C$5:$C$32,'Bridge Table'!$E302),SUMIFS('Dermal Crosswalk'!$M$5:$M$32,'Dermal Crosswalk'!$A$5:$A$32,'Bridge Table'!$B302,'Dermal Crosswalk'!$C$5:$C$32,'Bridge Table'!$E302))),"--")</f>
        <v>1.4009256670704812E-8</v>
      </c>
      <c r="P302" s="363">
        <f>IFERROR(L302*U302,"Not Assessed")</f>
        <v>58234615.384615377</v>
      </c>
      <c r="Q302" s="363">
        <f>IFERROR(M302*V302,"Not Assessed")</f>
        <v>22975174.825174827</v>
      </c>
      <c r="R302" s="363">
        <f>IFERROR(N302*W302,"Not Assessed")</f>
        <v>24598753.846153844</v>
      </c>
      <c r="S302" s="364">
        <f>IFERROR(O302/X302, "Not Assessed")</f>
        <v>1.4009256670704811E-9</v>
      </c>
      <c r="U302" s="378">
        <v>10</v>
      </c>
      <c r="V302" s="379">
        <v>10</v>
      </c>
      <c r="W302" s="379">
        <v>10</v>
      </c>
      <c r="X302" s="380">
        <v>10</v>
      </c>
    </row>
    <row r="303" spans="1:24" ht="15" thickBot="1" x14ac:dyDescent="0.35">
      <c r="A303" s="372"/>
      <c r="B303" s="360">
        <v>7</v>
      </c>
      <c r="C303" s="361" t="s">
        <v>25</v>
      </c>
      <c r="D303" s="361" t="s">
        <v>111</v>
      </c>
      <c r="E303" s="362" t="s">
        <v>117</v>
      </c>
      <c r="F303" s="589"/>
      <c r="G303" s="589"/>
      <c r="H303" s="589"/>
      <c r="I303" s="590"/>
      <c r="J303" s="590"/>
      <c r="K303" s="588"/>
      <c r="L303" s="587"/>
      <c r="M303" s="587"/>
      <c r="N303" s="587"/>
      <c r="O303" s="587"/>
      <c r="P303" s="373" t="str">
        <f>CONCATENATE("(APF ",U302,")")</f>
        <v>(APF 10)</v>
      </c>
      <c r="Q303" s="373" t="str">
        <f>CONCATENATE("(APF ",V302,")")</f>
        <v>(APF 10)</v>
      </c>
      <c r="R303" s="373" t="str">
        <f>CONCATENATE("(APF ",W302,")")</f>
        <v>(APF 10)</v>
      </c>
      <c r="S303" s="373" t="str">
        <f>CONCATENATE("(APF ",X302,")")</f>
        <v>(APF 10)</v>
      </c>
      <c r="U303" s="374" t="s">
        <v>116</v>
      </c>
      <c r="V303" s="375" t="s">
        <v>116</v>
      </c>
      <c r="W303" s="375" t="s">
        <v>116</v>
      </c>
      <c r="X303" s="376" t="s">
        <v>116</v>
      </c>
    </row>
    <row r="304" spans="1:24" ht="15" thickBot="1" x14ac:dyDescent="0.35">
      <c r="A304" s="372"/>
      <c r="B304" s="360">
        <v>7</v>
      </c>
      <c r="C304" s="361" t="s">
        <v>53</v>
      </c>
      <c r="D304" s="361" t="s">
        <v>111</v>
      </c>
      <c r="E304" s="362" t="s">
        <v>24</v>
      </c>
      <c r="F304" s="589"/>
      <c r="G304" s="589"/>
      <c r="H304" s="589"/>
      <c r="I304" s="589" t="s">
        <v>53</v>
      </c>
      <c r="J304" s="586" t="s">
        <v>115</v>
      </c>
      <c r="K304" s="584" t="s">
        <v>54</v>
      </c>
      <c r="L304" s="586" t="str">
        <f>IFERROR(IFERROR(VLOOKUP($D304,$Z$8:$AD$9,2,FALSE),0)/IF($D304="Inhalation",IF($K304="Central Tendency",SUMIFS('Inhalation Exposure'!$L$4:$L$60,'Inhalation Exposure'!$B$4:$B$60,$B304,'Inhalation Exposure'!$D$4:$D$60,$C304,'Inhalation Exposure'!$E$4:$E$60,$E304),SUMIFS('Inhalation Exposure'!$K$4:$K$60,'Inhalation Exposure'!$B$4:$B$60,$B304,'Inhalation Exposure'!$D$4:$D$60,$C304,'Inhalation Exposure'!$E$4:$E$60,$E304)),IF($K304="Central Tendency",SUMIFS('Dermal Crosswalk'!$P$5:$P$32,'Dermal Crosswalk'!$A$5:$A$32,'Bridge Table'!$B304,'Dermal Crosswalk'!$C$5:$C$32,'Bridge Table'!$E304),SUMIFS('Dermal Crosswalk'!$K$5:$K$32,'Dermal Crosswalk'!$A$5:$A$32,'Bridge Table'!$B304,'Dermal Crosswalk'!$C$5:$C$32,'Bridge Table'!$E304))),"--")</f>
        <v>--</v>
      </c>
      <c r="M304" s="586" t="str">
        <f>IFERROR(IFERROR(VLOOKUP($D304,$Z$8:$AD$9,3,FALSE),0)/IF($D304="Inhalation",IF($K304="Central Tendency",SUMIFS('Inhalation Exposure'!$AB$4:$AB$60,'Inhalation Exposure'!$B$4:$B$60,$B304,'Inhalation Exposure'!$D$4:$D$60,$C304,'Inhalation Exposure'!$E$4:$E$60,$E304),SUMIFS('Inhalation Exposure'!$AA$4:$AA$60,'Inhalation Exposure'!$B$4:$B$60,$B304,'Inhalation Exposure'!$D$4:$D$60,$C304,'Inhalation Exposure'!$E$4:$E$60,$E304)),IF($K304="Central Tendency",SUMIFS('Dermal Crosswalk'!$S$5:$S$32,'Dermal Crosswalk'!$A$5:$A$32,'Bridge Table'!$B304,'Dermal Crosswalk'!$C$5:$C$32,'Bridge Table'!$E304),SUMIFS('Dermal Crosswalk'!$N$5:$N$32,'Dermal Crosswalk'!$A$5:$A$32,'Bridge Table'!$B304,'Dermal Crosswalk'!$C$5:$C$32,'Bridge Table'!$E304))),"--")</f>
        <v>--</v>
      </c>
      <c r="N304" s="586" t="str">
        <f>IFERROR(IFERROR(VLOOKUP($D304,$Z$8:$AD$9,4,FALSE),0)/IF($D304="Inhalation",IF($K304="Central Tendency",SUMIFS('Inhalation Exposure'!$R$4:$R$60,'Inhalation Exposure'!$B$4:$B$60,$B304,'Inhalation Exposure'!$D$4:$D$60,$C304,'Inhalation Exposure'!$E$4:$E$60,$E304),SUMIFS('Inhalation Exposure'!$Q$4:$Q$60,'Inhalation Exposure'!$B$4:$B$60,$B304,'Inhalation Exposure'!$D$4:$D$60,$C304,'Inhalation Exposure'!$E$4:$E$60,$E304)),IF($K304="Central Tendency",SUMIFS('Dermal Crosswalk'!$Q$5:$Q$32,'Dermal Crosswalk'!$A$5:$A$32,'Bridge Table'!$B304,'Dermal Crosswalk'!$C$5:$C$32,'Bridge Table'!$E304),SUMIFS('Dermal Crosswalk'!$L$5:$L$32,'Dermal Crosswalk'!$A$5:$A$32,'Bridge Table'!$B304,'Dermal Crosswalk'!$C$5:$C$32,'Bridge Table'!$E304))),"--")</f>
        <v>--</v>
      </c>
      <c r="O304" s="586" t="str">
        <f>IF(IFERROR(VLOOKUP($D304,$Z$8:$AD$9,5,FALSE),0)*IF($D304="Inhalation",IF($K304="Central Tendency",SUMIFS('Inhalation Exposure'!$V$4:$V$60,'Inhalation Exposure'!$B$4:$B$60,$B304,'Inhalation Exposure'!$D$4:$D$60,$C304,'Inhalation Exposure'!$E$4:$E$60,$E304),SUMIFS('Inhalation Exposure'!$U$4:$U$60,'Inhalation Exposure'!$B$4:$B$60,$B304,'Inhalation Exposure'!$D$4:$D$60,$C304,'Inhalation Exposure'!$E$4:$E$60,$E304)),IF($K304="Central Tendency",SUMIFS('Dermal Crosswalk'!$R$5:$R$32,'Dermal Crosswalk'!$A$5:$A$32,'Bridge Table'!$B304,'Dermal Crosswalk'!$C$5:$C$32,'Bridge Table'!$E304),SUMIFS('Dermal Crosswalk'!$M$5:$M$32,'Dermal Crosswalk'!$A$5:$A$32,'Bridge Table'!$B304,'Dermal Crosswalk'!$C$5:$C$32,'Bridge Table'!$E304)))=0,"--",IFERROR(VLOOKUP($D304,$Z$8:$AD$9,5,FALSE),0)*IF($D304="Inhalation",IF($K304="Central Tendency",SUMIFS('Inhalation Exposure'!$V$4:$V$60,'Inhalation Exposure'!$B$4:$B$60,$B304,'Inhalation Exposure'!$D$4:$D$60,$C304,'Inhalation Exposure'!$E$4:$E$60,$E304),SUMIFS('Inhalation Exposure'!$U$4:$U$60,'Inhalation Exposure'!$B$4:$B$60,$B304,'Inhalation Exposure'!$D$4:$D$60,$C304,'Inhalation Exposure'!$E$4:$E$60,$E304)),IF($K304="Central Tendency",SUMIFS('Dermal Crosswalk'!$R$5:$R$32,'Dermal Crosswalk'!$A$5:$A$32,'Bridge Table'!$B304,'Dermal Crosswalk'!$C$5:$C$32,'Bridge Table'!$E304),SUMIFS('Dermal Crosswalk'!$M$5:$M$32,'Dermal Crosswalk'!$A$5:$A$32,'Bridge Table'!$B304,'Dermal Crosswalk'!$C$5:$C$32,'Bridge Table'!$E304))))</f>
        <v>--</v>
      </c>
      <c r="P304" s="610" t="s">
        <v>118</v>
      </c>
      <c r="Q304" s="610" t="s">
        <v>118</v>
      </c>
      <c r="R304" s="610" t="s">
        <v>118</v>
      </c>
      <c r="S304" s="610" t="s">
        <v>118</v>
      </c>
      <c r="U304" s="612" t="s">
        <v>118</v>
      </c>
      <c r="V304" s="614" t="s">
        <v>118</v>
      </c>
      <c r="W304" s="614" t="s">
        <v>118</v>
      </c>
      <c r="X304" s="616" t="s">
        <v>118</v>
      </c>
    </row>
    <row r="305" spans="1:24" ht="15" thickBot="1" x14ac:dyDescent="0.35">
      <c r="A305" s="372"/>
      <c r="B305" s="360">
        <v>7</v>
      </c>
      <c r="C305" s="361" t="s">
        <v>53</v>
      </c>
      <c r="D305" s="361" t="s">
        <v>111</v>
      </c>
      <c r="E305" s="362" t="s">
        <v>24</v>
      </c>
      <c r="F305" s="589"/>
      <c r="G305" s="589"/>
      <c r="H305" s="589"/>
      <c r="I305" s="589"/>
      <c r="J305" s="589"/>
      <c r="K305" s="585"/>
      <c r="L305" s="587"/>
      <c r="M305" s="587"/>
      <c r="N305" s="587"/>
      <c r="O305" s="587"/>
      <c r="P305" s="611"/>
      <c r="Q305" s="611"/>
      <c r="R305" s="611"/>
      <c r="S305" s="611"/>
      <c r="U305" s="613"/>
      <c r="V305" s="615"/>
      <c r="W305" s="615"/>
      <c r="X305" s="617"/>
    </row>
    <row r="306" spans="1:24" ht="15" thickBot="1" x14ac:dyDescent="0.35">
      <c r="A306" s="372"/>
      <c r="B306" s="360">
        <v>7</v>
      </c>
      <c r="C306" s="361" t="s">
        <v>53</v>
      </c>
      <c r="D306" s="361" t="s">
        <v>111</v>
      </c>
      <c r="E306" s="362" t="s">
        <v>24</v>
      </c>
      <c r="F306" s="589"/>
      <c r="G306" s="589"/>
      <c r="H306" s="589"/>
      <c r="I306" s="589"/>
      <c r="J306" s="589"/>
      <c r="K306" s="584" t="s">
        <v>88</v>
      </c>
      <c r="L306" s="586" t="str">
        <f>IFERROR(IFERROR(VLOOKUP($D306,$Z$8:$AD$9,2,FALSE),0)/IF($D306="Inhalation",IF($K306="Central Tendency",SUMIFS('Inhalation Exposure'!$L$4:$L$60,'Inhalation Exposure'!$B$4:$B$60,$B306,'Inhalation Exposure'!$D$4:$D$60,$C306,'Inhalation Exposure'!$E$4:$E$60,$E306),SUMIFS('Inhalation Exposure'!$K$4:$K$60,'Inhalation Exposure'!$B$4:$B$60,$B306,'Inhalation Exposure'!$D$4:$D$60,$C306,'Inhalation Exposure'!$E$4:$E$60,$E306)),IF($K306="Central Tendency",SUMIFS('Dermal Crosswalk'!$P$5:$P$32,'Dermal Crosswalk'!$A$5:$A$32,'Bridge Table'!$B306,'Dermal Crosswalk'!$C$5:$C$32,'Bridge Table'!$E306),SUMIFS('Dermal Crosswalk'!$K$5:$K$32,'Dermal Crosswalk'!$A$5:$A$32,'Bridge Table'!$B306,'Dermal Crosswalk'!$C$5:$C$32,'Bridge Table'!$E306))),"--")</f>
        <v>--</v>
      </c>
      <c r="M306" s="586" t="str">
        <f>IFERROR(IFERROR(VLOOKUP($D306,$Z$8:$AD$9,3,FALSE),0)/IF($D306="Inhalation",IF($K306="Central Tendency",SUMIFS('Inhalation Exposure'!$AB$4:$AB$60,'Inhalation Exposure'!$B$4:$B$60,$B306,'Inhalation Exposure'!$D$4:$D$60,$C306,'Inhalation Exposure'!$E$4:$E$60,$E306),SUMIFS('Inhalation Exposure'!$AA$4:$AA$60,'Inhalation Exposure'!$B$4:$B$60,$B306,'Inhalation Exposure'!$D$4:$D$60,$C306,'Inhalation Exposure'!$E$4:$E$60,$E306)),IF($K306="Central Tendency",SUMIFS('Dermal Crosswalk'!$S$5:$S$32,'Dermal Crosswalk'!$A$5:$A$32,'Bridge Table'!$B306,'Dermal Crosswalk'!$C$5:$C$32,'Bridge Table'!$E306),SUMIFS('Dermal Crosswalk'!$N$5:$N$32,'Dermal Crosswalk'!$A$5:$A$32,'Bridge Table'!$B306,'Dermal Crosswalk'!$C$5:$C$32,'Bridge Table'!$E306))),"--")</f>
        <v>--</v>
      </c>
      <c r="N306" s="586" t="str">
        <f>IFERROR(IFERROR(VLOOKUP($D306,$Z$8:$AD$9,4,FALSE),0)/IF($D306="Inhalation",IF($K306="Central Tendency",SUMIFS('Inhalation Exposure'!$R$4:$R$60,'Inhalation Exposure'!$B$4:$B$60,$B306,'Inhalation Exposure'!$D$4:$D$60,$C306,'Inhalation Exposure'!$E$4:$E$60,$E306),SUMIFS('Inhalation Exposure'!$Q$4:$Q$60,'Inhalation Exposure'!$B$4:$B$60,$B306,'Inhalation Exposure'!$D$4:$D$60,$C306,'Inhalation Exposure'!$E$4:$E$60,$E306)),IF($K306="Central Tendency",SUMIFS('Dermal Crosswalk'!$Q$5:$Q$32,'Dermal Crosswalk'!$A$5:$A$32,'Bridge Table'!$B306,'Dermal Crosswalk'!$C$5:$C$32,'Bridge Table'!$E306),SUMIFS('Dermal Crosswalk'!$L$5:$L$32,'Dermal Crosswalk'!$A$5:$A$32,'Bridge Table'!$B306,'Dermal Crosswalk'!$C$5:$C$32,'Bridge Table'!$E306))),"--")</f>
        <v>--</v>
      </c>
      <c r="O306" s="586" t="str">
        <f>IF(IFERROR(VLOOKUP($D306,$Z$8:$AD$9,5,FALSE),0)*IF($D306="Inhalation",IF($K306="Central Tendency",SUMIFS('Inhalation Exposure'!$V$4:$V$60,'Inhalation Exposure'!$B$4:$B$60,$B306,'Inhalation Exposure'!$D$4:$D$60,$C306,'Inhalation Exposure'!$E$4:$E$60,$E306),SUMIFS('Inhalation Exposure'!$U$4:$U$60,'Inhalation Exposure'!$B$4:$B$60,$B306,'Inhalation Exposure'!$D$4:$D$60,$C306,'Inhalation Exposure'!$E$4:$E$60,$E306)),IF($K306="Central Tendency",SUMIFS('Dermal Crosswalk'!$R$5:$R$32,'Dermal Crosswalk'!$A$5:$A$32,'Bridge Table'!$B306,'Dermal Crosswalk'!$C$5:$C$32,'Bridge Table'!$E306),SUMIFS('Dermal Crosswalk'!$M$5:$M$32,'Dermal Crosswalk'!$A$5:$A$32,'Bridge Table'!$B306,'Dermal Crosswalk'!$C$5:$C$32,'Bridge Table'!$E306)))=0,"--",IFERROR(VLOOKUP($D306,$Z$8:$AD$9,5,FALSE),0)*IF($D306="Inhalation",IF($K306="Central Tendency",SUMIFS('Inhalation Exposure'!$V$4:$V$60,'Inhalation Exposure'!$B$4:$B$60,$B306,'Inhalation Exposure'!$D$4:$D$60,$C306,'Inhalation Exposure'!$E$4:$E$60,$E306),SUMIFS('Inhalation Exposure'!$U$4:$U$60,'Inhalation Exposure'!$B$4:$B$60,$B306,'Inhalation Exposure'!$D$4:$D$60,$C306,'Inhalation Exposure'!$E$4:$E$60,$E306)),IF($K306="Central Tendency",SUMIFS('Dermal Crosswalk'!$R$5:$R$32,'Dermal Crosswalk'!$A$5:$A$32,'Bridge Table'!$B306,'Dermal Crosswalk'!$C$5:$C$32,'Bridge Table'!$E306),SUMIFS('Dermal Crosswalk'!$M$5:$M$32,'Dermal Crosswalk'!$A$5:$A$32,'Bridge Table'!$B306,'Dermal Crosswalk'!$C$5:$C$32,'Bridge Table'!$E306))))</f>
        <v>--</v>
      </c>
      <c r="P306" s="610" t="s">
        <v>118</v>
      </c>
      <c r="Q306" s="610" t="s">
        <v>118</v>
      </c>
      <c r="R306" s="610" t="s">
        <v>118</v>
      </c>
      <c r="S306" s="610" t="s">
        <v>118</v>
      </c>
      <c r="U306" s="612" t="s">
        <v>118</v>
      </c>
      <c r="V306" s="614" t="s">
        <v>118</v>
      </c>
      <c r="W306" s="614" t="s">
        <v>118</v>
      </c>
      <c r="X306" s="616" t="s">
        <v>118</v>
      </c>
    </row>
    <row r="307" spans="1:24" ht="15" thickBot="1" x14ac:dyDescent="0.35">
      <c r="A307" s="372"/>
      <c r="B307" s="360">
        <v>7</v>
      </c>
      <c r="C307" s="361" t="s">
        <v>53</v>
      </c>
      <c r="D307" s="361" t="s">
        <v>111</v>
      </c>
      <c r="E307" s="362" t="s">
        <v>24</v>
      </c>
      <c r="F307" s="589"/>
      <c r="G307" s="589"/>
      <c r="H307" s="589"/>
      <c r="I307" s="590"/>
      <c r="J307" s="590"/>
      <c r="K307" s="588"/>
      <c r="L307" s="587"/>
      <c r="M307" s="587"/>
      <c r="N307" s="587"/>
      <c r="O307" s="587"/>
      <c r="P307" s="611"/>
      <c r="Q307" s="611"/>
      <c r="R307" s="611"/>
      <c r="S307" s="611"/>
      <c r="U307" s="613"/>
      <c r="V307" s="615"/>
      <c r="W307" s="615"/>
      <c r="X307" s="617"/>
    </row>
    <row r="308" spans="1:24" ht="15" thickBot="1" x14ac:dyDescent="0.35">
      <c r="A308" s="372"/>
      <c r="B308" s="360">
        <v>7</v>
      </c>
      <c r="C308" s="361" t="s">
        <v>53</v>
      </c>
      <c r="D308" s="361" t="s">
        <v>111</v>
      </c>
      <c r="E308" s="362" t="s">
        <v>117</v>
      </c>
      <c r="F308" s="589"/>
      <c r="G308" s="589"/>
      <c r="H308" s="589"/>
      <c r="I308" s="589" t="s">
        <v>53</v>
      </c>
      <c r="J308" s="586" t="s">
        <v>115</v>
      </c>
      <c r="K308" s="584" t="s">
        <v>54</v>
      </c>
      <c r="L308" s="586" t="str">
        <f>IFERROR(IFERROR(VLOOKUP($D308,$Z$8:$AD$9,2,FALSE),0)/IF($D308="Inhalation",IF($K308="Central Tendency",SUMIFS('Inhalation Exposure'!$L$4:$L$60,'Inhalation Exposure'!$B$4:$B$60,$B308,'Inhalation Exposure'!$D$4:$D$60,$C308,'Inhalation Exposure'!$E$4:$E$60,$E308),SUMIFS('Inhalation Exposure'!$K$4:$K$60,'Inhalation Exposure'!$B$4:$B$60,$B308,'Inhalation Exposure'!$D$4:$D$60,$C308,'Inhalation Exposure'!$E$4:$E$60,$E308)),IF($K308="Central Tendency",SUMIFS('Dermal Crosswalk'!$P$5:$P$32,'Dermal Crosswalk'!$A$5:$A$32,'Bridge Table'!$B308,'Dermal Crosswalk'!$C$5:$C$32,'Bridge Table'!$E308),SUMIFS('Dermal Crosswalk'!$K$5:$K$32,'Dermal Crosswalk'!$A$5:$A$32,'Bridge Table'!$B308,'Dermal Crosswalk'!$C$5:$C$32,'Bridge Table'!$E308))),"--")</f>
        <v>--</v>
      </c>
      <c r="M308" s="586" t="str">
        <f>IFERROR(IFERROR(VLOOKUP($D308,$Z$8:$AD$9,3,FALSE),0)/IF($D308="Inhalation",IF($K308="Central Tendency",SUMIFS('Inhalation Exposure'!$AB$4:$AB$60,'Inhalation Exposure'!$B$4:$B$60,$B308,'Inhalation Exposure'!$D$4:$D$60,$C308,'Inhalation Exposure'!$E$4:$E$60,$E308),SUMIFS('Inhalation Exposure'!$AA$4:$AA$60,'Inhalation Exposure'!$B$4:$B$60,$B308,'Inhalation Exposure'!$D$4:$D$60,$C308,'Inhalation Exposure'!$E$4:$E$60,$E308)),IF($K308="Central Tendency",SUMIFS('Dermal Crosswalk'!$S$5:$S$32,'Dermal Crosswalk'!$A$5:$A$32,'Bridge Table'!$B308,'Dermal Crosswalk'!$C$5:$C$32,'Bridge Table'!$E308),SUMIFS('Dermal Crosswalk'!$N$5:$N$32,'Dermal Crosswalk'!$A$5:$A$32,'Bridge Table'!$B308,'Dermal Crosswalk'!$C$5:$C$32,'Bridge Table'!$E308))),"--")</f>
        <v>--</v>
      </c>
      <c r="N308" s="586" t="str">
        <f>IFERROR(IFERROR(VLOOKUP($D308,$Z$8:$AD$9,4,FALSE),0)/IF($D308="Inhalation",IF($K308="Central Tendency",SUMIFS('Inhalation Exposure'!$R$4:$R$60,'Inhalation Exposure'!$B$4:$B$60,$B308,'Inhalation Exposure'!$D$4:$D$60,$C308,'Inhalation Exposure'!$E$4:$E$60,$E308),SUMIFS('Inhalation Exposure'!$Q$4:$Q$60,'Inhalation Exposure'!$B$4:$B$60,$B308,'Inhalation Exposure'!$D$4:$D$60,$C308,'Inhalation Exposure'!$E$4:$E$60,$E308)),IF($K308="Central Tendency",SUMIFS('Dermal Crosswalk'!$Q$5:$Q$32,'Dermal Crosswalk'!$A$5:$A$32,'Bridge Table'!$B308,'Dermal Crosswalk'!$C$5:$C$32,'Bridge Table'!$E308),SUMIFS('Dermal Crosswalk'!$L$5:$L$32,'Dermal Crosswalk'!$A$5:$A$32,'Bridge Table'!$B308,'Dermal Crosswalk'!$C$5:$C$32,'Bridge Table'!$E308))),"--")</f>
        <v>--</v>
      </c>
      <c r="O308" s="586" t="str">
        <f>IF(IFERROR(VLOOKUP($D308,$Z$8:$AD$9,5,FALSE),0)*IF($D308="Inhalation",IF($K308="Central Tendency",SUMIFS('Inhalation Exposure'!$V$4:$V$60,'Inhalation Exposure'!$B$4:$B$60,$B308,'Inhalation Exposure'!$D$4:$D$60,$C308,'Inhalation Exposure'!$E$4:$E$60,$E308),SUMIFS('Inhalation Exposure'!$U$4:$U$60,'Inhalation Exposure'!$B$4:$B$60,$B308,'Inhalation Exposure'!$D$4:$D$60,$C308,'Inhalation Exposure'!$E$4:$E$60,$E308)),IF($K308="Central Tendency",SUMIFS('Dermal Crosswalk'!$R$5:$R$32,'Dermal Crosswalk'!$A$5:$A$32,'Bridge Table'!$B308,'Dermal Crosswalk'!$C$5:$C$32,'Bridge Table'!$E308),SUMIFS('Dermal Crosswalk'!$M$5:$M$32,'Dermal Crosswalk'!$A$5:$A$32,'Bridge Table'!$B308,'Dermal Crosswalk'!$C$5:$C$32,'Bridge Table'!$E308)))=0,"--",IFERROR(VLOOKUP($D308,$Z$8:$AD$9,5,FALSE),0)*IF($D308="Inhalation",IF($K308="Central Tendency",SUMIFS('Inhalation Exposure'!$V$4:$V$60,'Inhalation Exposure'!$B$4:$B$60,$B308,'Inhalation Exposure'!$D$4:$D$60,$C308,'Inhalation Exposure'!$E$4:$E$60,$E308),SUMIFS('Inhalation Exposure'!$U$4:$U$60,'Inhalation Exposure'!$B$4:$B$60,$B308,'Inhalation Exposure'!$D$4:$D$60,$C308,'Inhalation Exposure'!$E$4:$E$60,$E308)),IF($K308="Central Tendency",SUMIFS('Dermal Crosswalk'!$R$5:$R$32,'Dermal Crosswalk'!$A$5:$A$32,'Bridge Table'!$B308,'Dermal Crosswalk'!$C$5:$C$32,'Bridge Table'!$E308),SUMIFS('Dermal Crosswalk'!$M$5:$M$32,'Dermal Crosswalk'!$A$5:$A$32,'Bridge Table'!$B308,'Dermal Crosswalk'!$C$5:$C$32,'Bridge Table'!$E308))))</f>
        <v>--</v>
      </c>
      <c r="P308" s="610" t="s">
        <v>118</v>
      </c>
      <c r="Q308" s="610" t="s">
        <v>118</v>
      </c>
      <c r="R308" s="610" t="s">
        <v>118</v>
      </c>
      <c r="S308" s="610" t="s">
        <v>118</v>
      </c>
      <c r="U308" s="612" t="s">
        <v>118</v>
      </c>
      <c r="V308" s="614" t="s">
        <v>118</v>
      </c>
      <c r="W308" s="614" t="s">
        <v>118</v>
      </c>
      <c r="X308" s="616" t="s">
        <v>118</v>
      </c>
    </row>
    <row r="309" spans="1:24" ht="15" thickBot="1" x14ac:dyDescent="0.35">
      <c r="A309" s="372"/>
      <c r="B309" s="360">
        <v>7</v>
      </c>
      <c r="C309" s="361" t="s">
        <v>53</v>
      </c>
      <c r="D309" s="361" t="s">
        <v>111</v>
      </c>
      <c r="E309" s="362" t="s">
        <v>117</v>
      </c>
      <c r="F309" s="589"/>
      <c r="G309" s="589"/>
      <c r="H309" s="589"/>
      <c r="I309" s="589"/>
      <c r="J309" s="589"/>
      <c r="K309" s="585"/>
      <c r="L309" s="587"/>
      <c r="M309" s="587"/>
      <c r="N309" s="587"/>
      <c r="O309" s="587"/>
      <c r="P309" s="611"/>
      <c r="Q309" s="611"/>
      <c r="R309" s="611"/>
      <c r="S309" s="611"/>
      <c r="U309" s="613"/>
      <c r="V309" s="615"/>
      <c r="W309" s="615"/>
      <c r="X309" s="617"/>
    </row>
    <row r="310" spans="1:24" ht="15" thickBot="1" x14ac:dyDescent="0.35">
      <c r="A310" s="372"/>
      <c r="B310" s="360">
        <v>7</v>
      </c>
      <c r="C310" s="361" t="s">
        <v>53</v>
      </c>
      <c r="D310" s="361" t="s">
        <v>111</v>
      </c>
      <c r="E310" s="362" t="s">
        <v>117</v>
      </c>
      <c r="F310" s="589"/>
      <c r="G310" s="589"/>
      <c r="H310" s="589"/>
      <c r="I310" s="589"/>
      <c r="J310" s="589"/>
      <c r="K310" s="584" t="s">
        <v>88</v>
      </c>
      <c r="L310" s="586" t="str">
        <f>IFERROR(IFERROR(VLOOKUP($D310,$Z$8:$AD$9,2,FALSE),0)/IF($D310="Inhalation",IF($K310="Central Tendency",SUMIFS('Inhalation Exposure'!$L$4:$L$60,'Inhalation Exposure'!$B$4:$B$60,$B310,'Inhalation Exposure'!$D$4:$D$60,$C310,'Inhalation Exposure'!$E$4:$E$60,$E310),SUMIFS('Inhalation Exposure'!$K$4:$K$60,'Inhalation Exposure'!$B$4:$B$60,$B310,'Inhalation Exposure'!$D$4:$D$60,$C310,'Inhalation Exposure'!$E$4:$E$60,$E310)),IF($K310="Central Tendency",SUMIFS('Dermal Crosswalk'!$P$5:$P$32,'Dermal Crosswalk'!$A$5:$A$32,'Bridge Table'!$B310,'Dermal Crosswalk'!$C$5:$C$32,'Bridge Table'!$E310),SUMIFS('Dermal Crosswalk'!$K$5:$K$32,'Dermal Crosswalk'!$A$5:$A$32,'Bridge Table'!$B310,'Dermal Crosswalk'!$C$5:$C$32,'Bridge Table'!$E310))),"--")</f>
        <v>--</v>
      </c>
      <c r="M310" s="586" t="str">
        <f>IFERROR(IFERROR(VLOOKUP($D310,$Z$8:$AD$9,3,FALSE),0)/IF($D310="Inhalation",IF($K310="Central Tendency",SUMIFS('Inhalation Exposure'!$AB$4:$AB$60,'Inhalation Exposure'!$B$4:$B$60,$B310,'Inhalation Exposure'!$D$4:$D$60,$C310,'Inhalation Exposure'!$E$4:$E$60,$E310),SUMIFS('Inhalation Exposure'!$AA$4:$AA$60,'Inhalation Exposure'!$B$4:$B$60,$B310,'Inhalation Exposure'!$D$4:$D$60,$C310,'Inhalation Exposure'!$E$4:$E$60,$E310)),IF($K310="Central Tendency",SUMIFS('Dermal Crosswalk'!$S$5:$S$32,'Dermal Crosswalk'!$A$5:$A$32,'Bridge Table'!$B310,'Dermal Crosswalk'!$C$5:$C$32,'Bridge Table'!$E310),SUMIFS('Dermal Crosswalk'!$N$5:$N$32,'Dermal Crosswalk'!$A$5:$A$32,'Bridge Table'!$B310,'Dermal Crosswalk'!$C$5:$C$32,'Bridge Table'!$E310))),"--")</f>
        <v>--</v>
      </c>
      <c r="N310" s="586" t="str">
        <f>IFERROR(IFERROR(VLOOKUP($D310,$Z$8:$AD$9,4,FALSE),0)/IF($D310="Inhalation",IF($K310="Central Tendency",SUMIFS('Inhalation Exposure'!$R$4:$R$60,'Inhalation Exposure'!$B$4:$B$60,$B310,'Inhalation Exposure'!$D$4:$D$60,$C310,'Inhalation Exposure'!$E$4:$E$60,$E310),SUMIFS('Inhalation Exposure'!$Q$4:$Q$60,'Inhalation Exposure'!$B$4:$B$60,$B310,'Inhalation Exposure'!$D$4:$D$60,$C310,'Inhalation Exposure'!$E$4:$E$60,$E310)),IF($K310="Central Tendency",SUMIFS('Dermal Crosswalk'!$Q$5:$Q$32,'Dermal Crosswalk'!$A$5:$A$32,'Bridge Table'!$B310,'Dermal Crosswalk'!$C$5:$C$32,'Bridge Table'!$E310),SUMIFS('Dermal Crosswalk'!$L$5:$L$32,'Dermal Crosswalk'!$A$5:$A$32,'Bridge Table'!$B310,'Dermal Crosswalk'!$C$5:$C$32,'Bridge Table'!$E310))),"--")</f>
        <v>--</v>
      </c>
      <c r="O310" s="586" t="str">
        <f>IF(IFERROR(VLOOKUP($D310,$Z$8:$AD$9,5,FALSE),0)*IF($D310="Inhalation",IF($K310="Central Tendency",SUMIFS('Inhalation Exposure'!$V$4:$V$60,'Inhalation Exposure'!$B$4:$B$60,$B310,'Inhalation Exposure'!$D$4:$D$60,$C310,'Inhalation Exposure'!$E$4:$E$60,$E310),SUMIFS('Inhalation Exposure'!$U$4:$U$60,'Inhalation Exposure'!$B$4:$B$60,$B310,'Inhalation Exposure'!$D$4:$D$60,$C310,'Inhalation Exposure'!$E$4:$E$60,$E310)),IF($K310="Central Tendency",SUMIFS('Dermal Crosswalk'!$R$5:$R$32,'Dermal Crosswalk'!$A$5:$A$32,'Bridge Table'!$B310,'Dermal Crosswalk'!$C$5:$C$32,'Bridge Table'!$E310),SUMIFS('Dermal Crosswalk'!$M$5:$M$32,'Dermal Crosswalk'!$A$5:$A$32,'Bridge Table'!$B310,'Dermal Crosswalk'!$C$5:$C$32,'Bridge Table'!$E310)))=0,"--",IFERROR(VLOOKUP($D310,$Z$8:$AD$9,5,FALSE),0)*IF($D310="Inhalation",IF($K310="Central Tendency",SUMIFS('Inhalation Exposure'!$V$4:$V$60,'Inhalation Exposure'!$B$4:$B$60,$B310,'Inhalation Exposure'!$D$4:$D$60,$C310,'Inhalation Exposure'!$E$4:$E$60,$E310),SUMIFS('Inhalation Exposure'!$U$4:$U$60,'Inhalation Exposure'!$B$4:$B$60,$B310,'Inhalation Exposure'!$D$4:$D$60,$C310,'Inhalation Exposure'!$E$4:$E$60,$E310)),IF($K310="Central Tendency",SUMIFS('Dermal Crosswalk'!$R$5:$R$32,'Dermal Crosswalk'!$A$5:$A$32,'Bridge Table'!$B310,'Dermal Crosswalk'!$C$5:$C$32,'Bridge Table'!$E310),SUMIFS('Dermal Crosswalk'!$M$5:$M$32,'Dermal Crosswalk'!$A$5:$A$32,'Bridge Table'!$B310,'Dermal Crosswalk'!$C$5:$C$32,'Bridge Table'!$E310))))</f>
        <v>--</v>
      </c>
      <c r="P310" s="610" t="s">
        <v>118</v>
      </c>
      <c r="Q310" s="610" t="s">
        <v>118</v>
      </c>
      <c r="R310" s="610" t="s">
        <v>118</v>
      </c>
      <c r="S310" s="610" t="s">
        <v>118</v>
      </c>
      <c r="U310" s="612" t="s">
        <v>118</v>
      </c>
      <c r="V310" s="614" t="s">
        <v>118</v>
      </c>
      <c r="W310" s="614" t="s">
        <v>118</v>
      </c>
      <c r="X310" s="616" t="s">
        <v>118</v>
      </c>
    </row>
    <row r="311" spans="1:24" ht="15" thickBot="1" x14ac:dyDescent="0.35">
      <c r="A311" s="372"/>
      <c r="B311" s="360">
        <v>7</v>
      </c>
      <c r="C311" s="361" t="s">
        <v>53</v>
      </c>
      <c r="D311" s="361" t="s">
        <v>111</v>
      </c>
      <c r="E311" s="362" t="s">
        <v>117</v>
      </c>
      <c r="F311" s="589"/>
      <c r="G311" s="589"/>
      <c r="H311" s="589"/>
      <c r="I311" s="590"/>
      <c r="J311" s="590"/>
      <c r="K311" s="588"/>
      <c r="L311" s="587"/>
      <c r="M311" s="587"/>
      <c r="N311" s="587"/>
      <c r="O311" s="587"/>
      <c r="P311" s="611"/>
      <c r="Q311" s="611"/>
      <c r="R311" s="611"/>
      <c r="S311" s="611"/>
      <c r="U311" s="613"/>
      <c r="V311" s="615"/>
      <c r="W311" s="615"/>
      <c r="X311" s="617"/>
    </row>
    <row r="312" spans="1:24" ht="15.6" customHeight="1" thickTop="1" thickBot="1" x14ac:dyDescent="0.35">
      <c r="A312" s="372"/>
      <c r="B312" s="360">
        <v>7</v>
      </c>
      <c r="C312" s="361" t="s">
        <v>25</v>
      </c>
      <c r="D312" s="361" t="s">
        <v>16</v>
      </c>
      <c r="E312" s="362" t="s">
        <v>24</v>
      </c>
      <c r="F312" s="589"/>
      <c r="G312" s="589"/>
      <c r="H312" s="589"/>
      <c r="I312" s="589" t="s">
        <v>25</v>
      </c>
      <c r="J312" s="609" t="s">
        <v>16</v>
      </c>
      <c r="K312" s="607" t="s">
        <v>54</v>
      </c>
      <c r="L312" s="586" t="str">
        <f>IFERROR(IFERROR(VLOOKUP($D312,$Z$8:$AD$9,2,FALSE),0)/IF($D312="Inhalation",IF($K312="Central Tendency",SUMIFS('Inhalation Exposure'!$L$4:$L$60,'Inhalation Exposure'!$B$4:$B$60,$B312,'Inhalation Exposure'!$D$4:$D$60,$C312,'Inhalation Exposure'!$E$4:$E$60,$E312),SUMIFS('Inhalation Exposure'!$K$4:$K$60,'Inhalation Exposure'!$B$4:$B$60,$B312,'Inhalation Exposure'!$D$4:$D$60,$C312,'Inhalation Exposure'!$E$4:$E$60,$E312)),IF($K312="Central Tendency",SUMIFS('Dermal Crosswalk'!$P$5:$P$32,'Dermal Crosswalk'!$A$5:$A$32,'Bridge Table'!$B312,'Dermal Crosswalk'!$C$5:$C$32,'Bridge Table'!$E312),SUMIFS('Dermal Crosswalk'!$K$5:$K$32,'Dermal Crosswalk'!$A$5:$A$32,'Bridge Table'!$B312,'Dermal Crosswalk'!$C$5:$C$32,'Bridge Table'!$E312))),"--")</f>
        <v>--</v>
      </c>
      <c r="M312" s="586" t="str">
        <f>IFERROR(IFERROR(VLOOKUP($D312,$Z$8:$AD$9,3,FALSE),0)/IF($D312="Inhalation",IF($K312="Central Tendency",SUMIFS('Inhalation Exposure'!$AB$4:$AB$60,'Inhalation Exposure'!$B$4:$B$60,$B312,'Inhalation Exposure'!$D$4:$D$60,$C312,'Inhalation Exposure'!$E$4:$E$60,$E312),SUMIFS('Inhalation Exposure'!$AA$4:$AA$60,'Inhalation Exposure'!$B$4:$B$60,$B312,'Inhalation Exposure'!$D$4:$D$60,$C312,'Inhalation Exposure'!$E$4:$E$60,$E312)),IF($K312="Central Tendency",SUMIFS('Dermal Crosswalk'!$S$5:$S$32,'Dermal Crosswalk'!$A$5:$A$32,'Bridge Table'!$B312,'Dermal Crosswalk'!$C$5:$C$32,'Bridge Table'!$E312),SUMIFS('Dermal Crosswalk'!$N$5:$N$32,'Dermal Crosswalk'!$A$5:$A$32,'Bridge Table'!$B312,'Dermal Crosswalk'!$C$5:$C$32,'Bridge Table'!$E312))),"--")</f>
        <v>--</v>
      </c>
      <c r="N312" s="586" t="str">
        <f>IFERROR(IFERROR(VLOOKUP($D312,$Z$8:$AD$9,4,FALSE),0)/IF($D312="Inhalation",IF($K312="Central Tendency",SUMIFS('Inhalation Exposure'!$R$4:$R$60,'Inhalation Exposure'!$B$4:$B$60,$B312,'Inhalation Exposure'!$D$4:$D$60,$C312,'Inhalation Exposure'!$E$4:$E$60,$E312),SUMIFS('Inhalation Exposure'!$Q$4:$Q$60,'Inhalation Exposure'!$B$4:$B$60,$B312,'Inhalation Exposure'!$D$4:$D$60,$C312,'Inhalation Exposure'!$E$4:$E$60,$E312)),IF($K312="Central Tendency",SUMIFS('Dermal Crosswalk'!$Q$5:$Q$32,'Dermal Crosswalk'!$A$5:$A$32,'Bridge Table'!$B312,'Dermal Crosswalk'!$C$5:$C$32,'Bridge Table'!$E312),SUMIFS('Dermal Crosswalk'!$L$5:$L$32,'Dermal Crosswalk'!$A$5:$A$32,'Bridge Table'!$B312,'Dermal Crosswalk'!$C$5:$C$32,'Bridge Table'!$E312))),"--")</f>
        <v>--</v>
      </c>
      <c r="O312" s="586" t="str">
        <f>IF(IFERROR(VLOOKUP($D312,$Z$8:$AD$9,5,FALSE),0)*IF($D312="Inhalation",IF($K312="Central Tendency",SUMIFS('Inhalation Exposure'!$V$4:$V$60,'Inhalation Exposure'!$B$4:$B$60,$B312,'Inhalation Exposure'!$D$4:$D$60,$C312,'Inhalation Exposure'!$E$4:$E$60,$E312),SUMIFS('Inhalation Exposure'!$U$4:$U$60,'Inhalation Exposure'!$B$4:$B$60,$B312,'Inhalation Exposure'!$D$4:$D$60,$C312,'Inhalation Exposure'!$E$4:$E$60,$E312)),IF($K312="Central Tendency",SUMIFS('Dermal Crosswalk'!$R$5:$R$32,'Dermal Crosswalk'!$A$5:$A$32,'Bridge Table'!$B312,'Dermal Crosswalk'!$C$5:$C$32,'Bridge Table'!$E312),SUMIFS('Dermal Crosswalk'!$M$5:$M$32,'Dermal Crosswalk'!$A$5:$A$32,'Bridge Table'!$B312,'Dermal Crosswalk'!$C$5:$C$32,'Bridge Table'!$E312)))=0,"--",IFERROR(VLOOKUP($D312,$Z$8:$AD$9,5,FALSE),0)*IF($D312="Inhalation",IF($K312="Central Tendency",SUMIFS('Inhalation Exposure'!$V$4:$V$60,'Inhalation Exposure'!$B$4:$B$60,$B312,'Inhalation Exposure'!$D$4:$D$60,$C312,'Inhalation Exposure'!$E$4:$E$60,$E312),SUMIFS('Inhalation Exposure'!$U$4:$U$60,'Inhalation Exposure'!$B$4:$B$60,$B312,'Inhalation Exposure'!$D$4:$D$60,$C312,'Inhalation Exposure'!$E$4:$E$60,$E312)),IF($K312="Central Tendency",SUMIFS('Dermal Crosswalk'!$R$5:$R$32,'Dermal Crosswalk'!$A$5:$A$32,'Bridge Table'!$B312,'Dermal Crosswalk'!$C$5:$C$32,'Bridge Table'!$E312),SUMIFS('Dermal Crosswalk'!$M$5:$M$32,'Dermal Crosswalk'!$A$5:$A$32,'Bridge Table'!$B312,'Dermal Crosswalk'!$C$5:$C$32,'Bridge Table'!$E312))))</f>
        <v>--</v>
      </c>
      <c r="P312" s="618" t="s">
        <v>151</v>
      </c>
      <c r="Q312" s="618" t="s">
        <v>151</v>
      </c>
      <c r="R312" s="618" t="s">
        <v>151</v>
      </c>
      <c r="S312" s="618" t="s">
        <v>151</v>
      </c>
      <c r="U312" s="619" t="s">
        <v>151</v>
      </c>
      <c r="V312" s="621" t="s">
        <v>151</v>
      </c>
      <c r="W312" s="621" t="s">
        <v>151</v>
      </c>
      <c r="X312" s="622" t="s">
        <v>151</v>
      </c>
    </row>
    <row r="313" spans="1:24" ht="15" thickBot="1" x14ac:dyDescent="0.35">
      <c r="A313" s="372"/>
      <c r="B313" s="360">
        <v>7</v>
      </c>
      <c r="C313" s="361" t="s">
        <v>25</v>
      </c>
      <c r="D313" s="361" t="s">
        <v>16</v>
      </c>
      <c r="E313" s="362" t="s">
        <v>24</v>
      </c>
      <c r="F313" s="589"/>
      <c r="G313" s="589"/>
      <c r="H313" s="589"/>
      <c r="I313" s="589"/>
      <c r="J313" s="589"/>
      <c r="K313" s="608"/>
      <c r="L313" s="587"/>
      <c r="M313" s="587"/>
      <c r="N313" s="587"/>
      <c r="O313" s="587"/>
      <c r="P313" s="611"/>
      <c r="Q313" s="611"/>
      <c r="R313" s="611"/>
      <c r="S313" s="611"/>
      <c r="U313" s="620"/>
      <c r="V313" s="615"/>
      <c r="W313" s="615"/>
      <c r="X313" s="617"/>
    </row>
    <row r="314" spans="1:24" ht="15" thickBot="1" x14ac:dyDescent="0.35">
      <c r="A314" s="372"/>
      <c r="B314" s="360">
        <v>7</v>
      </c>
      <c r="C314" s="361" t="s">
        <v>25</v>
      </c>
      <c r="D314" s="361" t="s">
        <v>16</v>
      </c>
      <c r="E314" s="362" t="s">
        <v>24</v>
      </c>
      <c r="F314" s="589"/>
      <c r="G314" s="589"/>
      <c r="H314" s="589"/>
      <c r="I314" s="589"/>
      <c r="J314" s="589"/>
      <c r="K314" s="584" t="s">
        <v>88</v>
      </c>
      <c r="L314" s="586" t="str">
        <f>IFERROR(IFERROR(VLOOKUP($D314,$Z$8:$AD$9,2,FALSE),0)/IF($D314="Inhalation",IF($K314="Central Tendency",SUMIFS('Inhalation Exposure'!$L$4:$L$60,'Inhalation Exposure'!$B$4:$B$60,$B314,'Inhalation Exposure'!$D$4:$D$60,$C314,'Inhalation Exposure'!$E$4:$E$60,$E314),SUMIFS('Inhalation Exposure'!$K$4:$K$60,'Inhalation Exposure'!$B$4:$B$60,$B314,'Inhalation Exposure'!$D$4:$D$60,$C314,'Inhalation Exposure'!$E$4:$E$60,$E314)),IF($K314="Central Tendency",SUMIFS('Dermal Crosswalk'!$P$5:$P$32,'Dermal Crosswalk'!$A$5:$A$32,'Bridge Table'!$B314,'Dermal Crosswalk'!$C$5:$C$32,'Bridge Table'!$E314),SUMIFS('Dermal Crosswalk'!$K$5:$K$32,'Dermal Crosswalk'!$A$5:$A$32,'Bridge Table'!$B314,'Dermal Crosswalk'!$C$5:$C$32,'Bridge Table'!$E314))),"--")</f>
        <v>--</v>
      </c>
      <c r="M314" s="586" t="str">
        <f>IFERROR(IFERROR(VLOOKUP($D314,$Z$8:$AD$9,3,FALSE),0)/IF($D314="Inhalation",IF($K314="Central Tendency",SUMIFS('Inhalation Exposure'!$AB$4:$AB$60,'Inhalation Exposure'!$B$4:$B$60,$B314,'Inhalation Exposure'!$D$4:$D$60,$C314,'Inhalation Exposure'!$E$4:$E$60,$E314),SUMIFS('Inhalation Exposure'!$AA$4:$AA$60,'Inhalation Exposure'!$B$4:$B$60,$B314,'Inhalation Exposure'!$D$4:$D$60,$C314,'Inhalation Exposure'!$E$4:$E$60,$E314)),IF($K314="Central Tendency",SUMIFS('Dermal Crosswalk'!$S$5:$S$32,'Dermal Crosswalk'!$A$5:$A$32,'Bridge Table'!$B314,'Dermal Crosswalk'!$C$5:$C$32,'Bridge Table'!$E314),SUMIFS('Dermal Crosswalk'!$N$5:$N$32,'Dermal Crosswalk'!$A$5:$A$32,'Bridge Table'!$B314,'Dermal Crosswalk'!$C$5:$C$32,'Bridge Table'!$E314))),"--")</f>
        <v>--</v>
      </c>
      <c r="N314" s="586" t="str">
        <f>IFERROR(IFERROR(VLOOKUP($D314,$Z$8:$AD$9,4,FALSE),0)/IF($D314="Inhalation",IF($K314="Central Tendency",SUMIFS('Inhalation Exposure'!$R$4:$R$60,'Inhalation Exposure'!$B$4:$B$60,$B314,'Inhalation Exposure'!$D$4:$D$60,$C314,'Inhalation Exposure'!$E$4:$E$60,$E314),SUMIFS('Inhalation Exposure'!$Q$4:$Q$60,'Inhalation Exposure'!$B$4:$B$60,$B314,'Inhalation Exposure'!$D$4:$D$60,$C314,'Inhalation Exposure'!$E$4:$E$60,$E314)),IF($K314="Central Tendency",SUMIFS('Dermal Crosswalk'!$Q$5:$Q$32,'Dermal Crosswalk'!$A$5:$A$32,'Bridge Table'!$B314,'Dermal Crosswalk'!$C$5:$C$32,'Bridge Table'!$E314),SUMIFS('Dermal Crosswalk'!$L$5:$L$32,'Dermal Crosswalk'!$A$5:$A$32,'Bridge Table'!$B314,'Dermal Crosswalk'!$C$5:$C$32,'Bridge Table'!$E314))),"--")</f>
        <v>--</v>
      </c>
      <c r="O314" s="586" t="str">
        <f>IF(IFERROR(VLOOKUP($D314,$Z$8:$AD$9,5,FALSE),0)*IF($D314="Inhalation",IF($K314="Central Tendency",SUMIFS('Inhalation Exposure'!$V$4:$V$60,'Inhalation Exposure'!$B$4:$B$60,$B314,'Inhalation Exposure'!$D$4:$D$60,$C314,'Inhalation Exposure'!$E$4:$E$60,$E314),SUMIFS('Inhalation Exposure'!$U$4:$U$60,'Inhalation Exposure'!$B$4:$B$60,$B314,'Inhalation Exposure'!$D$4:$D$60,$C314,'Inhalation Exposure'!$E$4:$E$60,$E314)),IF($K314="Central Tendency",SUMIFS('Dermal Crosswalk'!$R$5:$R$32,'Dermal Crosswalk'!$A$5:$A$32,'Bridge Table'!$B314,'Dermal Crosswalk'!$C$5:$C$32,'Bridge Table'!$E314),SUMIFS('Dermal Crosswalk'!$M$5:$M$32,'Dermal Crosswalk'!$A$5:$A$32,'Bridge Table'!$B314,'Dermal Crosswalk'!$C$5:$C$32,'Bridge Table'!$E314)))=0,"--",IFERROR(VLOOKUP($D314,$Z$8:$AD$9,5,FALSE),0)*IF($D314="Inhalation",IF($K314="Central Tendency",SUMIFS('Inhalation Exposure'!$V$4:$V$60,'Inhalation Exposure'!$B$4:$B$60,$B314,'Inhalation Exposure'!$D$4:$D$60,$C314,'Inhalation Exposure'!$E$4:$E$60,$E314),SUMIFS('Inhalation Exposure'!$U$4:$U$60,'Inhalation Exposure'!$B$4:$B$60,$B314,'Inhalation Exposure'!$D$4:$D$60,$C314,'Inhalation Exposure'!$E$4:$E$60,$E314)),IF($K314="Central Tendency",SUMIFS('Dermal Crosswalk'!$R$5:$R$32,'Dermal Crosswalk'!$A$5:$A$32,'Bridge Table'!$B314,'Dermal Crosswalk'!$C$5:$C$32,'Bridge Table'!$E314),SUMIFS('Dermal Crosswalk'!$M$5:$M$32,'Dermal Crosswalk'!$A$5:$A$32,'Bridge Table'!$B314,'Dermal Crosswalk'!$C$5:$C$32,'Bridge Table'!$E314))))</f>
        <v>--</v>
      </c>
      <c r="P314" s="618" t="s">
        <v>151</v>
      </c>
      <c r="Q314" s="618" t="s">
        <v>151</v>
      </c>
      <c r="R314" s="618" t="s">
        <v>151</v>
      </c>
      <c r="S314" s="618" t="s">
        <v>151</v>
      </c>
      <c r="U314" s="619" t="s">
        <v>151</v>
      </c>
      <c r="V314" s="621" t="s">
        <v>151</v>
      </c>
      <c r="W314" s="621" t="s">
        <v>151</v>
      </c>
      <c r="X314" s="622" t="s">
        <v>151</v>
      </c>
    </row>
    <row r="315" spans="1:24" ht="15" thickBot="1" x14ac:dyDescent="0.35">
      <c r="A315" s="372"/>
      <c r="B315" s="360">
        <v>7</v>
      </c>
      <c r="C315" s="361" t="s">
        <v>25</v>
      </c>
      <c r="D315" s="361" t="s">
        <v>16</v>
      </c>
      <c r="E315" s="362" t="s">
        <v>24</v>
      </c>
      <c r="F315" s="589"/>
      <c r="G315" s="589"/>
      <c r="H315" s="589"/>
      <c r="I315" s="590"/>
      <c r="J315" s="590"/>
      <c r="K315" s="588"/>
      <c r="L315" s="587"/>
      <c r="M315" s="587"/>
      <c r="N315" s="587"/>
      <c r="O315" s="587"/>
      <c r="P315" s="611"/>
      <c r="Q315" s="611"/>
      <c r="R315" s="611"/>
      <c r="S315" s="611"/>
      <c r="U315" s="620"/>
      <c r="V315" s="615"/>
      <c r="W315" s="615"/>
      <c r="X315" s="617"/>
    </row>
    <row r="316" spans="1:24" ht="15.6" customHeight="1" thickTop="1" thickBot="1" x14ac:dyDescent="0.35">
      <c r="A316" s="372"/>
      <c r="B316" s="360">
        <v>7</v>
      </c>
      <c r="C316" s="361" t="s">
        <v>25</v>
      </c>
      <c r="D316" s="361" t="s">
        <v>16</v>
      </c>
      <c r="E316" s="362" t="s">
        <v>117</v>
      </c>
      <c r="F316" s="589"/>
      <c r="G316" s="589"/>
      <c r="H316" s="589"/>
      <c r="I316" s="609" t="s">
        <v>25</v>
      </c>
      <c r="J316" s="609" t="s">
        <v>16</v>
      </c>
      <c r="K316" s="607" t="s">
        <v>54</v>
      </c>
      <c r="L316" s="586" t="str">
        <f>IFERROR(IFERROR(VLOOKUP($D316,$Z$8:$AD$9,2,FALSE),0)/IF($D316="Inhalation",IF($K316="Central Tendency",SUMIFS('Inhalation Exposure'!$L$4:$L$60,'Inhalation Exposure'!$B$4:$B$60,$B316,'Inhalation Exposure'!$D$4:$D$60,$C316,'Inhalation Exposure'!$E$4:$E$60,$E316),SUMIFS('Inhalation Exposure'!$K$4:$K$60,'Inhalation Exposure'!$B$4:$B$60,$B316,'Inhalation Exposure'!$D$4:$D$60,$C316,'Inhalation Exposure'!$E$4:$E$60,$E316)),IF($K316="Central Tendency",SUMIFS('Dermal Crosswalk'!$P$5:$P$32,'Dermal Crosswalk'!$A$5:$A$32,'Bridge Table'!$B316,'Dermal Crosswalk'!$C$5:$C$32,'Bridge Table'!$E316),SUMIFS('Dermal Crosswalk'!$K$5:$K$32,'Dermal Crosswalk'!$A$5:$A$32,'Bridge Table'!$B316,'Dermal Crosswalk'!$C$5:$C$32,'Bridge Table'!$E316))),"--")</f>
        <v>--</v>
      </c>
      <c r="M316" s="586" t="str">
        <f>IFERROR(IFERROR(VLOOKUP($D316,$Z$8:$AD$9,3,FALSE),0)/IF($D316="Inhalation",IF($K316="Central Tendency",SUMIFS('Inhalation Exposure'!$AB$4:$AB$60,'Inhalation Exposure'!$B$4:$B$60,$B316,'Inhalation Exposure'!$D$4:$D$60,$C316,'Inhalation Exposure'!$E$4:$E$60,$E316),SUMIFS('Inhalation Exposure'!$AA$4:$AA$60,'Inhalation Exposure'!$B$4:$B$60,$B316,'Inhalation Exposure'!$D$4:$D$60,$C316,'Inhalation Exposure'!$E$4:$E$60,$E316)),IF($K316="Central Tendency",SUMIFS('Dermal Crosswalk'!$S$5:$S$32,'Dermal Crosswalk'!$A$5:$A$32,'Bridge Table'!$B316,'Dermal Crosswalk'!$C$5:$C$32,'Bridge Table'!$E316),SUMIFS('Dermal Crosswalk'!$N$5:$N$32,'Dermal Crosswalk'!$A$5:$A$32,'Bridge Table'!$B316,'Dermal Crosswalk'!$C$5:$C$32,'Bridge Table'!$E316))),"--")</f>
        <v>--</v>
      </c>
      <c r="N316" s="586" t="str">
        <f>IFERROR(IFERROR(VLOOKUP($D316,$Z$8:$AD$9,4,FALSE),0)/IF($D316="Inhalation",IF($K316="Central Tendency",SUMIFS('Inhalation Exposure'!$R$4:$R$60,'Inhalation Exposure'!$B$4:$B$60,$B316,'Inhalation Exposure'!$D$4:$D$60,$C316,'Inhalation Exposure'!$E$4:$E$60,$E316),SUMIFS('Inhalation Exposure'!$Q$4:$Q$60,'Inhalation Exposure'!$B$4:$B$60,$B316,'Inhalation Exposure'!$D$4:$D$60,$C316,'Inhalation Exposure'!$E$4:$E$60,$E316)),IF($K316="Central Tendency",SUMIFS('Dermal Crosswalk'!$Q$5:$Q$32,'Dermal Crosswalk'!$A$5:$A$32,'Bridge Table'!$B316,'Dermal Crosswalk'!$C$5:$C$32,'Bridge Table'!$E316),SUMIFS('Dermal Crosswalk'!$L$5:$L$32,'Dermal Crosswalk'!$A$5:$A$32,'Bridge Table'!$B316,'Dermal Crosswalk'!$C$5:$C$32,'Bridge Table'!$E316))),"--")</f>
        <v>--</v>
      </c>
      <c r="O316" s="586" t="str">
        <f>IF(IFERROR(VLOOKUP($D316,$Z$8:$AD$9,5,FALSE),0)*IF($D316="Inhalation",IF($K316="Central Tendency",SUMIFS('Inhalation Exposure'!$V$4:$V$60,'Inhalation Exposure'!$B$4:$B$60,$B316,'Inhalation Exposure'!$D$4:$D$60,$C316,'Inhalation Exposure'!$E$4:$E$60,$E316),SUMIFS('Inhalation Exposure'!$U$4:$U$60,'Inhalation Exposure'!$B$4:$B$60,$B316,'Inhalation Exposure'!$D$4:$D$60,$C316,'Inhalation Exposure'!$E$4:$E$60,$E316)),IF($K316="Central Tendency",SUMIFS('Dermal Crosswalk'!$R$5:$R$32,'Dermal Crosswalk'!$A$5:$A$32,'Bridge Table'!$B316,'Dermal Crosswalk'!$C$5:$C$32,'Bridge Table'!$E316),SUMIFS('Dermal Crosswalk'!$M$5:$M$32,'Dermal Crosswalk'!$A$5:$A$32,'Bridge Table'!$B316,'Dermal Crosswalk'!$C$5:$C$32,'Bridge Table'!$E316)))=0,"--",IFERROR(VLOOKUP($D316,$Z$8:$AD$9,5,FALSE),0)*IF($D316="Inhalation",IF($K316="Central Tendency",SUMIFS('Inhalation Exposure'!$V$4:$V$60,'Inhalation Exposure'!$B$4:$B$60,$B316,'Inhalation Exposure'!$D$4:$D$60,$C316,'Inhalation Exposure'!$E$4:$E$60,$E316),SUMIFS('Inhalation Exposure'!$U$4:$U$60,'Inhalation Exposure'!$B$4:$B$60,$B316,'Inhalation Exposure'!$D$4:$D$60,$C316,'Inhalation Exposure'!$E$4:$E$60,$E316)),IF($K316="Central Tendency",SUMIFS('Dermal Crosswalk'!$R$5:$R$32,'Dermal Crosswalk'!$A$5:$A$32,'Bridge Table'!$B316,'Dermal Crosswalk'!$C$5:$C$32,'Bridge Table'!$E316),SUMIFS('Dermal Crosswalk'!$M$5:$M$32,'Dermal Crosswalk'!$A$5:$A$32,'Bridge Table'!$B316,'Dermal Crosswalk'!$C$5:$C$32,'Bridge Table'!$E316))))</f>
        <v>--</v>
      </c>
      <c r="P316" s="618" t="s">
        <v>151</v>
      </c>
      <c r="Q316" s="618" t="s">
        <v>151</v>
      </c>
      <c r="R316" s="618" t="s">
        <v>151</v>
      </c>
      <c r="S316" s="618" t="s">
        <v>151</v>
      </c>
      <c r="U316" s="619" t="s">
        <v>151</v>
      </c>
      <c r="V316" s="621" t="s">
        <v>151</v>
      </c>
      <c r="W316" s="621" t="s">
        <v>151</v>
      </c>
      <c r="X316" s="622" t="s">
        <v>151</v>
      </c>
    </row>
    <row r="317" spans="1:24" ht="15" thickBot="1" x14ac:dyDescent="0.35">
      <c r="A317" s="372"/>
      <c r="B317" s="360">
        <v>7</v>
      </c>
      <c r="C317" s="361" t="s">
        <v>25</v>
      </c>
      <c r="D317" s="361" t="s">
        <v>16</v>
      </c>
      <c r="E317" s="362" t="s">
        <v>117</v>
      </c>
      <c r="F317" s="589"/>
      <c r="G317" s="589"/>
      <c r="H317" s="589"/>
      <c r="I317" s="589"/>
      <c r="J317" s="589"/>
      <c r="K317" s="608"/>
      <c r="L317" s="587"/>
      <c r="M317" s="587"/>
      <c r="N317" s="587"/>
      <c r="O317" s="587"/>
      <c r="P317" s="611"/>
      <c r="Q317" s="611"/>
      <c r="R317" s="611"/>
      <c r="S317" s="611"/>
      <c r="U317" s="620"/>
      <c r="V317" s="615"/>
      <c r="W317" s="615"/>
      <c r="X317" s="617"/>
    </row>
    <row r="318" spans="1:24" ht="15" customHeight="1" thickBot="1" x14ac:dyDescent="0.35">
      <c r="A318" s="372"/>
      <c r="B318" s="360">
        <v>7</v>
      </c>
      <c r="C318" s="361" t="s">
        <v>25</v>
      </c>
      <c r="D318" s="361" t="s">
        <v>16</v>
      </c>
      <c r="E318" s="362" t="s">
        <v>117</v>
      </c>
      <c r="F318" s="589"/>
      <c r="G318" s="589"/>
      <c r="H318" s="589"/>
      <c r="I318" s="589"/>
      <c r="J318" s="589"/>
      <c r="K318" s="584" t="s">
        <v>88</v>
      </c>
      <c r="L318" s="586" t="str">
        <f>IFERROR(IFERROR(VLOOKUP($D318,$Z$8:$AD$9,2,FALSE),0)/IF($D318="Inhalation",IF($K318="Central Tendency",SUMIFS('Inhalation Exposure'!$L$4:$L$60,'Inhalation Exposure'!$B$4:$B$60,$B318,'Inhalation Exposure'!$D$4:$D$60,$C318,'Inhalation Exposure'!$E$4:$E$60,$E318),SUMIFS('Inhalation Exposure'!$K$4:$K$60,'Inhalation Exposure'!$B$4:$B$60,$B318,'Inhalation Exposure'!$D$4:$D$60,$C318,'Inhalation Exposure'!$E$4:$E$60,$E318)),IF($K318="Central Tendency",SUMIFS('Dermal Crosswalk'!$P$5:$P$32,'Dermal Crosswalk'!$A$5:$A$32,'Bridge Table'!$B318,'Dermal Crosswalk'!$C$5:$C$32,'Bridge Table'!$E318),SUMIFS('Dermal Crosswalk'!$K$5:$K$32,'Dermal Crosswalk'!$A$5:$A$32,'Bridge Table'!$B318,'Dermal Crosswalk'!$C$5:$C$32,'Bridge Table'!$E318))),"--")</f>
        <v>--</v>
      </c>
      <c r="M318" s="586" t="str">
        <f>IFERROR(IFERROR(VLOOKUP($D318,$Z$8:$AD$9,3,FALSE),0)/IF($D318="Inhalation",IF($K318="Central Tendency",SUMIFS('Inhalation Exposure'!$AB$4:$AB$60,'Inhalation Exposure'!$B$4:$B$60,$B318,'Inhalation Exposure'!$D$4:$D$60,$C318,'Inhalation Exposure'!$E$4:$E$60,$E318),SUMIFS('Inhalation Exposure'!$AA$4:$AA$60,'Inhalation Exposure'!$B$4:$B$60,$B318,'Inhalation Exposure'!$D$4:$D$60,$C318,'Inhalation Exposure'!$E$4:$E$60,$E318)),IF($K318="Central Tendency",SUMIFS('Dermal Crosswalk'!$S$5:$S$32,'Dermal Crosswalk'!$A$5:$A$32,'Bridge Table'!$B318,'Dermal Crosswalk'!$C$5:$C$32,'Bridge Table'!$E318),SUMIFS('Dermal Crosswalk'!$N$5:$N$32,'Dermal Crosswalk'!$A$5:$A$32,'Bridge Table'!$B318,'Dermal Crosswalk'!$C$5:$C$32,'Bridge Table'!$E318))),"--")</f>
        <v>--</v>
      </c>
      <c r="N318" s="586" t="str">
        <f>IFERROR(IFERROR(VLOOKUP($D318,$Z$8:$AD$9,4,FALSE),0)/IF($D318="Inhalation",IF($K318="Central Tendency",SUMIFS('Inhalation Exposure'!$R$4:$R$60,'Inhalation Exposure'!$B$4:$B$60,$B318,'Inhalation Exposure'!$D$4:$D$60,$C318,'Inhalation Exposure'!$E$4:$E$60,$E318),SUMIFS('Inhalation Exposure'!$Q$4:$Q$60,'Inhalation Exposure'!$B$4:$B$60,$B318,'Inhalation Exposure'!$D$4:$D$60,$C318,'Inhalation Exposure'!$E$4:$E$60,$E318)),IF($K318="Central Tendency",SUMIFS('Dermal Crosswalk'!$Q$5:$Q$32,'Dermal Crosswalk'!$A$5:$A$32,'Bridge Table'!$B318,'Dermal Crosswalk'!$C$5:$C$32,'Bridge Table'!$E318),SUMIFS('Dermal Crosswalk'!$L$5:$L$32,'Dermal Crosswalk'!$A$5:$A$32,'Bridge Table'!$B318,'Dermal Crosswalk'!$C$5:$C$32,'Bridge Table'!$E318))),"--")</f>
        <v>--</v>
      </c>
      <c r="O318" s="586" t="str">
        <f>IF(IFERROR(VLOOKUP($D318,$Z$8:$AD$9,5,FALSE),0)*IF($D318="Inhalation",IF($K318="Central Tendency",SUMIFS('Inhalation Exposure'!$V$4:$V$60,'Inhalation Exposure'!$B$4:$B$60,$B318,'Inhalation Exposure'!$D$4:$D$60,$C318,'Inhalation Exposure'!$E$4:$E$60,$E318),SUMIFS('Inhalation Exposure'!$U$4:$U$60,'Inhalation Exposure'!$B$4:$B$60,$B318,'Inhalation Exposure'!$D$4:$D$60,$C318,'Inhalation Exposure'!$E$4:$E$60,$E318)),IF($K318="Central Tendency",SUMIFS('Dermal Crosswalk'!$R$5:$R$32,'Dermal Crosswalk'!$A$5:$A$32,'Bridge Table'!$B318,'Dermal Crosswalk'!$C$5:$C$32,'Bridge Table'!$E318),SUMIFS('Dermal Crosswalk'!$M$5:$M$32,'Dermal Crosswalk'!$A$5:$A$32,'Bridge Table'!$B318,'Dermal Crosswalk'!$C$5:$C$32,'Bridge Table'!$E318)))=0,"--",IFERROR(VLOOKUP($D318,$Z$8:$AD$9,5,FALSE),0)*IF($D318="Inhalation",IF($K318="Central Tendency",SUMIFS('Inhalation Exposure'!$V$4:$V$60,'Inhalation Exposure'!$B$4:$B$60,$B318,'Inhalation Exposure'!$D$4:$D$60,$C318,'Inhalation Exposure'!$E$4:$E$60,$E318),SUMIFS('Inhalation Exposure'!$U$4:$U$60,'Inhalation Exposure'!$B$4:$B$60,$B318,'Inhalation Exposure'!$D$4:$D$60,$C318,'Inhalation Exposure'!$E$4:$E$60,$E318)),IF($K318="Central Tendency",SUMIFS('Dermal Crosswalk'!$R$5:$R$32,'Dermal Crosswalk'!$A$5:$A$32,'Bridge Table'!$B318,'Dermal Crosswalk'!$C$5:$C$32,'Bridge Table'!$E318),SUMIFS('Dermal Crosswalk'!$M$5:$M$32,'Dermal Crosswalk'!$A$5:$A$32,'Bridge Table'!$B318,'Dermal Crosswalk'!$C$5:$C$32,'Bridge Table'!$E318))))</f>
        <v>--</v>
      </c>
      <c r="P318" s="618" t="s">
        <v>151</v>
      </c>
      <c r="Q318" s="618" t="s">
        <v>151</v>
      </c>
      <c r="R318" s="618" t="s">
        <v>151</v>
      </c>
      <c r="S318" s="618" t="s">
        <v>151</v>
      </c>
      <c r="U318" s="619" t="s">
        <v>151</v>
      </c>
      <c r="V318" s="621" t="s">
        <v>151</v>
      </c>
      <c r="W318" s="621" t="s">
        <v>151</v>
      </c>
      <c r="X318" s="622" t="s">
        <v>151</v>
      </c>
    </row>
    <row r="319" spans="1:24" ht="15" thickBot="1" x14ac:dyDescent="0.35">
      <c r="A319" s="372"/>
      <c r="B319" s="360">
        <v>7</v>
      </c>
      <c r="C319" s="361" t="s">
        <v>25</v>
      </c>
      <c r="D319" s="361" t="s">
        <v>16</v>
      </c>
      <c r="E319" s="362" t="s">
        <v>117</v>
      </c>
      <c r="F319" s="587"/>
      <c r="G319" s="587"/>
      <c r="H319" s="587"/>
      <c r="I319" s="587"/>
      <c r="J319" s="587"/>
      <c r="K319" s="585"/>
      <c r="L319" s="587"/>
      <c r="M319" s="587"/>
      <c r="N319" s="587"/>
      <c r="O319" s="587"/>
      <c r="P319" s="611"/>
      <c r="Q319" s="611"/>
      <c r="R319" s="611"/>
      <c r="S319" s="611"/>
      <c r="U319" s="623"/>
      <c r="V319" s="624"/>
      <c r="W319" s="624"/>
      <c r="X319" s="625"/>
    </row>
    <row r="320" spans="1:24" ht="15" customHeight="1" thickBot="1" x14ac:dyDescent="0.35">
      <c r="A320" s="372"/>
      <c r="B320" s="360">
        <v>8</v>
      </c>
      <c r="C320" s="361" t="s">
        <v>25</v>
      </c>
      <c r="D320" s="361" t="s">
        <v>111</v>
      </c>
      <c r="E320" s="362" t="s">
        <v>24</v>
      </c>
      <c r="F320" s="586" t="s">
        <v>152</v>
      </c>
      <c r="G320" s="586" t="s">
        <v>153</v>
      </c>
      <c r="H320" s="586" t="s">
        <v>154</v>
      </c>
      <c r="I320" s="586" t="s">
        <v>25</v>
      </c>
      <c r="J320" s="586" t="s">
        <v>115</v>
      </c>
      <c r="K320" s="584" t="s">
        <v>54</v>
      </c>
      <c r="L320" s="586">
        <f>IFERROR(IFERROR(VLOOKUP($D320,$Z$8:$AD$9,2,FALSE),0)/IF($D320="Inhalation",IF($K320="Central Tendency",SUMIFS('Inhalation Exposure'!$N$4:$N$61,'Inhalation Exposure'!$B$4:$B$61,$B320,'Inhalation Exposure'!$D$4:$D$61,$C320,'Inhalation Exposure'!$E$4:$E$61,$E320),SUMIFS('Inhalation Exposure'!$M$4:$M$61,'Inhalation Exposure'!$B$4:$B$61,$B320,'Inhalation Exposure'!$D$4:$D$61,$C320,'Inhalation Exposure'!$E$4:$E$61,$E320)),IF($K320="Central Tendency",SUMIFS('Dermal Crosswalk'!$P$5:$P$32,'Dermal Crosswalk'!$A$5:$A$32,'Bridge Table'!$B320,'Dermal Crosswalk'!$C$5:$C$32,'Bridge Table'!$E320),SUMIFS('Dermal Crosswalk'!$K$5:$K$32,'Dermal Crosswalk'!$A$5:$A$32,'Bridge Table'!$B320,'Dermal Crosswalk'!$C$5:$C$32,'Bridge Table'!$E320))),"--")</f>
        <v>101642.99961793746</v>
      </c>
      <c r="M320" s="586">
        <f>IFERROR(IFERROR(VLOOKUP($D320,$Z$8:$AD$9,3,FALSE),0)/IF($D320="Inhalation",IF($K320="Central Tendency",SUMIFS('Inhalation Exposure'!$AB$4:$AB$61,'Inhalation Exposure'!$B$4:$B$61,$B320,'Inhalation Exposure'!$D$4:$D$61,$C320,'Inhalation Exposure'!$E$4:$E$61,$E320),SUMIFS('Inhalation Exposure'!$AA$4:$AA$61,'Inhalation Exposure'!$B$4:$B$61,$B320,'Inhalation Exposure'!$D$4:$D$61,$C320,'Inhalation Exposure'!$E$4:$E$61,$E320)),IF($K320="Central Tendency",SUMIFS('Dermal Crosswalk'!$S$5:$S$32,'Dermal Crosswalk'!$A$5:$A$32,'Bridge Table'!$B320,'Dermal Crosswalk'!$C$5:$C$32,'Bridge Table'!$E320),SUMIFS('Dermal Crosswalk'!$N$5:$N$32,'Dermal Crosswalk'!$A$5:$A$32,'Bridge Table'!$B320,'Dermal Crosswalk'!$C$5:$C$32,'Bridge Table'!$E320))),"--")</f>
        <v>51188.281688619274</v>
      </c>
      <c r="N320" s="586">
        <f>IFERROR(IFERROR(VLOOKUP($D320,$Z$8:$AD$9,4,FALSE),0)/IF($D320="Inhalation",IF($K320="Central Tendency",SUMIFS('Inhalation Exposure'!$R$4:$R$61,'Inhalation Exposure'!$B$4:$B$61,$B320,'Inhalation Exposure'!$D$4:$D$61,$C320,'Inhalation Exposure'!$E$4:$E$61,$E320),SUMIFS('Inhalation Exposure'!$Q$4:$Q$61,'Inhalation Exposure'!$B$4:$B$61,$B320,'Inhalation Exposure'!$D$4:$D$61,$C320,'Inhalation Exposure'!$E$4:$E$61,$E320)),IF($K320="Central Tendency",SUMIFS('Dermal Crosswalk'!$Q$5:$Q$32,'Dermal Crosswalk'!$A$5:$A$32,'Bridge Table'!$B320,'Dermal Crosswalk'!$C$5:$C$32,'Bridge Table'!$E320),SUMIFS('Dermal Crosswalk'!$L$5:$L$32,'Dermal Crosswalk'!$A$5:$A$32,'Bridge Table'!$B320,'Dermal Crosswalk'!$C$5:$C$32,'Bridge Table'!$E320))),"--")</f>
        <v>54805.586927948229</v>
      </c>
      <c r="O320" s="586">
        <f>IFERROR(IFERROR(VLOOKUP($D320,$Z$8:$AD$9,5,FALSE),0)*IF($D320="Inhalation",IF($K320="Central Tendency",SUMIFS('Inhalation Exposure'!$V$4:$V$61,'Inhalation Exposure'!$B$4:$B$61,$B320,'Inhalation Exposure'!$D$4:$D$61,$C320,'Inhalation Exposure'!$E$4:$E$61,$E320),SUMIFS('Inhalation Exposure'!$U$4:$U$61,'Inhalation Exposure'!$B$4:$B$61,$B320,'Inhalation Exposure'!$D$4:$D$61,$C320,'Inhalation Exposure'!$E$4:$E$61,$E320)),IF($K320="Central Tendency",SUMIFS('Dermal Crosswalk'!$R$5:$R$32,'Dermal Crosswalk'!$A$5:$A$32,'Bridge Table'!$B320,'Dermal Crosswalk'!$C$5:$C$32,'Bridge Table'!$E320),SUMIFS('Dermal Crosswalk'!$M$5:$M$32,'Dermal Crosswalk'!$A$5:$A$32,'Bridge Table'!$B320,'Dermal Crosswalk'!$C$5:$C$32,'Bridge Table'!$E320))),"--")</f>
        <v>3.9877817828301132E-7</v>
      </c>
      <c r="P320" s="363">
        <f>IFERROR(L320*U320,"Not Assessed")</f>
        <v>1016429.9961793746</v>
      </c>
      <c r="Q320" s="363">
        <f>IFERROR(M320*V320,"Not Assessed")</f>
        <v>511882.81688619277</v>
      </c>
      <c r="R320" s="363">
        <f>IFERROR(N320*W320,"Not Assessed")</f>
        <v>548055.86927948229</v>
      </c>
      <c r="S320" s="364">
        <f>IFERROR(O320/X320, "Not Assessed")</f>
        <v>3.9877817828301131E-8</v>
      </c>
      <c r="U320" s="365">
        <v>10</v>
      </c>
      <c r="V320" s="366">
        <v>10</v>
      </c>
      <c r="W320" s="366">
        <v>10</v>
      </c>
      <c r="X320" s="367">
        <v>10</v>
      </c>
    </row>
    <row r="321" spans="1:24" ht="15" thickBot="1" x14ac:dyDescent="0.35">
      <c r="A321" s="372"/>
      <c r="B321" s="360">
        <v>8</v>
      </c>
      <c r="C321" s="361" t="s">
        <v>25</v>
      </c>
      <c r="D321" s="361" t="s">
        <v>111</v>
      </c>
      <c r="E321" s="362" t="s">
        <v>24</v>
      </c>
      <c r="F321" s="589"/>
      <c r="G321" s="589"/>
      <c r="H321" s="589"/>
      <c r="I321" s="589"/>
      <c r="J321" s="589"/>
      <c r="K321" s="585"/>
      <c r="L321" s="587"/>
      <c r="M321" s="587"/>
      <c r="N321" s="587"/>
      <c r="O321" s="587"/>
      <c r="P321" s="373" t="str">
        <f>CONCATENATE("(APF ",U320,")")</f>
        <v>(APF 10)</v>
      </c>
      <c r="Q321" s="373" t="str">
        <f>CONCATENATE("(APF ",V320,")")</f>
        <v>(APF 10)</v>
      </c>
      <c r="R321" s="373" t="str">
        <f>CONCATENATE("(APF ",W320,")")</f>
        <v>(APF 10)</v>
      </c>
      <c r="S321" s="373" t="str">
        <f>CONCATENATE("(APF ",X320,")")</f>
        <v>(APF 10)</v>
      </c>
      <c r="U321" s="374" t="s">
        <v>116</v>
      </c>
      <c r="V321" s="375" t="s">
        <v>116</v>
      </c>
      <c r="W321" s="375" t="s">
        <v>116</v>
      </c>
      <c r="X321" s="376" t="s">
        <v>116</v>
      </c>
    </row>
    <row r="322" spans="1:24" ht="15.6" customHeight="1" thickBot="1" x14ac:dyDescent="0.35">
      <c r="A322" s="372"/>
      <c r="B322" s="360">
        <v>8</v>
      </c>
      <c r="C322" s="361" t="s">
        <v>25</v>
      </c>
      <c r="D322" s="361" t="s">
        <v>111</v>
      </c>
      <c r="E322" s="362" t="s">
        <v>24</v>
      </c>
      <c r="F322" s="589"/>
      <c r="G322" s="589"/>
      <c r="H322" s="589"/>
      <c r="I322" s="589"/>
      <c r="J322" s="589"/>
      <c r="K322" s="584" t="s">
        <v>88</v>
      </c>
      <c r="L322" s="586">
        <f>IFERROR(IFERROR(VLOOKUP($D322,$Z$8:$AD$9,2,FALSE),0)/IF($D322="Inhalation",IF($K322="Central Tendency",SUMIFS('Inhalation Exposure'!$N$4:$N$61,'Inhalation Exposure'!$B$4:$B$61,$B322,'Inhalation Exposure'!$D$4:$D$61,$C322,'Inhalation Exposure'!$E$4:$E$61,$E322),SUMIFS('Inhalation Exposure'!$M$4:$M$61,'Inhalation Exposure'!$B$4:$B$61,$B322,'Inhalation Exposure'!$D$4:$D$61,$C322,'Inhalation Exposure'!$E$4:$E$61,$E322)),IF($K322="Central Tendency",SUMIFS('Dermal Crosswalk'!$P$5:$P$32,'Dermal Crosswalk'!$A$5:$A$32,'Bridge Table'!$B322,'Dermal Crosswalk'!$C$5:$C$32,'Bridge Table'!$E322),SUMIFS('Dermal Crosswalk'!$K$5:$K$32,'Dermal Crosswalk'!$A$5:$A$32,'Bridge Table'!$B322,'Dermal Crosswalk'!$C$5:$C$32,'Bridge Table'!$E322))),"--")</f>
        <v>64838.341484224686</v>
      </c>
      <c r="M322" s="586">
        <f>IFERROR(IFERROR(VLOOKUP($D322,$Z$8:$AD$9,3,FALSE),0)/IF($D322="Inhalation",IF($K322="Central Tendency",SUMIFS('Inhalation Exposure'!$AB$4:$AB$61,'Inhalation Exposure'!$B$4:$B$61,$B322,'Inhalation Exposure'!$D$4:$D$61,$C322,'Inhalation Exposure'!$E$4:$E$61,$E322),SUMIFS('Inhalation Exposure'!$AA$4:$AA$61,'Inhalation Exposure'!$B$4:$B$61,$B322,'Inhalation Exposure'!$D$4:$D$61,$C322,'Inhalation Exposure'!$E$4:$E$61,$E322)),IF($K322="Central Tendency",SUMIFS('Dermal Crosswalk'!$S$5:$S$32,'Dermal Crosswalk'!$A$5:$A$32,'Bridge Table'!$B322,'Dermal Crosswalk'!$C$5:$C$32,'Bridge Table'!$E322),SUMIFS('Dermal Crosswalk'!$N$5:$N$32,'Dermal Crosswalk'!$A$5:$A$32,'Bridge Table'!$B322,'Dermal Crosswalk'!$C$5:$C$32,'Bridge Table'!$E322))),"--")</f>
        <v>32281.669747229051</v>
      </c>
      <c r="N322" s="586">
        <f>IFERROR(IFERROR(VLOOKUP($D322,$Z$8:$AD$9,4,FALSE),0)/IF($D322="Inhalation",IF($K322="Central Tendency",SUMIFS('Inhalation Exposure'!$R$4:$R$61,'Inhalation Exposure'!$B$4:$B$61,$B322,'Inhalation Exposure'!$D$4:$D$61,$C322,'Inhalation Exposure'!$E$4:$E$61,$E322),SUMIFS('Inhalation Exposure'!$Q$4:$Q$61,'Inhalation Exposure'!$B$4:$B$61,$B322,'Inhalation Exposure'!$D$4:$D$61,$C322,'Inhalation Exposure'!$E$4:$E$61,$E322)),IF($K322="Central Tendency",SUMIFS('Dermal Crosswalk'!$Q$5:$Q$32,'Dermal Crosswalk'!$A$5:$A$32,'Bridge Table'!$B322,'Dermal Crosswalk'!$C$5:$C$32,'Bridge Table'!$E322),SUMIFS('Dermal Crosswalk'!$L$5:$L$32,'Dermal Crosswalk'!$A$5:$A$32,'Bridge Table'!$B322,'Dermal Crosswalk'!$C$5:$C$32,'Bridge Table'!$E322))),"--")</f>
        <v>34562.907742699979</v>
      </c>
      <c r="O322" s="586">
        <f>IFERROR(IFERROR(VLOOKUP($D322,$Z$8:$AD$9,5,FALSE),0)*IF($D322="Inhalation",IF($K322="Central Tendency",SUMIFS('Inhalation Exposure'!$V$4:$V$61,'Inhalation Exposure'!$B$4:$B$61,$B322,'Inhalation Exposure'!$D$4:$D$61,$C322,'Inhalation Exposure'!$E$4:$E$61,$E322),SUMIFS('Inhalation Exposure'!$U$4:$U$61,'Inhalation Exposure'!$B$4:$B$61,$B322,'Inhalation Exposure'!$D$4:$D$61,$C322,'Inhalation Exposure'!$E$4:$E$61,$E322)),IF($K322="Central Tendency",SUMIFS('Dermal Crosswalk'!$R$5:$R$32,'Dermal Crosswalk'!$A$5:$A$32,'Bridge Table'!$B322,'Dermal Crosswalk'!$C$5:$C$32,'Bridge Table'!$E322),SUMIFS('Dermal Crosswalk'!$M$5:$M$32,'Dermal Crosswalk'!$A$5:$A$32,'Bridge Table'!$B322,'Dermal Crosswalk'!$C$5:$C$32,'Bridge Table'!$E322))),"--")</f>
        <v>6.7508159216317956E-7</v>
      </c>
      <c r="P322" s="363">
        <f>IFERROR(L322*U322,"Not Assessed")</f>
        <v>648383.4148422468</v>
      </c>
      <c r="Q322" s="363">
        <f>IFERROR(M322*V322,"Not Assessed")</f>
        <v>322816.69747229049</v>
      </c>
      <c r="R322" s="363">
        <f>IFERROR(N322*W322,"Not Assessed")</f>
        <v>345629.07742699981</v>
      </c>
      <c r="S322" s="364">
        <f>IFERROR(O322/X322, "Not Assessed")</f>
        <v>6.7508159216317953E-8</v>
      </c>
      <c r="U322" s="378">
        <v>10</v>
      </c>
      <c r="V322" s="379">
        <v>10</v>
      </c>
      <c r="W322" s="379">
        <v>10</v>
      </c>
      <c r="X322" s="380">
        <v>10</v>
      </c>
    </row>
    <row r="323" spans="1:24" ht="15" thickBot="1" x14ac:dyDescent="0.35">
      <c r="A323" s="372"/>
      <c r="B323" s="360">
        <v>8</v>
      </c>
      <c r="C323" s="361" t="s">
        <v>25</v>
      </c>
      <c r="D323" s="361" t="s">
        <v>111</v>
      </c>
      <c r="E323" s="362" t="s">
        <v>24</v>
      </c>
      <c r="F323" s="589"/>
      <c r="G323" s="589"/>
      <c r="H323" s="589"/>
      <c r="I323" s="590"/>
      <c r="J323" s="590"/>
      <c r="K323" s="588"/>
      <c r="L323" s="587"/>
      <c r="M323" s="587"/>
      <c r="N323" s="587"/>
      <c r="O323" s="587"/>
      <c r="P323" s="373" t="str">
        <f>CONCATENATE("(APF ",U322,")")</f>
        <v>(APF 10)</v>
      </c>
      <c r="Q323" s="373" t="str">
        <f>CONCATENATE("(APF ",V322,")")</f>
        <v>(APF 10)</v>
      </c>
      <c r="R323" s="373" t="str">
        <f>CONCATENATE("(APF ",W322,")")</f>
        <v>(APF 10)</v>
      </c>
      <c r="S323" s="373" t="str">
        <f>CONCATENATE("(APF ",X322,")")</f>
        <v>(APF 10)</v>
      </c>
      <c r="U323" s="374" t="s">
        <v>116</v>
      </c>
      <c r="V323" s="375" t="s">
        <v>116</v>
      </c>
      <c r="W323" s="375" t="s">
        <v>116</v>
      </c>
      <c r="X323" s="376" t="s">
        <v>116</v>
      </c>
    </row>
    <row r="324" spans="1:24" ht="15" customHeight="1" thickBot="1" x14ac:dyDescent="0.35">
      <c r="A324" s="372"/>
      <c r="B324" s="360">
        <v>8</v>
      </c>
      <c r="C324" s="361" t="s">
        <v>25</v>
      </c>
      <c r="D324" s="361" t="s">
        <v>111</v>
      </c>
      <c r="E324" s="362" t="s">
        <v>117</v>
      </c>
      <c r="F324" s="589"/>
      <c r="G324" s="589"/>
      <c r="H324" s="589"/>
      <c r="I324" s="589" t="s">
        <v>25</v>
      </c>
      <c r="J324" s="586" t="s">
        <v>115</v>
      </c>
      <c r="K324" s="584" t="s">
        <v>54</v>
      </c>
      <c r="L324" s="586">
        <f>IFERROR(IFERROR(VLOOKUP($D324,$Z$8:$AD$9,2,FALSE),0)/IF($D324="Inhalation",IF($K324="Central Tendency",SUMIFS('Inhalation Exposure'!$N$4:$N$61,'Inhalation Exposure'!$B$4:$B$61,$B324,'Inhalation Exposure'!$D$4:$D$61,$C324,'Inhalation Exposure'!$E$4:$E$61,$E324),SUMIFS('Inhalation Exposure'!$M$4:$M$61,'Inhalation Exposure'!$B$4:$B$61,$B324,'Inhalation Exposure'!$D$4:$D$61,$C324,'Inhalation Exposure'!$E$4:$E$61,$E324)),IF($K324="Central Tendency",SUMIFS('Dermal Crosswalk'!$P$5:$P$32,'Dermal Crosswalk'!$A$5:$A$32,'Bridge Table'!$B324,'Dermal Crosswalk'!$C$5:$C$32,'Bridge Table'!$E324),SUMIFS('Dermal Crosswalk'!$K$5:$K$32,'Dermal Crosswalk'!$A$5:$A$32,'Bridge Table'!$B324,'Dermal Crosswalk'!$C$5:$C$32,'Bridge Table'!$E324))),"--")</f>
        <v>101985.25127595838</v>
      </c>
      <c r="M324" s="586">
        <f>IFERROR(IFERROR(VLOOKUP($D324,$Z$8:$AD$9,3,FALSE),0)/IF($D324="Inhalation",IF($K324="Central Tendency",SUMIFS('Inhalation Exposure'!$AB$4:$AB$61,'Inhalation Exposure'!$B$4:$B$61,$B324,'Inhalation Exposure'!$D$4:$D$61,$C324,'Inhalation Exposure'!$E$4:$E$61,$E324),SUMIFS('Inhalation Exposure'!$AA$4:$AA$61,'Inhalation Exposure'!$B$4:$B$61,$B324,'Inhalation Exposure'!$D$4:$D$61,$C324,'Inhalation Exposure'!$E$4:$E$61,$E324)),IF($K324="Central Tendency",SUMIFS('Dermal Crosswalk'!$S$5:$S$32,'Dermal Crosswalk'!$A$5:$A$32,'Bridge Table'!$B324,'Dermal Crosswalk'!$C$5:$C$32,'Bridge Table'!$E324),SUMIFS('Dermal Crosswalk'!$N$5:$N$32,'Dermal Crosswalk'!$A$5:$A$32,'Bridge Table'!$B324,'Dermal Crosswalk'!$C$5:$C$32,'Bridge Table'!$E324))),"--")</f>
        <v>51364.176127700557</v>
      </c>
      <c r="N324" s="586">
        <f>IFERROR(IFERROR(VLOOKUP($D324,$Z$8:$AD$9,4,FALSE),0)/IF($D324="Inhalation",IF($K324="Central Tendency",SUMIFS('Inhalation Exposure'!$R$4:$R$61,'Inhalation Exposure'!$B$4:$B$61,$B324,'Inhalation Exposure'!$D$4:$D$61,$C324,'Inhalation Exposure'!$E$4:$E$61,$E324),SUMIFS('Inhalation Exposure'!$Q$4:$Q$61,'Inhalation Exposure'!$B$4:$B$61,$B324,'Inhalation Exposure'!$D$4:$D$61,$C324,'Inhalation Exposure'!$E$4:$E$61,$E324)),IF($K324="Central Tendency",SUMIFS('Dermal Crosswalk'!$Q$5:$Q$32,'Dermal Crosswalk'!$A$5:$A$32,'Bridge Table'!$B324,'Dermal Crosswalk'!$C$5:$C$32,'Bridge Table'!$E324),SUMIFS('Dermal Crosswalk'!$L$5:$L$32,'Dermal Crosswalk'!$A$5:$A$32,'Bridge Table'!$B324,'Dermal Crosswalk'!$C$5:$C$32,'Bridge Table'!$E324))),"--")</f>
        <v>54993.911240724738</v>
      </c>
      <c r="O324" s="586">
        <f>IFERROR(IFERROR(VLOOKUP($D324,$Z$8:$AD$9,5,FALSE),0)*IF($D324="Inhalation",IF($K324="Central Tendency",SUMIFS('Inhalation Exposure'!$V$4:$V$61,'Inhalation Exposure'!$B$4:$B$61,$B324,'Inhalation Exposure'!$D$4:$D$61,$C324,'Inhalation Exposure'!$E$4:$E$61,$E324),SUMIFS('Inhalation Exposure'!$U$4:$U$61,'Inhalation Exposure'!$B$4:$B$61,$B324,'Inhalation Exposure'!$D$4:$D$61,$C324,'Inhalation Exposure'!$E$4:$E$61,$E324)),IF($K324="Central Tendency",SUMIFS('Dermal Crosswalk'!$R$5:$R$32,'Dermal Crosswalk'!$A$5:$A$32,'Bridge Table'!$B324,'Dermal Crosswalk'!$C$5:$C$32,'Bridge Table'!$E324),SUMIFS('Dermal Crosswalk'!$M$5:$M$32,'Dermal Crosswalk'!$A$5:$A$32,'Bridge Table'!$B324,'Dermal Crosswalk'!$C$5:$C$32,'Bridge Table'!$E324))),"--")</f>
        <v>3.9441377298630959E-7</v>
      </c>
      <c r="P324" s="363">
        <f>IFERROR(L324*U324,"Not Assessed")</f>
        <v>1019852.5127595838</v>
      </c>
      <c r="Q324" s="363">
        <f>IFERROR(M324*V324,"Not Assessed")</f>
        <v>513641.76127700554</v>
      </c>
      <c r="R324" s="363">
        <f>IFERROR(N324*W324,"Not Assessed")</f>
        <v>549939.11240724742</v>
      </c>
      <c r="S324" s="364">
        <f>IFERROR(O324/X324, "Not Assessed")</f>
        <v>3.9441377298630962E-8</v>
      </c>
      <c r="U324" s="378">
        <v>10</v>
      </c>
      <c r="V324" s="379">
        <v>10</v>
      </c>
      <c r="W324" s="379">
        <v>10</v>
      </c>
      <c r="X324" s="380">
        <v>10</v>
      </c>
    </row>
    <row r="325" spans="1:24" ht="15" thickBot="1" x14ac:dyDescent="0.35">
      <c r="A325" s="372"/>
      <c r="B325" s="360">
        <v>8</v>
      </c>
      <c r="C325" s="361" t="s">
        <v>25</v>
      </c>
      <c r="D325" s="361" t="s">
        <v>111</v>
      </c>
      <c r="E325" s="362" t="s">
        <v>117</v>
      </c>
      <c r="F325" s="589"/>
      <c r="G325" s="589"/>
      <c r="H325" s="589"/>
      <c r="I325" s="589"/>
      <c r="J325" s="589"/>
      <c r="K325" s="585"/>
      <c r="L325" s="587"/>
      <c r="M325" s="587"/>
      <c r="N325" s="587"/>
      <c r="O325" s="587"/>
      <c r="P325" s="373" t="str">
        <f>CONCATENATE("(APF ",U324,")")</f>
        <v>(APF 10)</v>
      </c>
      <c r="Q325" s="373" t="str">
        <f>CONCATENATE("(APF ",V324,")")</f>
        <v>(APF 10)</v>
      </c>
      <c r="R325" s="373" t="str">
        <f>CONCATENATE("(APF ",W324,")")</f>
        <v>(APF 10)</v>
      </c>
      <c r="S325" s="373" t="str">
        <f>CONCATENATE("(APF ",X324,")")</f>
        <v>(APF 10)</v>
      </c>
      <c r="U325" s="374" t="s">
        <v>116</v>
      </c>
      <c r="V325" s="375" t="s">
        <v>116</v>
      </c>
      <c r="W325" s="375" t="s">
        <v>116</v>
      </c>
      <c r="X325" s="376" t="s">
        <v>116</v>
      </c>
    </row>
    <row r="326" spans="1:24" ht="15" thickBot="1" x14ac:dyDescent="0.35">
      <c r="A326" s="372"/>
      <c r="B326" s="360">
        <v>8</v>
      </c>
      <c r="C326" s="361" t="s">
        <v>25</v>
      </c>
      <c r="D326" s="361" t="s">
        <v>111</v>
      </c>
      <c r="E326" s="362" t="s">
        <v>117</v>
      </c>
      <c r="F326" s="589"/>
      <c r="G326" s="589"/>
      <c r="H326" s="589"/>
      <c r="I326" s="589"/>
      <c r="J326" s="589"/>
      <c r="K326" s="584" t="s">
        <v>88</v>
      </c>
      <c r="L326" s="586">
        <f>IFERROR(IFERROR(VLOOKUP($D326,$Z$8:$AD$9,2,FALSE),0)/IF($D326="Inhalation",IF($K326="Central Tendency",SUMIFS('Inhalation Exposure'!$N$4:$N$61,'Inhalation Exposure'!$B$4:$B$61,$B326,'Inhalation Exposure'!$D$4:$D$61,$C326,'Inhalation Exposure'!$E$4:$E$61,$E326),SUMIFS('Inhalation Exposure'!$M$4:$M$61,'Inhalation Exposure'!$B$4:$B$61,$B326,'Inhalation Exposure'!$D$4:$D$61,$C326,'Inhalation Exposure'!$E$4:$E$61,$E326)),IF($K326="Central Tendency",SUMIFS('Dermal Crosswalk'!$P$5:$P$32,'Dermal Crosswalk'!$A$5:$A$32,'Bridge Table'!$B326,'Dermal Crosswalk'!$C$5:$C$32,'Bridge Table'!$E326),SUMIFS('Dermal Crosswalk'!$K$5:$K$32,'Dermal Crosswalk'!$A$5:$A$32,'Bridge Table'!$B326,'Dermal Crosswalk'!$C$5:$C$32,'Bridge Table'!$E326))),"--")</f>
        <v>65364.927146345392</v>
      </c>
      <c r="M326" s="586">
        <f>IFERROR(IFERROR(VLOOKUP($D326,$Z$8:$AD$9,3,FALSE),0)/IF($D326="Inhalation",IF($K326="Central Tendency",SUMIFS('Inhalation Exposure'!$AB$4:$AB$61,'Inhalation Exposure'!$B$4:$B$61,$B326,'Inhalation Exposure'!$D$4:$D$61,$C326,'Inhalation Exposure'!$E$4:$E$61,$E326),SUMIFS('Inhalation Exposure'!$AA$4:$AA$61,'Inhalation Exposure'!$B$4:$B$61,$B326,'Inhalation Exposure'!$D$4:$D$61,$C326,'Inhalation Exposure'!$E$4:$E$61,$E326)),IF($K326="Central Tendency",SUMIFS('Dermal Crosswalk'!$S$5:$S$32,'Dermal Crosswalk'!$A$5:$A$32,'Bridge Table'!$B326,'Dermal Crosswalk'!$C$5:$C$32,'Bridge Table'!$E326),SUMIFS('Dermal Crosswalk'!$N$5:$N$32,'Dermal Crosswalk'!$A$5:$A$32,'Bridge Table'!$B326,'Dermal Crosswalk'!$C$5:$C$32,'Bridge Table'!$E326))),"--")</f>
        <v>32501.431848957705</v>
      </c>
      <c r="N326" s="586">
        <f>IFERROR(IFERROR(VLOOKUP($D326,$Z$8:$AD$9,4,FALSE),0)/IF($D326="Inhalation",IF($K326="Central Tendency",SUMIFS('Inhalation Exposure'!$R$4:$R$61,'Inhalation Exposure'!$B$4:$B$61,$B326,'Inhalation Exposure'!$D$4:$D$61,$C326,'Inhalation Exposure'!$E$4:$E$61,$E326),SUMIFS('Inhalation Exposure'!$Q$4:$Q$61,'Inhalation Exposure'!$B$4:$B$61,$B326,'Inhalation Exposure'!$D$4:$D$61,$C326,'Inhalation Exposure'!$E$4:$E$61,$E326)),IF($K326="Central Tendency",SUMIFS('Dermal Crosswalk'!$Q$5:$Q$32,'Dermal Crosswalk'!$A$5:$A$32,'Bridge Table'!$B326,'Dermal Crosswalk'!$C$5:$C$32,'Bridge Table'!$E326),SUMIFS('Dermal Crosswalk'!$L$5:$L$32,'Dermal Crosswalk'!$A$5:$A$32,'Bridge Table'!$B326,'Dermal Crosswalk'!$C$5:$C$32,'Bridge Table'!$E326))),"--")</f>
        <v>34798.199699617282</v>
      </c>
      <c r="O326" s="586">
        <f>IFERROR(IFERROR(VLOOKUP($D326,$Z$8:$AD$9,5,FALSE),0)*IF($D326="Inhalation",IF($K326="Central Tendency",SUMIFS('Inhalation Exposure'!$V$4:$V$61,'Inhalation Exposure'!$B$4:$B$61,$B326,'Inhalation Exposure'!$D$4:$D$61,$C326,'Inhalation Exposure'!$E$4:$E$61,$E326),SUMIFS('Inhalation Exposure'!$U$4:$U$61,'Inhalation Exposure'!$B$4:$B$61,$B326,'Inhalation Exposure'!$D$4:$D$61,$C326,'Inhalation Exposure'!$E$4:$E$61,$E326)),IF($K326="Central Tendency",SUMIFS('Dermal Crosswalk'!$R$5:$R$32,'Dermal Crosswalk'!$A$5:$A$32,'Bridge Table'!$B326,'Dermal Crosswalk'!$C$5:$C$32,'Bridge Table'!$E326),SUMIFS('Dermal Crosswalk'!$M$5:$M$32,'Dermal Crosswalk'!$A$5:$A$32,'Bridge Table'!$B326,'Dermal Crosswalk'!$C$5:$C$32,'Bridge Table'!$E326))),"--")</f>
        <v>6.6688091310209418E-7</v>
      </c>
      <c r="P326" s="363">
        <f>IFERROR(L326*U326,"Not Assessed")</f>
        <v>653649.27146345389</v>
      </c>
      <c r="Q326" s="363">
        <f>IFERROR(M326*V326,"Not Assessed")</f>
        <v>325014.31848957704</v>
      </c>
      <c r="R326" s="363">
        <f>IFERROR(N326*W326,"Not Assessed")</f>
        <v>347981.99699617282</v>
      </c>
      <c r="S326" s="364">
        <f>IFERROR(O326/X326, "Not Assessed")</f>
        <v>6.6688091310209413E-8</v>
      </c>
      <c r="U326" s="378">
        <v>10</v>
      </c>
      <c r="V326" s="379">
        <v>10</v>
      </c>
      <c r="W326" s="379">
        <v>10</v>
      </c>
      <c r="X326" s="380">
        <v>10</v>
      </c>
    </row>
    <row r="327" spans="1:24" ht="15" thickBot="1" x14ac:dyDescent="0.35">
      <c r="A327" s="372"/>
      <c r="B327" s="360">
        <v>8</v>
      </c>
      <c r="C327" s="361" t="s">
        <v>25</v>
      </c>
      <c r="D327" s="361" t="s">
        <v>111</v>
      </c>
      <c r="E327" s="362" t="s">
        <v>117</v>
      </c>
      <c r="F327" s="589"/>
      <c r="G327" s="589"/>
      <c r="H327" s="589"/>
      <c r="I327" s="590"/>
      <c r="J327" s="590"/>
      <c r="K327" s="588"/>
      <c r="L327" s="587"/>
      <c r="M327" s="587"/>
      <c r="N327" s="587"/>
      <c r="O327" s="587"/>
      <c r="P327" s="373" t="str">
        <f>CONCATENATE("(APF ",U326,")")</f>
        <v>(APF 10)</v>
      </c>
      <c r="Q327" s="373" t="str">
        <f>CONCATENATE("(APF ",V326,")")</f>
        <v>(APF 10)</v>
      </c>
      <c r="R327" s="373" t="str">
        <f>CONCATENATE("(APF ",W326,")")</f>
        <v>(APF 10)</v>
      </c>
      <c r="S327" s="373" t="str">
        <f>CONCATENATE("(APF ",X326,")")</f>
        <v>(APF 10)</v>
      </c>
      <c r="U327" s="374" t="s">
        <v>116</v>
      </c>
      <c r="V327" s="375" t="s">
        <v>116</v>
      </c>
      <c r="W327" s="375" t="s">
        <v>116</v>
      </c>
      <c r="X327" s="376" t="s">
        <v>116</v>
      </c>
    </row>
    <row r="328" spans="1:24" ht="15" thickBot="1" x14ac:dyDescent="0.35">
      <c r="A328" s="372"/>
      <c r="B328" s="360">
        <v>8</v>
      </c>
      <c r="C328" s="361" t="s">
        <v>53</v>
      </c>
      <c r="D328" s="361" t="s">
        <v>111</v>
      </c>
      <c r="E328" s="362" t="s">
        <v>24</v>
      </c>
      <c r="F328" s="589"/>
      <c r="G328" s="589"/>
      <c r="H328" s="589"/>
      <c r="I328" s="589" t="s">
        <v>53</v>
      </c>
      <c r="J328" s="586" t="s">
        <v>115</v>
      </c>
      <c r="K328" s="584" t="s">
        <v>54</v>
      </c>
      <c r="L328" s="586" t="str">
        <f>IFERROR(IFERROR(VLOOKUP($D328,$Z$8:$AD$9,2,FALSE),0)/IF($D328="Inhalation",IF($K328="Central Tendency",SUMIFS('Inhalation Exposure'!$L$4:$L$60,'Inhalation Exposure'!$B$4:$B$60,$B328,'Inhalation Exposure'!$D$4:$D$60,$C328,'Inhalation Exposure'!$E$4:$E$60,$E328),SUMIFS('Inhalation Exposure'!$K$4:$K$60,'Inhalation Exposure'!$B$4:$B$60,$B328,'Inhalation Exposure'!$D$4:$D$60,$C328,'Inhalation Exposure'!$E$4:$E$60,$E328)),IF($K328="Central Tendency",SUMIFS('Dermal Crosswalk'!$P$5:$P$32,'Dermal Crosswalk'!$A$5:$A$32,'Bridge Table'!$B328,'Dermal Crosswalk'!$C$5:$C$32,'Bridge Table'!$E328),SUMIFS('Dermal Crosswalk'!$K$5:$K$32,'Dermal Crosswalk'!$A$5:$A$32,'Bridge Table'!$B328,'Dermal Crosswalk'!$C$5:$C$32,'Bridge Table'!$E328))),"--")</f>
        <v>--</v>
      </c>
      <c r="M328" s="586" t="str">
        <f>IFERROR(IFERROR(VLOOKUP($D328,$Z$8:$AD$9,3,FALSE),0)/IF($D328="Inhalation",IF($K328="Central Tendency",SUMIFS('Inhalation Exposure'!$AB$4:$AB$60,'Inhalation Exposure'!$B$4:$B$60,$B328,'Inhalation Exposure'!$D$4:$D$60,$C328,'Inhalation Exposure'!$E$4:$E$60,$E328),SUMIFS('Inhalation Exposure'!$AA$4:$AA$60,'Inhalation Exposure'!$B$4:$B$60,$B328,'Inhalation Exposure'!$D$4:$D$60,$C328,'Inhalation Exposure'!$E$4:$E$60,$E328)),IF($K328="Central Tendency",SUMIFS('Dermal Crosswalk'!$S$5:$S$32,'Dermal Crosswalk'!$A$5:$A$32,'Bridge Table'!$B328,'Dermal Crosswalk'!$C$5:$C$32,'Bridge Table'!$E328),SUMIFS('Dermal Crosswalk'!$N$5:$N$32,'Dermal Crosswalk'!$A$5:$A$32,'Bridge Table'!$B328,'Dermal Crosswalk'!$C$5:$C$32,'Bridge Table'!$E328))),"--")</f>
        <v>--</v>
      </c>
      <c r="N328" s="586" t="str">
        <f>IFERROR(IFERROR(VLOOKUP($D328,$Z$8:$AD$9,4,FALSE),0)/IF($D328="Inhalation",IF($K328="Central Tendency",SUMIFS('Inhalation Exposure'!$R$4:$R$60,'Inhalation Exposure'!$B$4:$B$60,$B328,'Inhalation Exposure'!$D$4:$D$60,$C328,'Inhalation Exposure'!$E$4:$E$60,$E328),SUMIFS('Inhalation Exposure'!$Q$4:$Q$60,'Inhalation Exposure'!$B$4:$B$60,$B328,'Inhalation Exposure'!$D$4:$D$60,$C328,'Inhalation Exposure'!$E$4:$E$60,$E328)),IF($K328="Central Tendency",SUMIFS('Dermal Crosswalk'!$Q$5:$Q$32,'Dermal Crosswalk'!$A$5:$A$32,'Bridge Table'!$B328,'Dermal Crosswalk'!$C$5:$C$32,'Bridge Table'!$E328),SUMIFS('Dermal Crosswalk'!$L$5:$L$32,'Dermal Crosswalk'!$A$5:$A$32,'Bridge Table'!$B328,'Dermal Crosswalk'!$C$5:$C$32,'Bridge Table'!$E328))),"--")</f>
        <v>--</v>
      </c>
      <c r="O328" s="586" t="str">
        <f>IF(IFERROR(VLOOKUP($D328,$Z$8:$AD$9,5,FALSE),0)*IF($D328="Inhalation",IF($K328="Central Tendency",SUMIFS('Inhalation Exposure'!$V$4:$V$60,'Inhalation Exposure'!$B$4:$B$60,$B328,'Inhalation Exposure'!$D$4:$D$60,$C328,'Inhalation Exposure'!$E$4:$E$60,$E328),SUMIFS('Inhalation Exposure'!$U$4:$U$60,'Inhalation Exposure'!$B$4:$B$60,$B328,'Inhalation Exposure'!$D$4:$D$60,$C328,'Inhalation Exposure'!$E$4:$E$60,$E328)),IF($K328="Central Tendency",SUMIFS('Dermal Crosswalk'!$R$5:$R$32,'Dermal Crosswalk'!$A$5:$A$32,'Bridge Table'!$B328,'Dermal Crosswalk'!$C$5:$C$32,'Bridge Table'!$E328),SUMIFS('Dermal Crosswalk'!$M$5:$M$32,'Dermal Crosswalk'!$A$5:$A$32,'Bridge Table'!$B328,'Dermal Crosswalk'!$C$5:$C$32,'Bridge Table'!$E328)))=0,"--",IFERROR(VLOOKUP($D328,$Z$8:$AD$9,5,FALSE),0)*IF($D328="Inhalation",IF($K328="Central Tendency",SUMIFS('Inhalation Exposure'!$V$4:$V$60,'Inhalation Exposure'!$B$4:$B$60,$B328,'Inhalation Exposure'!$D$4:$D$60,$C328,'Inhalation Exposure'!$E$4:$E$60,$E328),SUMIFS('Inhalation Exposure'!$U$4:$U$60,'Inhalation Exposure'!$B$4:$B$60,$B328,'Inhalation Exposure'!$D$4:$D$60,$C328,'Inhalation Exposure'!$E$4:$E$60,$E328)),IF($K328="Central Tendency",SUMIFS('Dermal Crosswalk'!$R$5:$R$32,'Dermal Crosswalk'!$A$5:$A$32,'Bridge Table'!$B328,'Dermal Crosswalk'!$C$5:$C$32,'Bridge Table'!$E328),SUMIFS('Dermal Crosswalk'!$M$5:$M$32,'Dermal Crosswalk'!$A$5:$A$32,'Bridge Table'!$B328,'Dermal Crosswalk'!$C$5:$C$32,'Bridge Table'!$E328))))</f>
        <v>--</v>
      </c>
      <c r="P328" s="610" t="s">
        <v>118</v>
      </c>
      <c r="Q328" s="610" t="s">
        <v>118</v>
      </c>
      <c r="R328" s="610" t="s">
        <v>118</v>
      </c>
      <c r="S328" s="610" t="s">
        <v>118</v>
      </c>
      <c r="U328" s="612" t="s">
        <v>118</v>
      </c>
      <c r="V328" s="614" t="s">
        <v>118</v>
      </c>
      <c r="W328" s="614" t="s">
        <v>118</v>
      </c>
      <c r="X328" s="616" t="s">
        <v>118</v>
      </c>
    </row>
    <row r="329" spans="1:24" ht="15" thickBot="1" x14ac:dyDescent="0.35">
      <c r="A329" s="372"/>
      <c r="B329" s="360">
        <v>8</v>
      </c>
      <c r="C329" s="361" t="s">
        <v>53</v>
      </c>
      <c r="D329" s="361" t="s">
        <v>111</v>
      </c>
      <c r="E329" s="362" t="s">
        <v>24</v>
      </c>
      <c r="F329" s="589"/>
      <c r="G329" s="589"/>
      <c r="H329" s="589"/>
      <c r="I329" s="589"/>
      <c r="J329" s="589"/>
      <c r="K329" s="585"/>
      <c r="L329" s="587"/>
      <c r="M329" s="587"/>
      <c r="N329" s="587"/>
      <c r="O329" s="587"/>
      <c r="P329" s="611"/>
      <c r="Q329" s="611"/>
      <c r="R329" s="611"/>
      <c r="S329" s="611"/>
      <c r="U329" s="613"/>
      <c r="V329" s="615"/>
      <c r="W329" s="615"/>
      <c r="X329" s="617"/>
    </row>
    <row r="330" spans="1:24" ht="15" thickBot="1" x14ac:dyDescent="0.35">
      <c r="A330" s="372"/>
      <c r="B330" s="360">
        <v>8</v>
      </c>
      <c r="C330" s="361" t="s">
        <v>53</v>
      </c>
      <c r="D330" s="361" t="s">
        <v>111</v>
      </c>
      <c r="E330" s="362" t="s">
        <v>24</v>
      </c>
      <c r="F330" s="589"/>
      <c r="G330" s="589"/>
      <c r="H330" s="589"/>
      <c r="I330" s="589"/>
      <c r="J330" s="589"/>
      <c r="K330" s="584" t="s">
        <v>88</v>
      </c>
      <c r="L330" s="586" t="str">
        <f>IFERROR(IFERROR(VLOOKUP($D330,$Z$8:$AD$9,2,FALSE),0)/IF($D330="Inhalation",IF($K330="Central Tendency",SUMIFS('Inhalation Exposure'!$L$4:$L$60,'Inhalation Exposure'!$B$4:$B$60,$B330,'Inhalation Exposure'!$D$4:$D$60,$C330,'Inhalation Exposure'!$E$4:$E$60,$E330),SUMIFS('Inhalation Exposure'!$K$4:$K$60,'Inhalation Exposure'!$B$4:$B$60,$B330,'Inhalation Exposure'!$D$4:$D$60,$C330,'Inhalation Exposure'!$E$4:$E$60,$E330)),IF($K330="Central Tendency",SUMIFS('Dermal Crosswalk'!$P$5:$P$32,'Dermal Crosswalk'!$A$5:$A$32,'Bridge Table'!$B330,'Dermal Crosswalk'!$C$5:$C$32,'Bridge Table'!$E330),SUMIFS('Dermal Crosswalk'!$K$5:$K$32,'Dermal Crosswalk'!$A$5:$A$32,'Bridge Table'!$B330,'Dermal Crosswalk'!$C$5:$C$32,'Bridge Table'!$E330))),"--")</f>
        <v>--</v>
      </c>
      <c r="M330" s="586" t="str">
        <f>IFERROR(IFERROR(VLOOKUP($D330,$Z$8:$AD$9,3,FALSE),0)/IF($D330="Inhalation",IF($K330="Central Tendency",SUMIFS('Inhalation Exposure'!$AB$4:$AB$60,'Inhalation Exposure'!$B$4:$B$60,$B330,'Inhalation Exposure'!$D$4:$D$60,$C330,'Inhalation Exposure'!$E$4:$E$60,$E330),SUMIFS('Inhalation Exposure'!$AA$4:$AA$60,'Inhalation Exposure'!$B$4:$B$60,$B330,'Inhalation Exposure'!$D$4:$D$60,$C330,'Inhalation Exposure'!$E$4:$E$60,$E330)),IF($K330="Central Tendency",SUMIFS('Dermal Crosswalk'!$S$5:$S$32,'Dermal Crosswalk'!$A$5:$A$32,'Bridge Table'!$B330,'Dermal Crosswalk'!$C$5:$C$32,'Bridge Table'!$E330),SUMIFS('Dermal Crosswalk'!$N$5:$N$32,'Dermal Crosswalk'!$A$5:$A$32,'Bridge Table'!$B330,'Dermal Crosswalk'!$C$5:$C$32,'Bridge Table'!$E330))),"--")</f>
        <v>--</v>
      </c>
      <c r="N330" s="586" t="str">
        <f>IFERROR(IFERROR(VLOOKUP($D330,$Z$8:$AD$9,4,FALSE),0)/IF($D330="Inhalation",IF($K330="Central Tendency",SUMIFS('Inhalation Exposure'!$R$4:$R$60,'Inhalation Exposure'!$B$4:$B$60,$B330,'Inhalation Exposure'!$D$4:$D$60,$C330,'Inhalation Exposure'!$E$4:$E$60,$E330),SUMIFS('Inhalation Exposure'!$Q$4:$Q$60,'Inhalation Exposure'!$B$4:$B$60,$B330,'Inhalation Exposure'!$D$4:$D$60,$C330,'Inhalation Exposure'!$E$4:$E$60,$E330)),IF($K330="Central Tendency",SUMIFS('Dermal Crosswalk'!$Q$5:$Q$32,'Dermal Crosswalk'!$A$5:$A$32,'Bridge Table'!$B330,'Dermal Crosswalk'!$C$5:$C$32,'Bridge Table'!$E330),SUMIFS('Dermal Crosswalk'!$L$5:$L$32,'Dermal Crosswalk'!$A$5:$A$32,'Bridge Table'!$B330,'Dermal Crosswalk'!$C$5:$C$32,'Bridge Table'!$E330))),"--")</f>
        <v>--</v>
      </c>
      <c r="O330" s="586" t="str">
        <f>IF(IFERROR(VLOOKUP($D330,$Z$8:$AD$9,5,FALSE),0)*IF($D330="Inhalation",IF($K330="Central Tendency",SUMIFS('Inhalation Exposure'!$V$4:$V$60,'Inhalation Exposure'!$B$4:$B$60,$B330,'Inhalation Exposure'!$D$4:$D$60,$C330,'Inhalation Exposure'!$E$4:$E$60,$E330),SUMIFS('Inhalation Exposure'!$U$4:$U$60,'Inhalation Exposure'!$B$4:$B$60,$B330,'Inhalation Exposure'!$D$4:$D$60,$C330,'Inhalation Exposure'!$E$4:$E$60,$E330)),IF($K330="Central Tendency",SUMIFS('Dermal Crosswalk'!$R$5:$R$32,'Dermal Crosswalk'!$A$5:$A$32,'Bridge Table'!$B330,'Dermal Crosswalk'!$C$5:$C$32,'Bridge Table'!$E330),SUMIFS('Dermal Crosswalk'!$M$5:$M$32,'Dermal Crosswalk'!$A$5:$A$32,'Bridge Table'!$B330,'Dermal Crosswalk'!$C$5:$C$32,'Bridge Table'!$E330)))=0,"--",IFERROR(VLOOKUP($D330,$Z$8:$AD$9,5,FALSE),0)*IF($D330="Inhalation",IF($K330="Central Tendency",SUMIFS('Inhalation Exposure'!$V$4:$V$60,'Inhalation Exposure'!$B$4:$B$60,$B330,'Inhalation Exposure'!$D$4:$D$60,$C330,'Inhalation Exposure'!$E$4:$E$60,$E330),SUMIFS('Inhalation Exposure'!$U$4:$U$60,'Inhalation Exposure'!$B$4:$B$60,$B330,'Inhalation Exposure'!$D$4:$D$60,$C330,'Inhalation Exposure'!$E$4:$E$60,$E330)),IF($K330="Central Tendency",SUMIFS('Dermal Crosswalk'!$R$5:$R$32,'Dermal Crosswalk'!$A$5:$A$32,'Bridge Table'!$B330,'Dermal Crosswalk'!$C$5:$C$32,'Bridge Table'!$E330),SUMIFS('Dermal Crosswalk'!$M$5:$M$32,'Dermal Crosswalk'!$A$5:$A$32,'Bridge Table'!$B330,'Dermal Crosswalk'!$C$5:$C$32,'Bridge Table'!$E330))))</f>
        <v>--</v>
      </c>
      <c r="P330" s="610" t="s">
        <v>118</v>
      </c>
      <c r="Q330" s="610" t="s">
        <v>118</v>
      </c>
      <c r="R330" s="610" t="s">
        <v>118</v>
      </c>
      <c r="S330" s="610" t="s">
        <v>118</v>
      </c>
      <c r="U330" s="612" t="s">
        <v>118</v>
      </c>
      <c r="V330" s="614" t="s">
        <v>118</v>
      </c>
      <c r="W330" s="614" t="s">
        <v>118</v>
      </c>
      <c r="X330" s="616" t="s">
        <v>118</v>
      </c>
    </row>
    <row r="331" spans="1:24" ht="15" thickBot="1" x14ac:dyDescent="0.35">
      <c r="A331" s="372"/>
      <c r="B331" s="360">
        <v>8</v>
      </c>
      <c r="C331" s="361" t="s">
        <v>53</v>
      </c>
      <c r="D331" s="361" t="s">
        <v>111</v>
      </c>
      <c r="E331" s="362" t="s">
        <v>24</v>
      </c>
      <c r="F331" s="589"/>
      <c r="G331" s="589"/>
      <c r="H331" s="589"/>
      <c r="I331" s="590"/>
      <c r="J331" s="590"/>
      <c r="K331" s="588"/>
      <c r="L331" s="587"/>
      <c r="M331" s="587"/>
      <c r="N331" s="587"/>
      <c r="O331" s="587"/>
      <c r="P331" s="611"/>
      <c r="Q331" s="611"/>
      <c r="R331" s="611"/>
      <c r="S331" s="611"/>
      <c r="U331" s="613"/>
      <c r="V331" s="615"/>
      <c r="W331" s="615"/>
      <c r="X331" s="617"/>
    </row>
    <row r="332" spans="1:24" ht="15" thickBot="1" x14ac:dyDescent="0.35">
      <c r="A332" s="372"/>
      <c r="B332" s="360">
        <v>8</v>
      </c>
      <c r="C332" s="361" t="s">
        <v>53</v>
      </c>
      <c r="D332" s="361" t="s">
        <v>111</v>
      </c>
      <c r="E332" s="362" t="s">
        <v>117</v>
      </c>
      <c r="F332" s="589"/>
      <c r="G332" s="589"/>
      <c r="H332" s="589"/>
      <c r="I332" s="589" t="s">
        <v>53</v>
      </c>
      <c r="J332" s="586" t="s">
        <v>115</v>
      </c>
      <c r="K332" s="584" t="s">
        <v>54</v>
      </c>
      <c r="L332" s="586" t="str">
        <f>IFERROR(IFERROR(VLOOKUP($D332,$Z$8:$AD$9,2,FALSE),0)/IF($D332="Inhalation",IF($K332="Central Tendency",SUMIFS('Inhalation Exposure'!$L$4:$L$60,'Inhalation Exposure'!$B$4:$B$60,$B332,'Inhalation Exposure'!$D$4:$D$60,$C332,'Inhalation Exposure'!$E$4:$E$60,$E332),SUMIFS('Inhalation Exposure'!$K$4:$K$60,'Inhalation Exposure'!$B$4:$B$60,$B332,'Inhalation Exposure'!$D$4:$D$60,$C332,'Inhalation Exposure'!$E$4:$E$60,$E332)),IF($K332="Central Tendency",SUMIFS('Dermal Crosswalk'!$P$5:$P$32,'Dermal Crosswalk'!$A$5:$A$32,'Bridge Table'!$B332,'Dermal Crosswalk'!$C$5:$C$32,'Bridge Table'!$E332),SUMIFS('Dermal Crosswalk'!$K$5:$K$32,'Dermal Crosswalk'!$A$5:$A$32,'Bridge Table'!$B332,'Dermal Crosswalk'!$C$5:$C$32,'Bridge Table'!$E332))),"--")</f>
        <v>--</v>
      </c>
      <c r="M332" s="586" t="str">
        <f>IFERROR(IFERROR(VLOOKUP($D332,$Z$8:$AD$9,3,FALSE),0)/IF($D332="Inhalation",IF($K332="Central Tendency",SUMIFS('Inhalation Exposure'!$AB$4:$AB$60,'Inhalation Exposure'!$B$4:$B$60,$B332,'Inhalation Exposure'!$D$4:$D$60,$C332,'Inhalation Exposure'!$E$4:$E$60,$E332),SUMIFS('Inhalation Exposure'!$AA$4:$AA$60,'Inhalation Exposure'!$B$4:$B$60,$B332,'Inhalation Exposure'!$D$4:$D$60,$C332,'Inhalation Exposure'!$E$4:$E$60,$E332)),IF($K332="Central Tendency",SUMIFS('Dermal Crosswalk'!$S$5:$S$32,'Dermal Crosswalk'!$A$5:$A$32,'Bridge Table'!$B332,'Dermal Crosswalk'!$C$5:$C$32,'Bridge Table'!$E332),SUMIFS('Dermal Crosswalk'!$N$5:$N$32,'Dermal Crosswalk'!$A$5:$A$32,'Bridge Table'!$B332,'Dermal Crosswalk'!$C$5:$C$32,'Bridge Table'!$E332))),"--")</f>
        <v>--</v>
      </c>
      <c r="N332" s="586" t="str">
        <f>IFERROR(IFERROR(VLOOKUP($D332,$Z$8:$AD$9,4,FALSE),0)/IF($D332="Inhalation",IF($K332="Central Tendency",SUMIFS('Inhalation Exposure'!$R$4:$R$60,'Inhalation Exposure'!$B$4:$B$60,$B332,'Inhalation Exposure'!$D$4:$D$60,$C332,'Inhalation Exposure'!$E$4:$E$60,$E332),SUMIFS('Inhalation Exposure'!$Q$4:$Q$60,'Inhalation Exposure'!$B$4:$B$60,$B332,'Inhalation Exposure'!$D$4:$D$60,$C332,'Inhalation Exposure'!$E$4:$E$60,$E332)),IF($K332="Central Tendency",SUMIFS('Dermal Crosswalk'!$Q$5:$Q$32,'Dermal Crosswalk'!$A$5:$A$32,'Bridge Table'!$B332,'Dermal Crosswalk'!$C$5:$C$32,'Bridge Table'!$E332),SUMIFS('Dermal Crosswalk'!$L$5:$L$32,'Dermal Crosswalk'!$A$5:$A$32,'Bridge Table'!$B332,'Dermal Crosswalk'!$C$5:$C$32,'Bridge Table'!$E332))),"--")</f>
        <v>--</v>
      </c>
      <c r="O332" s="586" t="str">
        <f>IF(IFERROR(VLOOKUP($D332,$Z$8:$AD$9,5,FALSE),0)*IF($D332="Inhalation",IF($K332="Central Tendency",SUMIFS('Inhalation Exposure'!$V$4:$V$60,'Inhalation Exposure'!$B$4:$B$60,$B332,'Inhalation Exposure'!$D$4:$D$60,$C332,'Inhalation Exposure'!$E$4:$E$60,$E332),SUMIFS('Inhalation Exposure'!$U$4:$U$60,'Inhalation Exposure'!$B$4:$B$60,$B332,'Inhalation Exposure'!$D$4:$D$60,$C332,'Inhalation Exposure'!$E$4:$E$60,$E332)),IF($K332="Central Tendency",SUMIFS('Dermal Crosswalk'!$R$5:$R$32,'Dermal Crosswalk'!$A$5:$A$32,'Bridge Table'!$B332,'Dermal Crosswalk'!$C$5:$C$32,'Bridge Table'!$E332),SUMIFS('Dermal Crosswalk'!$M$5:$M$32,'Dermal Crosswalk'!$A$5:$A$32,'Bridge Table'!$B332,'Dermal Crosswalk'!$C$5:$C$32,'Bridge Table'!$E332)))=0,"--",IFERROR(VLOOKUP($D332,$Z$8:$AD$9,5,FALSE),0)*IF($D332="Inhalation",IF($K332="Central Tendency",SUMIFS('Inhalation Exposure'!$V$4:$V$60,'Inhalation Exposure'!$B$4:$B$60,$B332,'Inhalation Exposure'!$D$4:$D$60,$C332,'Inhalation Exposure'!$E$4:$E$60,$E332),SUMIFS('Inhalation Exposure'!$U$4:$U$60,'Inhalation Exposure'!$B$4:$B$60,$B332,'Inhalation Exposure'!$D$4:$D$60,$C332,'Inhalation Exposure'!$E$4:$E$60,$E332)),IF($K332="Central Tendency",SUMIFS('Dermal Crosswalk'!$R$5:$R$32,'Dermal Crosswalk'!$A$5:$A$32,'Bridge Table'!$B332,'Dermal Crosswalk'!$C$5:$C$32,'Bridge Table'!$E332),SUMIFS('Dermal Crosswalk'!$M$5:$M$32,'Dermal Crosswalk'!$A$5:$A$32,'Bridge Table'!$B332,'Dermal Crosswalk'!$C$5:$C$32,'Bridge Table'!$E332))))</f>
        <v>--</v>
      </c>
      <c r="P332" s="610" t="s">
        <v>118</v>
      </c>
      <c r="Q332" s="610" t="s">
        <v>118</v>
      </c>
      <c r="R332" s="610" t="s">
        <v>118</v>
      </c>
      <c r="S332" s="610" t="s">
        <v>118</v>
      </c>
      <c r="U332" s="612" t="s">
        <v>118</v>
      </c>
      <c r="V332" s="614" t="s">
        <v>118</v>
      </c>
      <c r="W332" s="614" t="s">
        <v>118</v>
      </c>
      <c r="X332" s="616" t="s">
        <v>118</v>
      </c>
    </row>
    <row r="333" spans="1:24" ht="15" thickBot="1" x14ac:dyDescent="0.35">
      <c r="A333" s="372"/>
      <c r="B333" s="360">
        <v>8</v>
      </c>
      <c r="C333" s="361" t="s">
        <v>53</v>
      </c>
      <c r="D333" s="361" t="s">
        <v>111</v>
      </c>
      <c r="E333" s="362" t="s">
        <v>117</v>
      </c>
      <c r="F333" s="589"/>
      <c r="G333" s="589"/>
      <c r="H333" s="589"/>
      <c r="I333" s="589"/>
      <c r="J333" s="589"/>
      <c r="K333" s="585"/>
      <c r="L333" s="587"/>
      <c r="M333" s="587"/>
      <c r="N333" s="587"/>
      <c r="O333" s="587"/>
      <c r="P333" s="611"/>
      <c r="Q333" s="611"/>
      <c r="R333" s="611"/>
      <c r="S333" s="611"/>
      <c r="U333" s="613"/>
      <c r="V333" s="615"/>
      <c r="W333" s="615"/>
      <c r="X333" s="617"/>
    </row>
    <row r="334" spans="1:24" ht="15" thickBot="1" x14ac:dyDescent="0.35">
      <c r="A334" s="372"/>
      <c r="B334" s="360">
        <v>8</v>
      </c>
      <c r="C334" s="361" t="s">
        <v>53</v>
      </c>
      <c r="D334" s="361" t="s">
        <v>111</v>
      </c>
      <c r="E334" s="362" t="s">
        <v>117</v>
      </c>
      <c r="F334" s="589"/>
      <c r="G334" s="589"/>
      <c r="H334" s="589"/>
      <c r="I334" s="589"/>
      <c r="J334" s="589"/>
      <c r="K334" s="584" t="s">
        <v>88</v>
      </c>
      <c r="L334" s="586" t="str">
        <f>IFERROR(IFERROR(VLOOKUP($D334,$Z$8:$AD$9,2,FALSE),0)/IF($D334="Inhalation",IF($K334="Central Tendency",SUMIFS('Inhalation Exposure'!$L$4:$L$60,'Inhalation Exposure'!$B$4:$B$60,$B334,'Inhalation Exposure'!$D$4:$D$60,$C334,'Inhalation Exposure'!$E$4:$E$60,$E334),SUMIFS('Inhalation Exposure'!$K$4:$K$60,'Inhalation Exposure'!$B$4:$B$60,$B334,'Inhalation Exposure'!$D$4:$D$60,$C334,'Inhalation Exposure'!$E$4:$E$60,$E334)),IF($K334="Central Tendency",SUMIFS('Dermal Crosswalk'!$P$5:$P$32,'Dermal Crosswalk'!$A$5:$A$32,'Bridge Table'!$B334,'Dermal Crosswalk'!$C$5:$C$32,'Bridge Table'!$E334),SUMIFS('Dermal Crosswalk'!$K$5:$K$32,'Dermal Crosswalk'!$A$5:$A$32,'Bridge Table'!$B334,'Dermal Crosswalk'!$C$5:$C$32,'Bridge Table'!$E334))),"--")</f>
        <v>--</v>
      </c>
      <c r="M334" s="586" t="str">
        <f>IFERROR(IFERROR(VLOOKUP($D334,$Z$8:$AD$9,3,FALSE),0)/IF($D334="Inhalation",IF($K334="Central Tendency",SUMIFS('Inhalation Exposure'!$AB$4:$AB$60,'Inhalation Exposure'!$B$4:$B$60,$B334,'Inhalation Exposure'!$D$4:$D$60,$C334,'Inhalation Exposure'!$E$4:$E$60,$E334),SUMIFS('Inhalation Exposure'!$AA$4:$AA$60,'Inhalation Exposure'!$B$4:$B$60,$B334,'Inhalation Exposure'!$D$4:$D$60,$C334,'Inhalation Exposure'!$E$4:$E$60,$E334)),IF($K334="Central Tendency",SUMIFS('Dermal Crosswalk'!$S$5:$S$32,'Dermal Crosswalk'!$A$5:$A$32,'Bridge Table'!$B334,'Dermal Crosswalk'!$C$5:$C$32,'Bridge Table'!$E334),SUMIFS('Dermal Crosswalk'!$N$5:$N$32,'Dermal Crosswalk'!$A$5:$A$32,'Bridge Table'!$B334,'Dermal Crosswalk'!$C$5:$C$32,'Bridge Table'!$E334))),"--")</f>
        <v>--</v>
      </c>
      <c r="N334" s="586" t="str">
        <f>IFERROR(IFERROR(VLOOKUP($D334,$Z$8:$AD$9,4,FALSE),0)/IF($D334="Inhalation",IF($K334="Central Tendency",SUMIFS('Inhalation Exposure'!$R$4:$R$60,'Inhalation Exposure'!$B$4:$B$60,$B334,'Inhalation Exposure'!$D$4:$D$60,$C334,'Inhalation Exposure'!$E$4:$E$60,$E334),SUMIFS('Inhalation Exposure'!$Q$4:$Q$60,'Inhalation Exposure'!$B$4:$B$60,$B334,'Inhalation Exposure'!$D$4:$D$60,$C334,'Inhalation Exposure'!$E$4:$E$60,$E334)),IF($K334="Central Tendency",SUMIFS('Dermal Crosswalk'!$Q$5:$Q$32,'Dermal Crosswalk'!$A$5:$A$32,'Bridge Table'!$B334,'Dermal Crosswalk'!$C$5:$C$32,'Bridge Table'!$E334),SUMIFS('Dermal Crosswalk'!$L$5:$L$32,'Dermal Crosswalk'!$A$5:$A$32,'Bridge Table'!$B334,'Dermal Crosswalk'!$C$5:$C$32,'Bridge Table'!$E334))),"--")</f>
        <v>--</v>
      </c>
      <c r="O334" s="586" t="str">
        <f>IF(IFERROR(VLOOKUP($D334,$Z$8:$AD$9,5,FALSE),0)*IF($D334="Inhalation",IF($K334="Central Tendency",SUMIFS('Inhalation Exposure'!$V$4:$V$60,'Inhalation Exposure'!$B$4:$B$60,$B334,'Inhalation Exposure'!$D$4:$D$60,$C334,'Inhalation Exposure'!$E$4:$E$60,$E334),SUMIFS('Inhalation Exposure'!$U$4:$U$60,'Inhalation Exposure'!$B$4:$B$60,$B334,'Inhalation Exposure'!$D$4:$D$60,$C334,'Inhalation Exposure'!$E$4:$E$60,$E334)),IF($K334="Central Tendency",SUMIFS('Dermal Crosswalk'!$R$5:$R$32,'Dermal Crosswalk'!$A$5:$A$32,'Bridge Table'!$B334,'Dermal Crosswalk'!$C$5:$C$32,'Bridge Table'!$E334),SUMIFS('Dermal Crosswalk'!$M$5:$M$32,'Dermal Crosswalk'!$A$5:$A$32,'Bridge Table'!$B334,'Dermal Crosswalk'!$C$5:$C$32,'Bridge Table'!$E334)))=0,"--",IFERROR(VLOOKUP($D334,$Z$8:$AD$9,5,FALSE),0)*IF($D334="Inhalation",IF($K334="Central Tendency",SUMIFS('Inhalation Exposure'!$V$4:$V$60,'Inhalation Exposure'!$B$4:$B$60,$B334,'Inhalation Exposure'!$D$4:$D$60,$C334,'Inhalation Exposure'!$E$4:$E$60,$E334),SUMIFS('Inhalation Exposure'!$U$4:$U$60,'Inhalation Exposure'!$B$4:$B$60,$B334,'Inhalation Exposure'!$D$4:$D$60,$C334,'Inhalation Exposure'!$E$4:$E$60,$E334)),IF($K334="Central Tendency",SUMIFS('Dermal Crosswalk'!$R$5:$R$32,'Dermal Crosswalk'!$A$5:$A$32,'Bridge Table'!$B334,'Dermal Crosswalk'!$C$5:$C$32,'Bridge Table'!$E334),SUMIFS('Dermal Crosswalk'!$M$5:$M$32,'Dermal Crosswalk'!$A$5:$A$32,'Bridge Table'!$B334,'Dermal Crosswalk'!$C$5:$C$32,'Bridge Table'!$E334))))</f>
        <v>--</v>
      </c>
      <c r="P334" s="610" t="s">
        <v>118</v>
      </c>
      <c r="Q334" s="610" t="s">
        <v>118</v>
      </c>
      <c r="R334" s="610" t="s">
        <v>118</v>
      </c>
      <c r="S334" s="610" t="s">
        <v>118</v>
      </c>
      <c r="U334" s="612" t="s">
        <v>118</v>
      </c>
      <c r="V334" s="614" t="s">
        <v>118</v>
      </c>
      <c r="W334" s="614" t="s">
        <v>118</v>
      </c>
      <c r="X334" s="616" t="s">
        <v>118</v>
      </c>
    </row>
    <row r="335" spans="1:24" ht="15" thickBot="1" x14ac:dyDescent="0.35">
      <c r="A335" s="372"/>
      <c r="B335" s="360">
        <v>8</v>
      </c>
      <c r="C335" s="361" t="s">
        <v>53</v>
      </c>
      <c r="D335" s="361" t="s">
        <v>111</v>
      </c>
      <c r="E335" s="362" t="s">
        <v>117</v>
      </c>
      <c r="F335" s="589"/>
      <c r="G335" s="589"/>
      <c r="H335" s="589"/>
      <c r="I335" s="590"/>
      <c r="J335" s="590"/>
      <c r="K335" s="588"/>
      <c r="L335" s="587"/>
      <c r="M335" s="587"/>
      <c r="N335" s="587"/>
      <c r="O335" s="587"/>
      <c r="P335" s="611"/>
      <c r="Q335" s="611"/>
      <c r="R335" s="611"/>
      <c r="S335" s="611"/>
      <c r="U335" s="613"/>
      <c r="V335" s="615"/>
      <c r="W335" s="615"/>
      <c r="X335" s="617"/>
    </row>
    <row r="336" spans="1:24" ht="15" customHeight="1" thickTop="1" thickBot="1" x14ac:dyDescent="0.35">
      <c r="A336" s="372"/>
      <c r="B336" s="360">
        <v>8</v>
      </c>
      <c r="C336" s="361" t="s">
        <v>25</v>
      </c>
      <c r="D336" s="361" t="s">
        <v>16</v>
      </c>
      <c r="E336" s="362" t="s">
        <v>24</v>
      </c>
      <c r="F336" s="589"/>
      <c r="G336" s="589"/>
      <c r="H336" s="589"/>
      <c r="I336" s="589" t="s">
        <v>25</v>
      </c>
      <c r="J336" s="609" t="s">
        <v>16</v>
      </c>
      <c r="K336" s="607" t="s">
        <v>54</v>
      </c>
      <c r="L336" s="586">
        <f>IFERROR(IFERROR(VLOOKUP($D336,$Z$8:$AD$9,2,FALSE),0)/IF($D336="Inhalation",IF($K336="Central Tendency",SUMIFS('Inhalation Exposure'!$N$4:$N$61,'Inhalation Exposure'!$B$4:$B$61,$B336,'Inhalation Exposure'!$D$4:$D$61,$C336,'Inhalation Exposure'!$E$4:$E$61,$E336),SUMIFS('Inhalation Exposure'!$M$4:$M$61,'Inhalation Exposure'!$B$4:$B$61,$B336,'Inhalation Exposure'!$D$4:$D$61,$C336,'Inhalation Exposure'!$E$4:$E$61,$E336)),IF($K336="Central Tendency",SUMIFS('Dermal Crosswalk'!$P$5:$P$32,'Dermal Crosswalk'!$A$5:$A$32,'Bridge Table'!$B336,'Dermal Crosswalk'!$C$5:$C$32,'Bridge Table'!$E336),SUMIFS('Dermal Crosswalk'!$K$5:$K$32,'Dermal Crosswalk'!$A$5:$A$32,'Bridge Table'!$B336,'Dermal Crosswalk'!$C$5:$C$32,'Bridge Table'!$E336))),"--")</f>
        <v>4.3365402797435211</v>
      </c>
      <c r="M336" s="586">
        <f>IFERROR(IFERROR(VLOOKUP($D336,$Z$8:$AD$9,3,FALSE),0)/IF($D336="Inhalation",IF($K336="Central Tendency",SUMIFS('Inhalation Exposure'!$AB$4:$AB$61,'Inhalation Exposure'!$B$4:$B$61,$B336,'Inhalation Exposure'!$D$4:$D$61,$C336,'Inhalation Exposure'!$E$4:$E$61,$E336),SUMIFS('Inhalation Exposure'!$AA$4:$AA$61,'Inhalation Exposure'!$B$4:$B$61,$B336,'Inhalation Exposure'!$D$4:$D$61,$C336,'Inhalation Exposure'!$E$4:$E$61,$E336)),IF($K336="Central Tendency",SUMIFS('Dermal Crosswalk'!$S$5:$S$32,'Dermal Crosswalk'!$A$5:$A$32,'Bridge Table'!$B336,'Dermal Crosswalk'!$C$5:$C$32,'Bridge Table'!$E336),SUMIFS('Dermal Crosswalk'!$N$5:$N$32,'Dermal Crosswalk'!$A$5:$A$32,'Bridge Table'!$B336,'Dermal Crosswalk'!$C$5:$C$32,'Bridge Table'!$E336))),"--")</f>
        <v>1.7065281996492139</v>
      </c>
      <c r="N336" s="586">
        <f>IFERROR(IFERROR(VLOOKUP($D336,$Z$8:$AD$9,4,FALSE),0)/IF($D336="Inhalation",IF($K336="Central Tendency",SUMIFS('Inhalation Exposure'!$R$4:$R$61,'Inhalation Exposure'!$B$4:$B$61,$B336,'Inhalation Exposure'!$D$4:$D$61,$C336,'Inhalation Exposure'!$E$4:$E$61,$E336),SUMIFS('Inhalation Exposure'!$Q$4:$Q$61,'Inhalation Exposure'!$B$4:$B$61,$B336,'Inhalation Exposure'!$D$4:$D$61,$C336,'Inhalation Exposure'!$E$4:$E$61,$E336)),IF($K336="Central Tendency",SUMIFS('Dermal Crosswalk'!$Q$5:$Q$32,'Dermal Crosswalk'!$A$5:$A$32,'Bridge Table'!$B336,'Dermal Crosswalk'!$C$5:$C$32,'Bridge Table'!$E336),SUMIFS('Dermal Crosswalk'!$L$5:$L$32,'Dermal Crosswalk'!$A$5:$A$32,'Bridge Table'!$B336,'Dermal Crosswalk'!$C$5:$C$32,'Bridge Table'!$E336))),"--")</f>
        <v>2.7352138609148078</v>
      </c>
      <c r="O336" s="586">
        <f>IFERROR(IFERROR(VLOOKUP($D336,$Z$8:$AD$9,5,FALSE),0)*IF($D336="Inhalation",IF($K336="Central Tendency",SUMIFS('Inhalation Exposure'!$V$4:$V$61,'Inhalation Exposure'!$B$4:$B$61,$B336,'Inhalation Exposure'!$D$4:$D$61,$C336,'Inhalation Exposure'!$E$4:$E$61,$E336),SUMIFS('Inhalation Exposure'!$U$4:$U$61,'Inhalation Exposure'!$B$4:$B$61,$B336,'Inhalation Exposure'!$D$4:$D$61,$C336,'Inhalation Exposure'!$E$4:$E$61,$E336)),IF($K336="Central Tendency",SUMIFS('Dermal Crosswalk'!$R$5:$R$32,'Dermal Crosswalk'!$A$5:$A$32,'Bridge Table'!$B336,'Dermal Crosswalk'!$C$5:$C$32,'Bridge Table'!$E336),SUMIFS('Dermal Crosswalk'!$M$5:$M$32,'Dermal Crosswalk'!$A$5:$A$32,'Bridge Table'!$B336,'Dermal Crosswalk'!$C$5:$C$32,'Bridge Table'!$E336))),"--")</f>
        <v>9.7186184889796277E-3</v>
      </c>
      <c r="P336" s="382">
        <f>L336*U336</f>
        <v>21.682701398717604</v>
      </c>
      <c r="Q336" s="382">
        <f t="shared" ref="Q336" si="94">M336*V336</f>
        <v>8.5326409982460696</v>
      </c>
      <c r="R336" s="382">
        <f t="shared" ref="R336" si="95">N336*W336</f>
        <v>13.676069304574039</v>
      </c>
      <c r="S336" s="383">
        <f>O336/X336</f>
        <v>1.9437236977959255E-3</v>
      </c>
      <c r="U336" s="378">
        <v>5</v>
      </c>
      <c r="V336" s="379">
        <v>5</v>
      </c>
      <c r="W336" s="379">
        <v>5</v>
      </c>
      <c r="X336" s="380">
        <v>5</v>
      </c>
    </row>
    <row r="337" spans="1:24" ht="15" thickBot="1" x14ac:dyDescent="0.35">
      <c r="A337" s="372"/>
      <c r="B337" s="360">
        <v>8</v>
      </c>
      <c r="C337" s="361" t="s">
        <v>25</v>
      </c>
      <c r="D337" s="361" t="s">
        <v>16</v>
      </c>
      <c r="E337" s="362" t="s">
        <v>24</v>
      </c>
      <c r="F337" s="589"/>
      <c r="G337" s="589"/>
      <c r="H337" s="589"/>
      <c r="I337" s="589"/>
      <c r="J337" s="589"/>
      <c r="K337" s="608"/>
      <c r="L337" s="587"/>
      <c r="M337" s="587"/>
      <c r="N337" s="587"/>
      <c r="O337" s="587"/>
      <c r="P337" s="373" t="str">
        <f>CONCATENATE("(PF ",U336,")")</f>
        <v>(PF 5)</v>
      </c>
      <c r="Q337" s="373" t="str">
        <f>CONCATENATE("(PF ",V336,")")</f>
        <v>(PF 5)</v>
      </c>
      <c r="R337" s="373" t="str">
        <f>CONCATENATE("(PF ",W336,")")</f>
        <v>(PF 5)</v>
      </c>
      <c r="S337" s="373" t="str">
        <f>CONCATENATE("(PF ",X336,")")</f>
        <v>(PF 5)</v>
      </c>
      <c r="U337" s="374" t="s">
        <v>119</v>
      </c>
      <c r="V337" s="375" t="s">
        <v>119</v>
      </c>
      <c r="W337" s="375" t="s">
        <v>119</v>
      </c>
      <c r="X337" s="376" t="s">
        <v>119</v>
      </c>
    </row>
    <row r="338" spans="1:24" ht="15" thickBot="1" x14ac:dyDescent="0.35">
      <c r="A338" s="372"/>
      <c r="B338" s="360">
        <v>8</v>
      </c>
      <c r="C338" s="361" t="s">
        <v>25</v>
      </c>
      <c r="D338" s="361" t="s">
        <v>16</v>
      </c>
      <c r="E338" s="362" t="s">
        <v>24</v>
      </c>
      <c r="F338" s="589"/>
      <c r="G338" s="589"/>
      <c r="H338" s="589"/>
      <c r="I338" s="589"/>
      <c r="J338" s="589"/>
      <c r="K338" s="584" t="s">
        <v>88</v>
      </c>
      <c r="L338" s="586">
        <f>IFERROR(IFERROR(VLOOKUP($D338,$Z$8:$AD$9,2,FALSE),0)/IF($D338="Inhalation",IF($K338="Central Tendency",SUMIFS('Inhalation Exposure'!$N$4:$N$61,'Inhalation Exposure'!$B$4:$B$61,$B338,'Inhalation Exposure'!$D$4:$D$61,$C338,'Inhalation Exposure'!$E$4:$E$61,$E338),SUMIFS('Inhalation Exposure'!$M$4:$M$61,'Inhalation Exposure'!$B$4:$B$61,$B338,'Inhalation Exposure'!$D$4:$D$61,$C338,'Inhalation Exposure'!$E$4:$E$61,$E338)),IF($K338="Central Tendency",SUMIFS('Dermal Crosswalk'!$P$5:$P$32,'Dermal Crosswalk'!$A$5:$A$32,'Bridge Table'!$B338,'Dermal Crosswalk'!$C$5:$C$32,'Bridge Table'!$E338),SUMIFS('Dermal Crosswalk'!$K$5:$K$32,'Dermal Crosswalk'!$A$5:$A$32,'Bridge Table'!$B338,'Dermal Crosswalk'!$C$5:$C$32,'Bridge Table'!$E338))),"--")</f>
        <v>1.4455134265811735</v>
      </c>
      <c r="M338" s="586">
        <f>IFERROR(IFERROR(VLOOKUP($D338,$Z$8:$AD$9,3,FALSE),0)/IF($D338="Inhalation",IF($K338="Central Tendency",SUMIFS('Inhalation Exposure'!$AB$4:$AB$61,'Inhalation Exposure'!$B$4:$B$61,$B338,'Inhalation Exposure'!$D$4:$D$61,$C338,'Inhalation Exposure'!$E$4:$E$61,$E338),SUMIFS('Inhalation Exposure'!$AA$4:$AA$61,'Inhalation Exposure'!$B$4:$B$61,$B338,'Inhalation Exposure'!$D$4:$D$61,$C338,'Inhalation Exposure'!$E$4:$E$61,$E338)),IF($K338="Central Tendency",SUMIFS('Dermal Crosswalk'!$S$5:$S$32,'Dermal Crosswalk'!$A$5:$A$32,'Bridge Table'!$B338,'Dermal Crosswalk'!$C$5:$C$32,'Bridge Table'!$E338),SUMIFS('Dermal Crosswalk'!$N$5:$N$32,'Dermal Crosswalk'!$A$5:$A$32,'Bridge Table'!$B338,'Dermal Crosswalk'!$C$5:$C$32,'Bridge Table'!$E338))),"--")</f>
        <v>0.56884273321640455</v>
      </c>
      <c r="N338" s="586">
        <f>IFERROR(IFERROR(VLOOKUP($D338,$Z$8:$AD$9,4,FALSE),0)/IF($D338="Inhalation",IF($K338="Central Tendency",SUMIFS('Inhalation Exposure'!$R$4:$R$61,'Inhalation Exposure'!$B$4:$B$61,$B338,'Inhalation Exposure'!$D$4:$D$61,$C338,'Inhalation Exposure'!$E$4:$E$61,$E338),SUMIFS('Inhalation Exposure'!$Q$4:$Q$61,'Inhalation Exposure'!$B$4:$B$61,$B338,'Inhalation Exposure'!$D$4:$D$61,$C338,'Inhalation Exposure'!$E$4:$E$61,$E338)),IF($K338="Central Tendency",SUMIFS('Dermal Crosswalk'!$Q$5:$Q$32,'Dermal Crosswalk'!$A$5:$A$32,'Bridge Table'!$B338,'Dermal Crosswalk'!$C$5:$C$32,'Bridge Table'!$E338),SUMIFS('Dermal Crosswalk'!$L$5:$L$32,'Dermal Crosswalk'!$A$5:$A$32,'Bridge Table'!$B338,'Dermal Crosswalk'!$C$5:$C$32,'Bridge Table'!$E338))),"--")</f>
        <v>0.76130119128795459</v>
      </c>
      <c r="O338" s="586">
        <f>IFERROR(IFERROR(VLOOKUP($D338,$Z$8:$AD$9,5,FALSE),0)*IF($D338="Inhalation",IF($K338="Central Tendency",SUMIFS('Inhalation Exposure'!$V$4:$V$61,'Inhalation Exposure'!$B$4:$B$61,$B338,'Inhalation Exposure'!$D$4:$D$61,$C338,'Inhalation Exposure'!$E$4:$E$61,$E338),SUMIFS('Inhalation Exposure'!$U$4:$U$61,'Inhalation Exposure'!$B$4:$B$61,$B338,'Inhalation Exposure'!$D$4:$D$61,$C338,'Inhalation Exposure'!$E$4:$E$61,$E338)),IF($K338="Central Tendency",SUMIFS('Dermal Crosswalk'!$R$5:$R$32,'Dermal Crosswalk'!$A$5:$A$32,'Bridge Table'!$B338,'Dermal Crosswalk'!$C$5:$C$32,'Bridge Table'!$E338),SUMIFS('Dermal Crosswalk'!$M$5:$M$32,'Dermal Crosswalk'!$A$5:$A$32,'Bridge Table'!$B338,'Dermal Crosswalk'!$C$5:$C$32,'Bridge Table'!$E338))),"--")</f>
        <v>4.5054441517386738E-2</v>
      </c>
      <c r="P338" s="382">
        <f>L338*U338</f>
        <v>7.2275671329058682</v>
      </c>
      <c r="Q338" s="382">
        <f t="shared" ref="Q338" si="96">M338*V338</f>
        <v>2.8442136660820228</v>
      </c>
      <c r="R338" s="382">
        <f t="shared" ref="R338" si="97">N338*W338</f>
        <v>3.8065059564397732</v>
      </c>
      <c r="S338" s="383">
        <f>O338/X338</f>
        <v>9.0108883034773473E-3</v>
      </c>
      <c r="U338" s="378">
        <v>5</v>
      </c>
      <c r="V338" s="379">
        <v>5</v>
      </c>
      <c r="W338" s="379">
        <v>5</v>
      </c>
      <c r="X338" s="380">
        <v>5</v>
      </c>
    </row>
    <row r="339" spans="1:24" ht="15" thickBot="1" x14ac:dyDescent="0.35">
      <c r="A339" s="372"/>
      <c r="B339" s="360">
        <v>8</v>
      </c>
      <c r="C339" s="361" t="s">
        <v>25</v>
      </c>
      <c r="D339" s="361" t="s">
        <v>16</v>
      </c>
      <c r="E339" s="362" t="s">
        <v>24</v>
      </c>
      <c r="F339" s="589"/>
      <c r="G339" s="589"/>
      <c r="H339" s="589"/>
      <c r="I339" s="590"/>
      <c r="J339" s="590"/>
      <c r="K339" s="588"/>
      <c r="L339" s="587"/>
      <c r="M339" s="587"/>
      <c r="N339" s="587"/>
      <c r="O339" s="587"/>
      <c r="P339" s="373" t="str">
        <f>CONCATENATE("(PF ",U338,")")</f>
        <v>(PF 5)</v>
      </c>
      <c r="Q339" s="373" t="str">
        <f>CONCATENATE("(PF ",V338,")")</f>
        <v>(PF 5)</v>
      </c>
      <c r="R339" s="373" t="str">
        <f>CONCATENATE("(PF ",W338,")")</f>
        <v>(PF 5)</v>
      </c>
      <c r="S339" s="373" t="str">
        <f>CONCATENATE("(PF ",X338,")")</f>
        <v>(PF 5)</v>
      </c>
      <c r="U339" s="374" t="s">
        <v>119</v>
      </c>
      <c r="V339" s="375" t="s">
        <v>119</v>
      </c>
      <c r="W339" s="375" t="s">
        <v>119</v>
      </c>
      <c r="X339" s="376" t="s">
        <v>119</v>
      </c>
    </row>
    <row r="340" spans="1:24" ht="15.6" customHeight="1" thickTop="1" thickBot="1" x14ac:dyDescent="0.35">
      <c r="A340" s="372"/>
      <c r="B340" s="360">
        <v>8</v>
      </c>
      <c r="C340" s="361" t="s">
        <v>25</v>
      </c>
      <c r="D340" s="361" t="s">
        <v>16</v>
      </c>
      <c r="E340" s="362" t="s">
        <v>117</v>
      </c>
      <c r="F340" s="589"/>
      <c r="G340" s="589"/>
      <c r="H340" s="589"/>
      <c r="I340" s="609" t="s">
        <v>25</v>
      </c>
      <c r="J340" s="609" t="s">
        <v>16</v>
      </c>
      <c r="K340" s="607" t="s">
        <v>54</v>
      </c>
      <c r="L340" s="586">
        <f>IFERROR(IFERROR(VLOOKUP($D340,$Z$8:$AD$9,2,FALSE),0)/IF($D340="Inhalation",IF($K340="Central Tendency",SUMIFS('Inhalation Exposure'!$N$4:$N$61,'Inhalation Exposure'!$B$4:$B$61,$B340,'Inhalation Exposure'!$D$4:$D$61,$C340,'Inhalation Exposure'!$E$4:$E$61,$E340),SUMIFS('Inhalation Exposure'!$M$4:$M$61,'Inhalation Exposure'!$B$4:$B$61,$B340,'Inhalation Exposure'!$D$4:$D$61,$C340,'Inhalation Exposure'!$E$4:$E$61,$E340)),IF($K340="Central Tendency",SUMIFS('Dermal Crosswalk'!$P$5:$P$32,'Dermal Crosswalk'!$A$5:$A$32,'Bridge Table'!$B340,'Dermal Crosswalk'!$C$5:$C$32,'Bridge Table'!$E340),SUMIFS('Dermal Crosswalk'!$K$5:$K$32,'Dermal Crosswalk'!$A$5:$A$32,'Bridge Table'!$B340,'Dermal Crosswalk'!$C$5:$C$32,'Bridge Table'!$E340))),"--")</f>
        <v>4.3365402797435211</v>
      </c>
      <c r="M340" s="586">
        <f>IFERROR(IFERROR(VLOOKUP($D340,$Z$8:$AD$9,3,FALSE),0)/IF($D340="Inhalation",IF($K340="Central Tendency",SUMIFS('Inhalation Exposure'!$AB$4:$AB$61,'Inhalation Exposure'!$B$4:$B$61,$B340,'Inhalation Exposure'!$D$4:$D$61,$C340,'Inhalation Exposure'!$E$4:$E$61,$E340),SUMIFS('Inhalation Exposure'!$AA$4:$AA$61,'Inhalation Exposure'!$B$4:$B$61,$B340,'Inhalation Exposure'!$D$4:$D$61,$C340,'Inhalation Exposure'!$E$4:$E$61,$E340)),IF($K340="Central Tendency",SUMIFS('Dermal Crosswalk'!$S$5:$S$32,'Dermal Crosswalk'!$A$5:$A$32,'Bridge Table'!$B340,'Dermal Crosswalk'!$C$5:$C$32,'Bridge Table'!$E340),SUMIFS('Dermal Crosswalk'!$N$5:$N$32,'Dermal Crosswalk'!$A$5:$A$32,'Bridge Table'!$B340,'Dermal Crosswalk'!$C$5:$C$32,'Bridge Table'!$E340))),"--")</f>
        <v>1.7065281996492139</v>
      </c>
      <c r="N340" s="586">
        <f>IFERROR(IFERROR(VLOOKUP($D340,$Z$8:$AD$9,4,FALSE),0)/IF($D340="Inhalation",IF($K340="Central Tendency",SUMIFS('Inhalation Exposure'!$R$4:$R$61,'Inhalation Exposure'!$B$4:$B$61,$B340,'Inhalation Exposure'!$D$4:$D$61,$C340,'Inhalation Exposure'!$E$4:$E$61,$E340),SUMIFS('Inhalation Exposure'!$Q$4:$Q$61,'Inhalation Exposure'!$B$4:$B$61,$B340,'Inhalation Exposure'!$D$4:$D$61,$C340,'Inhalation Exposure'!$E$4:$E$61,$E340)),IF($K340="Central Tendency",SUMIFS('Dermal Crosswalk'!$Q$5:$Q$32,'Dermal Crosswalk'!$A$5:$A$32,'Bridge Table'!$B340,'Dermal Crosswalk'!$C$5:$C$32,'Bridge Table'!$E340),SUMIFS('Dermal Crosswalk'!$L$5:$L$32,'Dermal Crosswalk'!$A$5:$A$32,'Bridge Table'!$B340,'Dermal Crosswalk'!$C$5:$C$32,'Bridge Table'!$E340))),"--")</f>
        <v>2.7352138609148078</v>
      </c>
      <c r="O340" s="586">
        <f>IFERROR(IFERROR(VLOOKUP($D340,$Z$8:$AD$9,5,FALSE),0)*IF($D340="Inhalation",IF($K340="Central Tendency",SUMIFS('Inhalation Exposure'!$V$4:$V$61,'Inhalation Exposure'!$B$4:$B$61,$B340,'Inhalation Exposure'!$D$4:$D$61,$C340,'Inhalation Exposure'!$E$4:$E$61,$E340),SUMIFS('Inhalation Exposure'!$U$4:$U$61,'Inhalation Exposure'!$B$4:$B$61,$B340,'Inhalation Exposure'!$D$4:$D$61,$C340,'Inhalation Exposure'!$E$4:$E$61,$E340)),IF($K340="Central Tendency",SUMIFS('Dermal Crosswalk'!$R$5:$R$32,'Dermal Crosswalk'!$A$5:$A$32,'Bridge Table'!$B340,'Dermal Crosswalk'!$C$5:$C$32,'Bridge Table'!$E340),SUMIFS('Dermal Crosswalk'!$M$5:$M$32,'Dermal Crosswalk'!$A$5:$A$32,'Bridge Table'!$B340,'Dermal Crosswalk'!$C$5:$C$32,'Bridge Table'!$E340))),"--")</f>
        <v>9.7186184889796277E-3</v>
      </c>
      <c r="P340" s="382">
        <f>L340*U340</f>
        <v>21.682701398717604</v>
      </c>
      <c r="Q340" s="382">
        <f t="shared" ref="Q340" si="98">M340*V340</f>
        <v>8.5326409982460696</v>
      </c>
      <c r="R340" s="382">
        <f t="shared" ref="R340" si="99">N340*W340</f>
        <v>13.676069304574039</v>
      </c>
      <c r="S340" s="383">
        <f>O340/X340</f>
        <v>1.9437236977959255E-3</v>
      </c>
      <c r="U340" s="378">
        <v>5</v>
      </c>
      <c r="V340" s="379">
        <v>5</v>
      </c>
      <c r="W340" s="379">
        <v>5</v>
      </c>
      <c r="X340" s="380">
        <v>5</v>
      </c>
    </row>
    <row r="341" spans="1:24" ht="15" thickBot="1" x14ac:dyDescent="0.35">
      <c r="A341" s="372"/>
      <c r="B341" s="360">
        <v>8</v>
      </c>
      <c r="C341" s="361" t="s">
        <v>25</v>
      </c>
      <c r="D341" s="361" t="s">
        <v>16</v>
      </c>
      <c r="E341" s="362" t="s">
        <v>117</v>
      </c>
      <c r="F341" s="589"/>
      <c r="G341" s="589"/>
      <c r="H341" s="589"/>
      <c r="I341" s="589"/>
      <c r="J341" s="589"/>
      <c r="K341" s="608"/>
      <c r="L341" s="587"/>
      <c r="M341" s="587"/>
      <c r="N341" s="587"/>
      <c r="O341" s="587"/>
      <c r="P341" s="373" t="str">
        <f>CONCATENATE("(PF ",U340,")")</f>
        <v>(PF 5)</v>
      </c>
      <c r="Q341" s="373" t="str">
        <f>CONCATENATE("(PF ",V340,")")</f>
        <v>(PF 5)</v>
      </c>
      <c r="R341" s="373" t="str">
        <f>CONCATENATE("(PF ",W340,")")</f>
        <v>(PF 5)</v>
      </c>
      <c r="S341" s="373" t="str">
        <f>CONCATENATE("(PF ",X340,")")</f>
        <v>(PF 5)</v>
      </c>
      <c r="U341" s="374" t="s">
        <v>119</v>
      </c>
      <c r="V341" s="375" t="s">
        <v>119</v>
      </c>
      <c r="W341" s="375" t="s">
        <v>119</v>
      </c>
      <c r="X341" s="376" t="s">
        <v>119</v>
      </c>
    </row>
    <row r="342" spans="1:24" ht="15" thickBot="1" x14ac:dyDescent="0.35">
      <c r="A342" s="372"/>
      <c r="B342" s="360">
        <v>8</v>
      </c>
      <c r="C342" s="361" t="s">
        <v>25</v>
      </c>
      <c r="D342" s="361" t="s">
        <v>16</v>
      </c>
      <c r="E342" s="362" t="s">
        <v>117</v>
      </c>
      <c r="F342" s="589"/>
      <c r="G342" s="589"/>
      <c r="H342" s="589"/>
      <c r="I342" s="589"/>
      <c r="J342" s="589"/>
      <c r="K342" s="584" t="s">
        <v>88</v>
      </c>
      <c r="L342" s="586">
        <f>IFERROR(IFERROR(VLOOKUP($D342,$Z$8:$AD$9,2,FALSE),0)/IF($D342="Inhalation",IF($K342="Central Tendency",SUMIFS('Inhalation Exposure'!$N$4:$N$61,'Inhalation Exposure'!$B$4:$B$61,$B342,'Inhalation Exposure'!$D$4:$D$61,$C342,'Inhalation Exposure'!$E$4:$E$61,$E342),SUMIFS('Inhalation Exposure'!$M$4:$M$61,'Inhalation Exposure'!$B$4:$B$61,$B342,'Inhalation Exposure'!$D$4:$D$61,$C342,'Inhalation Exposure'!$E$4:$E$61,$E342)),IF($K342="Central Tendency",SUMIFS('Dermal Crosswalk'!$P$5:$P$32,'Dermal Crosswalk'!$A$5:$A$32,'Bridge Table'!$B342,'Dermal Crosswalk'!$C$5:$C$32,'Bridge Table'!$E342),SUMIFS('Dermal Crosswalk'!$K$5:$K$32,'Dermal Crosswalk'!$A$5:$A$32,'Bridge Table'!$B342,'Dermal Crosswalk'!$C$5:$C$32,'Bridge Table'!$E342))),"--")</f>
        <v>1.4455134265811735</v>
      </c>
      <c r="M342" s="586">
        <f>IFERROR(IFERROR(VLOOKUP($D342,$Z$8:$AD$9,3,FALSE),0)/IF($D342="Inhalation",IF($K342="Central Tendency",SUMIFS('Inhalation Exposure'!$AB$4:$AB$61,'Inhalation Exposure'!$B$4:$B$61,$B342,'Inhalation Exposure'!$D$4:$D$61,$C342,'Inhalation Exposure'!$E$4:$E$61,$E342),SUMIFS('Inhalation Exposure'!$AA$4:$AA$61,'Inhalation Exposure'!$B$4:$B$61,$B342,'Inhalation Exposure'!$D$4:$D$61,$C342,'Inhalation Exposure'!$E$4:$E$61,$E342)),IF($K342="Central Tendency",SUMIFS('Dermal Crosswalk'!$S$5:$S$32,'Dermal Crosswalk'!$A$5:$A$32,'Bridge Table'!$B342,'Dermal Crosswalk'!$C$5:$C$32,'Bridge Table'!$E342),SUMIFS('Dermal Crosswalk'!$N$5:$N$32,'Dermal Crosswalk'!$A$5:$A$32,'Bridge Table'!$B342,'Dermal Crosswalk'!$C$5:$C$32,'Bridge Table'!$E342))),"--")</f>
        <v>0.56884273321640455</v>
      </c>
      <c r="N342" s="586">
        <f>IFERROR(IFERROR(VLOOKUP($D342,$Z$8:$AD$9,4,FALSE),0)/IF($D342="Inhalation",IF($K342="Central Tendency",SUMIFS('Inhalation Exposure'!$R$4:$R$61,'Inhalation Exposure'!$B$4:$B$61,$B342,'Inhalation Exposure'!$D$4:$D$61,$C342,'Inhalation Exposure'!$E$4:$E$61,$E342),SUMIFS('Inhalation Exposure'!$Q$4:$Q$61,'Inhalation Exposure'!$B$4:$B$61,$B342,'Inhalation Exposure'!$D$4:$D$61,$C342,'Inhalation Exposure'!$E$4:$E$61,$E342)),IF($K342="Central Tendency",SUMIFS('Dermal Crosswalk'!$Q$5:$Q$32,'Dermal Crosswalk'!$A$5:$A$32,'Bridge Table'!$B342,'Dermal Crosswalk'!$C$5:$C$32,'Bridge Table'!$E342),SUMIFS('Dermal Crosswalk'!$L$5:$L$32,'Dermal Crosswalk'!$A$5:$A$32,'Bridge Table'!$B342,'Dermal Crosswalk'!$C$5:$C$32,'Bridge Table'!$E342))),"--")</f>
        <v>0.76130119128795459</v>
      </c>
      <c r="O342" s="586">
        <f>IFERROR(IFERROR(VLOOKUP($D342,$Z$8:$AD$9,5,FALSE),0)*IF($D342="Inhalation",IF($K342="Central Tendency",SUMIFS('Inhalation Exposure'!$V$4:$V$61,'Inhalation Exposure'!$B$4:$B$61,$B342,'Inhalation Exposure'!$D$4:$D$61,$C342,'Inhalation Exposure'!$E$4:$E$61,$E342),SUMIFS('Inhalation Exposure'!$U$4:$U$61,'Inhalation Exposure'!$B$4:$B$61,$B342,'Inhalation Exposure'!$D$4:$D$61,$C342,'Inhalation Exposure'!$E$4:$E$61,$E342)),IF($K342="Central Tendency",SUMIFS('Dermal Crosswalk'!$R$5:$R$32,'Dermal Crosswalk'!$A$5:$A$32,'Bridge Table'!$B342,'Dermal Crosswalk'!$C$5:$C$32,'Bridge Table'!$E342),SUMIFS('Dermal Crosswalk'!$M$5:$M$32,'Dermal Crosswalk'!$A$5:$A$32,'Bridge Table'!$B342,'Dermal Crosswalk'!$C$5:$C$32,'Bridge Table'!$E342))),"--")</f>
        <v>4.5054441517386738E-2</v>
      </c>
      <c r="P342" s="363">
        <f>L342*U342</f>
        <v>7.2275671329058682</v>
      </c>
      <c r="Q342" s="363">
        <f t="shared" ref="Q342" si="100">M342*V342</f>
        <v>2.8442136660820228</v>
      </c>
      <c r="R342" s="363">
        <f t="shared" ref="R342" si="101">N342*W342</f>
        <v>3.8065059564397732</v>
      </c>
      <c r="S342" s="364">
        <f>O342/X342</f>
        <v>9.0108883034773473E-3</v>
      </c>
      <c r="U342" s="378">
        <v>5</v>
      </c>
      <c r="V342" s="379">
        <v>5</v>
      </c>
      <c r="W342" s="379">
        <v>5</v>
      </c>
      <c r="X342" s="380">
        <v>5</v>
      </c>
    </row>
    <row r="343" spans="1:24" ht="15" thickBot="1" x14ac:dyDescent="0.35">
      <c r="A343" s="372"/>
      <c r="B343" s="360">
        <v>8</v>
      </c>
      <c r="C343" s="361" t="s">
        <v>25</v>
      </c>
      <c r="D343" s="361" t="s">
        <v>16</v>
      </c>
      <c r="E343" s="387" t="s">
        <v>117</v>
      </c>
      <c r="F343" s="587"/>
      <c r="G343" s="587"/>
      <c r="H343" s="587"/>
      <c r="I343" s="587"/>
      <c r="J343" s="587"/>
      <c r="K343" s="585"/>
      <c r="L343" s="587"/>
      <c r="M343" s="587"/>
      <c r="N343" s="587"/>
      <c r="O343" s="587"/>
      <c r="P343" s="373" t="str">
        <f>CONCATENATE("(PF ",U342,")")</f>
        <v>(PF 5)</v>
      </c>
      <c r="Q343" s="373" t="str">
        <f>CONCATENATE("(PF ",V342,")")</f>
        <v>(PF 5)</v>
      </c>
      <c r="R343" s="373" t="str">
        <f>CONCATENATE("(PF ",W342,")")</f>
        <v>(PF 5)</v>
      </c>
      <c r="S343" s="373" t="str">
        <f>CONCATENATE("(PF ",X342,")")</f>
        <v>(PF 5)</v>
      </c>
      <c r="U343" s="384" t="s">
        <v>119</v>
      </c>
      <c r="V343" s="385" t="s">
        <v>119</v>
      </c>
      <c r="W343" s="385" t="s">
        <v>119</v>
      </c>
      <c r="X343" s="386" t="s">
        <v>119</v>
      </c>
    </row>
    <row r="344" spans="1:24" x14ac:dyDescent="0.3">
      <c r="B344" s="348"/>
      <c r="C344" s="348"/>
      <c r="D344" s="348"/>
      <c r="E344" s="348"/>
      <c r="F344" s="389"/>
      <c r="U344" s="390"/>
      <c r="V344" s="390"/>
      <c r="W344" s="390"/>
      <c r="X344" s="390"/>
    </row>
    <row r="345" spans="1:24" x14ac:dyDescent="0.3">
      <c r="B345" s="348"/>
      <c r="C345" s="348"/>
      <c r="D345" s="348"/>
      <c r="E345" s="348"/>
      <c r="F345" s="389" t="s">
        <v>155</v>
      </c>
      <c r="U345" s="390"/>
      <c r="V345" s="390"/>
      <c r="W345" s="390"/>
      <c r="X345" s="390"/>
    </row>
    <row r="346" spans="1:24" ht="15.6" customHeight="1" x14ac:dyDescent="0.3">
      <c r="B346" s="348"/>
      <c r="C346" s="348"/>
      <c r="D346" s="348"/>
      <c r="E346" s="348"/>
      <c r="F346" s="391" t="s">
        <v>156</v>
      </c>
      <c r="U346" s="390"/>
      <c r="V346" s="390"/>
      <c r="W346" s="390"/>
      <c r="X346" s="390"/>
    </row>
    <row r="347" spans="1:24" x14ac:dyDescent="0.3">
      <c r="B347" s="348"/>
      <c r="C347" s="348"/>
      <c r="D347" s="348"/>
      <c r="E347" s="348"/>
      <c r="F347" s="391" t="s">
        <v>157</v>
      </c>
      <c r="U347" s="390"/>
      <c r="V347" s="390"/>
      <c r="W347" s="390"/>
      <c r="X347" s="390"/>
    </row>
    <row r="348" spans="1:24" x14ac:dyDescent="0.3">
      <c r="B348" s="348"/>
      <c r="C348" s="348"/>
      <c r="D348" s="348"/>
      <c r="E348" s="348"/>
      <c r="F348" s="392"/>
    </row>
    <row r="349" spans="1:24" x14ac:dyDescent="0.3">
      <c r="B349" s="348"/>
      <c r="C349" s="348"/>
      <c r="D349" s="348"/>
      <c r="E349" s="348"/>
      <c r="F349" s="389"/>
    </row>
    <row r="350" spans="1:24" x14ac:dyDescent="0.3">
      <c r="B350" s="348"/>
      <c r="C350" s="348"/>
      <c r="D350" s="348"/>
      <c r="E350" s="348"/>
      <c r="F350" s="389"/>
    </row>
    <row r="351" spans="1:24" x14ac:dyDescent="0.3">
      <c r="B351" s="348"/>
      <c r="C351" s="348"/>
      <c r="D351" s="348"/>
      <c r="E351" s="348"/>
      <c r="F351" s="389"/>
    </row>
    <row r="352" spans="1:24" ht="15" customHeight="1" x14ac:dyDescent="0.3">
      <c r="B352" s="348"/>
      <c r="C352" s="348"/>
      <c r="D352" s="348"/>
      <c r="E352" s="348"/>
      <c r="F352" s="389"/>
    </row>
    <row r="353" spans="2:6" x14ac:dyDescent="0.3">
      <c r="B353" s="348"/>
      <c r="C353" s="348"/>
      <c r="D353" s="348"/>
      <c r="E353" s="348"/>
      <c r="F353" s="393"/>
    </row>
    <row r="354" spans="2:6" x14ac:dyDescent="0.3">
      <c r="B354" s="348"/>
      <c r="C354" s="348"/>
      <c r="D354" s="348"/>
      <c r="E354" s="348"/>
      <c r="F354" s="106"/>
    </row>
    <row r="355" spans="2:6" x14ac:dyDescent="0.3">
      <c r="B355" s="348"/>
      <c r="C355" s="348"/>
      <c r="D355" s="348"/>
      <c r="E355" s="348"/>
      <c r="F355" s="393"/>
    </row>
    <row r="356" spans="2:6" ht="15.6" customHeight="1" x14ac:dyDescent="0.3">
      <c r="B356" s="348"/>
      <c r="C356" s="348"/>
      <c r="D356" s="348"/>
      <c r="E356" s="348"/>
      <c r="F356" s="393"/>
    </row>
    <row r="357" spans="2:6" x14ac:dyDescent="0.3">
      <c r="B357" s="348"/>
      <c r="C357" s="348"/>
      <c r="D357" s="348"/>
      <c r="E357" s="348"/>
      <c r="F357" s="393"/>
    </row>
    <row r="358" spans="2:6" x14ac:dyDescent="0.3">
      <c r="B358" s="348"/>
      <c r="C358" s="348"/>
      <c r="D358" s="348"/>
      <c r="E358" s="348"/>
      <c r="F358" s="393"/>
    </row>
    <row r="359" spans="2:6" x14ac:dyDescent="0.3">
      <c r="B359" s="348"/>
      <c r="C359" s="348"/>
      <c r="D359" s="348"/>
      <c r="E359" s="348"/>
      <c r="F359" s="393"/>
    </row>
    <row r="360" spans="2:6" x14ac:dyDescent="0.3">
      <c r="B360" s="348"/>
      <c r="C360" s="348"/>
      <c r="D360" s="348"/>
      <c r="E360" s="348"/>
      <c r="F360" s="393"/>
    </row>
    <row r="361" spans="2:6" x14ac:dyDescent="0.3">
      <c r="F361" s="106"/>
    </row>
    <row r="362" spans="2:6" x14ac:dyDescent="0.3">
      <c r="F362" s="106"/>
    </row>
    <row r="363" spans="2:6" x14ac:dyDescent="0.3">
      <c r="F363" s="393"/>
    </row>
  </sheetData>
  <sheetProtection algorithmName="SHA-512" hashValue="dTlQyc8qhMnA6zZEzAsmWoZdhbAL+EvTPZ6AD0KBM0oM9X13JsgV6oCWk7kJaEVAUXXtYqplcysMcASbQqHTaA==" saltValue="HOxlRfTMxnvOmeda9jqNKQ==" spinCount="100000" sheet="1" objects="1" scenarios="1" autoFilter="0"/>
  <mergeCells count="1533">
    <mergeCell ref="G32:G79"/>
    <mergeCell ref="F32:F103"/>
    <mergeCell ref="F152:F295"/>
    <mergeCell ref="G152:G295"/>
    <mergeCell ref="U312:U313"/>
    <mergeCell ref="V312:V313"/>
    <mergeCell ref="W312:W313"/>
    <mergeCell ref="X312:X313"/>
    <mergeCell ref="U314:U315"/>
    <mergeCell ref="V314:V315"/>
    <mergeCell ref="W314:W315"/>
    <mergeCell ref="X314:X315"/>
    <mergeCell ref="U316:U317"/>
    <mergeCell ref="V316:V317"/>
    <mergeCell ref="W316:W317"/>
    <mergeCell ref="X316:X317"/>
    <mergeCell ref="U318:U319"/>
    <mergeCell ref="V318:V319"/>
    <mergeCell ref="W318:W319"/>
    <mergeCell ref="X318:X319"/>
    <mergeCell ref="P318:P319"/>
    <mergeCell ref="Q318:Q319"/>
    <mergeCell ref="R318:R319"/>
    <mergeCell ref="S318:S319"/>
    <mergeCell ref="U282:U283"/>
    <mergeCell ref="V282:V283"/>
    <mergeCell ref="W282:W283"/>
    <mergeCell ref="X282:X283"/>
    <mergeCell ref="U284:U285"/>
    <mergeCell ref="V284:V285"/>
    <mergeCell ref="W284:W285"/>
    <mergeCell ref="X284:X285"/>
    <mergeCell ref="U334:U335"/>
    <mergeCell ref="V334:V335"/>
    <mergeCell ref="W334:W335"/>
    <mergeCell ref="X334:X335"/>
    <mergeCell ref="U308:U309"/>
    <mergeCell ref="V308:V309"/>
    <mergeCell ref="W308:W309"/>
    <mergeCell ref="X308:X309"/>
    <mergeCell ref="U310:U311"/>
    <mergeCell ref="V310:V311"/>
    <mergeCell ref="W310:W311"/>
    <mergeCell ref="X310:X311"/>
    <mergeCell ref="U328:U329"/>
    <mergeCell ref="V328:V329"/>
    <mergeCell ref="W328:W329"/>
    <mergeCell ref="X328:X329"/>
    <mergeCell ref="U330:U331"/>
    <mergeCell ref="V330:V331"/>
    <mergeCell ref="W330:W331"/>
    <mergeCell ref="X330:X331"/>
    <mergeCell ref="U332:U333"/>
    <mergeCell ref="V332:V333"/>
    <mergeCell ref="W332:W333"/>
    <mergeCell ref="X332:X333"/>
    <mergeCell ref="U286:U287"/>
    <mergeCell ref="V286:V287"/>
    <mergeCell ref="W286:W287"/>
    <mergeCell ref="X286:X287"/>
    <mergeCell ref="U304:U305"/>
    <mergeCell ref="V304:V305"/>
    <mergeCell ref="W304:W305"/>
    <mergeCell ref="X304:X305"/>
    <mergeCell ref="U306:U307"/>
    <mergeCell ref="V306:V307"/>
    <mergeCell ref="W306:W307"/>
    <mergeCell ref="X306:X307"/>
    <mergeCell ref="U256:U257"/>
    <mergeCell ref="V256:V257"/>
    <mergeCell ref="W256:W257"/>
    <mergeCell ref="X256:X257"/>
    <mergeCell ref="U258:U259"/>
    <mergeCell ref="V258:V259"/>
    <mergeCell ref="W258:W259"/>
    <mergeCell ref="X258:X259"/>
    <mergeCell ref="U260:U261"/>
    <mergeCell ref="V260:V261"/>
    <mergeCell ref="W260:W261"/>
    <mergeCell ref="X260:X261"/>
    <mergeCell ref="U262:U263"/>
    <mergeCell ref="V262:V263"/>
    <mergeCell ref="W262:W263"/>
    <mergeCell ref="X262:X263"/>
    <mergeCell ref="U280:U281"/>
    <mergeCell ref="V280:V281"/>
    <mergeCell ref="W280:W281"/>
    <mergeCell ref="X280:X281"/>
    <mergeCell ref="U214:U215"/>
    <mergeCell ref="V214:V215"/>
    <mergeCell ref="W214:W215"/>
    <mergeCell ref="X214:X215"/>
    <mergeCell ref="U232:U233"/>
    <mergeCell ref="V232:V233"/>
    <mergeCell ref="W232:W233"/>
    <mergeCell ref="X232:X233"/>
    <mergeCell ref="U234:U235"/>
    <mergeCell ref="V234:V235"/>
    <mergeCell ref="W234:W235"/>
    <mergeCell ref="X234:X235"/>
    <mergeCell ref="U236:U237"/>
    <mergeCell ref="V236:V237"/>
    <mergeCell ref="W236:W237"/>
    <mergeCell ref="X236:X237"/>
    <mergeCell ref="U238:U239"/>
    <mergeCell ref="V238:V239"/>
    <mergeCell ref="W238:W239"/>
    <mergeCell ref="X238:X239"/>
    <mergeCell ref="U188:U189"/>
    <mergeCell ref="V188:V189"/>
    <mergeCell ref="W188:W189"/>
    <mergeCell ref="X188:X189"/>
    <mergeCell ref="U190:U191"/>
    <mergeCell ref="V190:V191"/>
    <mergeCell ref="W190:W191"/>
    <mergeCell ref="X190:X191"/>
    <mergeCell ref="U208:U209"/>
    <mergeCell ref="V208:V209"/>
    <mergeCell ref="W208:W209"/>
    <mergeCell ref="X208:X209"/>
    <mergeCell ref="U210:U211"/>
    <mergeCell ref="V210:V211"/>
    <mergeCell ref="W210:W211"/>
    <mergeCell ref="X210:X211"/>
    <mergeCell ref="U212:U213"/>
    <mergeCell ref="V212:V213"/>
    <mergeCell ref="W212:W213"/>
    <mergeCell ref="X212:X213"/>
    <mergeCell ref="U162:U163"/>
    <mergeCell ref="V162:V163"/>
    <mergeCell ref="W162:W163"/>
    <mergeCell ref="X162:X163"/>
    <mergeCell ref="U164:U165"/>
    <mergeCell ref="V164:V165"/>
    <mergeCell ref="W164:W165"/>
    <mergeCell ref="X164:X165"/>
    <mergeCell ref="U166:U167"/>
    <mergeCell ref="V166:V167"/>
    <mergeCell ref="W166:W167"/>
    <mergeCell ref="X166:X167"/>
    <mergeCell ref="U184:U185"/>
    <mergeCell ref="V184:V185"/>
    <mergeCell ref="W184:W185"/>
    <mergeCell ref="X184:X185"/>
    <mergeCell ref="U186:U187"/>
    <mergeCell ref="V186:V187"/>
    <mergeCell ref="W186:W187"/>
    <mergeCell ref="X186:X187"/>
    <mergeCell ref="U136:U137"/>
    <mergeCell ref="V136:V137"/>
    <mergeCell ref="W136:W137"/>
    <mergeCell ref="X136:X137"/>
    <mergeCell ref="U138:U139"/>
    <mergeCell ref="V138:V139"/>
    <mergeCell ref="W138:W139"/>
    <mergeCell ref="X138:X139"/>
    <mergeCell ref="U140:U141"/>
    <mergeCell ref="V140:V141"/>
    <mergeCell ref="W140:W141"/>
    <mergeCell ref="X140:X141"/>
    <mergeCell ref="U142:U143"/>
    <mergeCell ref="V142:V143"/>
    <mergeCell ref="W142:W143"/>
    <mergeCell ref="X142:X143"/>
    <mergeCell ref="U160:U161"/>
    <mergeCell ref="V160:V161"/>
    <mergeCell ref="W160:W161"/>
    <mergeCell ref="X160:X161"/>
    <mergeCell ref="U94:U95"/>
    <mergeCell ref="V94:V95"/>
    <mergeCell ref="W94:W95"/>
    <mergeCell ref="X94:X95"/>
    <mergeCell ref="U112:U113"/>
    <mergeCell ref="V112:V113"/>
    <mergeCell ref="W112:W113"/>
    <mergeCell ref="X112:X113"/>
    <mergeCell ref="U114:U115"/>
    <mergeCell ref="V114:V115"/>
    <mergeCell ref="W114:W115"/>
    <mergeCell ref="X114:X115"/>
    <mergeCell ref="U116:U117"/>
    <mergeCell ref="V116:V117"/>
    <mergeCell ref="W116:W117"/>
    <mergeCell ref="X116:X117"/>
    <mergeCell ref="U118:U119"/>
    <mergeCell ref="V118:V119"/>
    <mergeCell ref="W118:W119"/>
    <mergeCell ref="X118:X119"/>
    <mergeCell ref="U68:U69"/>
    <mergeCell ref="V68:V69"/>
    <mergeCell ref="W68:W69"/>
    <mergeCell ref="X68:X69"/>
    <mergeCell ref="U70:U71"/>
    <mergeCell ref="V70:V71"/>
    <mergeCell ref="W70:W71"/>
    <mergeCell ref="X70:X71"/>
    <mergeCell ref="U88:U89"/>
    <mergeCell ref="V88:V89"/>
    <mergeCell ref="W88:W89"/>
    <mergeCell ref="X88:X89"/>
    <mergeCell ref="U90:U91"/>
    <mergeCell ref="V90:V91"/>
    <mergeCell ref="W90:W91"/>
    <mergeCell ref="X90:X91"/>
    <mergeCell ref="U92:U93"/>
    <mergeCell ref="V92:V93"/>
    <mergeCell ref="W92:W93"/>
    <mergeCell ref="X92:X93"/>
    <mergeCell ref="U40:U41"/>
    <mergeCell ref="V40:V41"/>
    <mergeCell ref="W40:W41"/>
    <mergeCell ref="X40:X41"/>
    <mergeCell ref="U42:U43"/>
    <mergeCell ref="V42:V43"/>
    <mergeCell ref="W42:W43"/>
    <mergeCell ref="X42:X43"/>
    <mergeCell ref="U44:U45"/>
    <mergeCell ref="V44:V45"/>
    <mergeCell ref="W44:W45"/>
    <mergeCell ref="X44:X45"/>
    <mergeCell ref="U46:U47"/>
    <mergeCell ref="V46:V47"/>
    <mergeCell ref="W46:W47"/>
    <mergeCell ref="X46:X47"/>
    <mergeCell ref="U64:U65"/>
    <mergeCell ref="V64:V65"/>
    <mergeCell ref="W64:W65"/>
    <mergeCell ref="X64:X65"/>
    <mergeCell ref="U66:U67"/>
    <mergeCell ref="V66:V67"/>
    <mergeCell ref="W66:W67"/>
    <mergeCell ref="X66:X67"/>
    <mergeCell ref="P334:P335"/>
    <mergeCell ref="Q334:Q335"/>
    <mergeCell ref="R334:R335"/>
    <mergeCell ref="S334:S335"/>
    <mergeCell ref="P308:P309"/>
    <mergeCell ref="Q308:Q309"/>
    <mergeCell ref="R308:R309"/>
    <mergeCell ref="S308:S309"/>
    <mergeCell ref="P310:P311"/>
    <mergeCell ref="Q310:Q311"/>
    <mergeCell ref="R310:R311"/>
    <mergeCell ref="S310:S311"/>
    <mergeCell ref="P328:P329"/>
    <mergeCell ref="Q328:Q329"/>
    <mergeCell ref="R328:R329"/>
    <mergeCell ref="S328:S329"/>
    <mergeCell ref="P330:P331"/>
    <mergeCell ref="Q330:Q331"/>
    <mergeCell ref="R330:R331"/>
    <mergeCell ref="S330:S331"/>
    <mergeCell ref="P332:P333"/>
    <mergeCell ref="Q332:Q333"/>
    <mergeCell ref="R332:R333"/>
    <mergeCell ref="S332:S333"/>
    <mergeCell ref="P312:P313"/>
    <mergeCell ref="Q312:Q313"/>
    <mergeCell ref="R312:R313"/>
    <mergeCell ref="S312:S313"/>
    <mergeCell ref="P314:P315"/>
    <mergeCell ref="Q314:Q315"/>
    <mergeCell ref="R314:R315"/>
    <mergeCell ref="S314:S315"/>
    <mergeCell ref="P316:P317"/>
    <mergeCell ref="Q316:Q317"/>
    <mergeCell ref="R316:R317"/>
    <mergeCell ref="S316:S317"/>
    <mergeCell ref="P282:P283"/>
    <mergeCell ref="Q282:Q283"/>
    <mergeCell ref="R282:R283"/>
    <mergeCell ref="S282:S283"/>
    <mergeCell ref="P284:P285"/>
    <mergeCell ref="Q284:Q285"/>
    <mergeCell ref="R284:R285"/>
    <mergeCell ref="S284:S285"/>
    <mergeCell ref="P286:P287"/>
    <mergeCell ref="Q286:Q287"/>
    <mergeCell ref="R286:R287"/>
    <mergeCell ref="S286:S287"/>
    <mergeCell ref="P304:P305"/>
    <mergeCell ref="Q304:Q305"/>
    <mergeCell ref="R304:R305"/>
    <mergeCell ref="S304:S305"/>
    <mergeCell ref="P306:P307"/>
    <mergeCell ref="Q306:Q307"/>
    <mergeCell ref="R306:R307"/>
    <mergeCell ref="S306:S307"/>
    <mergeCell ref="P256:P257"/>
    <mergeCell ref="Q256:Q257"/>
    <mergeCell ref="R256:R257"/>
    <mergeCell ref="S256:S257"/>
    <mergeCell ref="P258:P259"/>
    <mergeCell ref="Q258:Q259"/>
    <mergeCell ref="R258:R259"/>
    <mergeCell ref="S258:S259"/>
    <mergeCell ref="P260:P261"/>
    <mergeCell ref="Q260:Q261"/>
    <mergeCell ref="R260:R261"/>
    <mergeCell ref="S260:S261"/>
    <mergeCell ref="P262:P263"/>
    <mergeCell ref="Q262:Q263"/>
    <mergeCell ref="R262:R263"/>
    <mergeCell ref="S262:S263"/>
    <mergeCell ref="P280:P281"/>
    <mergeCell ref="Q280:Q281"/>
    <mergeCell ref="R280:R281"/>
    <mergeCell ref="S280:S281"/>
    <mergeCell ref="P214:P215"/>
    <mergeCell ref="Q214:Q215"/>
    <mergeCell ref="R214:R215"/>
    <mergeCell ref="S214:S215"/>
    <mergeCell ref="P232:P233"/>
    <mergeCell ref="Q232:Q233"/>
    <mergeCell ref="R232:R233"/>
    <mergeCell ref="S232:S233"/>
    <mergeCell ref="P234:P235"/>
    <mergeCell ref="Q234:Q235"/>
    <mergeCell ref="R234:R235"/>
    <mergeCell ref="S234:S235"/>
    <mergeCell ref="P236:P237"/>
    <mergeCell ref="Q236:Q237"/>
    <mergeCell ref="R236:R237"/>
    <mergeCell ref="S236:S237"/>
    <mergeCell ref="P238:P239"/>
    <mergeCell ref="Q238:Q239"/>
    <mergeCell ref="R238:R239"/>
    <mergeCell ref="S238:S239"/>
    <mergeCell ref="P188:P189"/>
    <mergeCell ref="Q188:Q189"/>
    <mergeCell ref="R188:R189"/>
    <mergeCell ref="S188:S189"/>
    <mergeCell ref="P190:P191"/>
    <mergeCell ref="Q190:Q191"/>
    <mergeCell ref="R190:R191"/>
    <mergeCell ref="S190:S191"/>
    <mergeCell ref="P208:P209"/>
    <mergeCell ref="Q208:Q209"/>
    <mergeCell ref="R208:R209"/>
    <mergeCell ref="S208:S209"/>
    <mergeCell ref="P210:P211"/>
    <mergeCell ref="Q210:Q211"/>
    <mergeCell ref="R210:R211"/>
    <mergeCell ref="S210:S211"/>
    <mergeCell ref="P212:P213"/>
    <mergeCell ref="Q212:Q213"/>
    <mergeCell ref="R212:R213"/>
    <mergeCell ref="S212:S213"/>
    <mergeCell ref="P162:P163"/>
    <mergeCell ref="Q162:Q163"/>
    <mergeCell ref="R162:R163"/>
    <mergeCell ref="S162:S163"/>
    <mergeCell ref="P164:P165"/>
    <mergeCell ref="Q164:Q165"/>
    <mergeCell ref="R164:R165"/>
    <mergeCell ref="S164:S165"/>
    <mergeCell ref="P166:P167"/>
    <mergeCell ref="Q166:Q167"/>
    <mergeCell ref="R166:R167"/>
    <mergeCell ref="S166:S167"/>
    <mergeCell ref="P184:P185"/>
    <mergeCell ref="Q184:Q185"/>
    <mergeCell ref="R184:R185"/>
    <mergeCell ref="S184:S185"/>
    <mergeCell ref="P186:P187"/>
    <mergeCell ref="Q186:Q187"/>
    <mergeCell ref="R186:R187"/>
    <mergeCell ref="S186:S187"/>
    <mergeCell ref="P136:P137"/>
    <mergeCell ref="Q136:Q137"/>
    <mergeCell ref="R136:R137"/>
    <mergeCell ref="S136:S137"/>
    <mergeCell ref="P138:P139"/>
    <mergeCell ref="Q138:Q139"/>
    <mergeCell ref="R138:R139"/>
    <mergeCell ref="S138:S139"/>
    <mergeCell ref="P140:P141"/>
    <mergeCell ref="Q140:Q141"/>
    <mergeCell ref="R140:R141"/>
    <mergeCell ref="S140:S141"/>
    <mergeCell ref="P142:P143"/>
    <mergeCell ref="Q142:Q143"/>
    <mergeCell ref="R142:R143"/>
    <mergeCell ref="S142:S143"/>
    <mergeCell ref="P160:P161"/>
    <mergeCell ref="Q160:Q161"/>
    <mergeCell ref="R160:R161"/>
    <mergeCell ref="S160:S161"/>
    <mergeCell ref="P94:P95"/>
    <mergeCell ref="Q94:Q95"/>
    <mergeCell ref="R94:R95"/>
    <mergeCell ref="S94:S95"/>
    <mergeCell ref="P112:P113"/>
    <mergeCell ref="Q112:Q113"/>
    <mergeCell ref="R112:R113"/>
    <mergeCell ref="S112:S113"/>
    <mergeCell ref="P114:P115"/>
    <mergeCell ref="Q114:Q115"/>
    <mergeCell ref="R114:R115"/>
    <mergeCell ref="S114:S115"/>
    <mergeCell ref="P116:P117"/>
    <mergeCell ref="Q116:Q117"/>
    <mergeCell ref="R116:R117"/>
    <mergeCell ref="S116:S117"/>
    <mergeCell ref="P118:P119"/>
    <mergeCell ref="Q118:Q119"/>
    <mergeCell ref="R118:R119"/>
    <mergeCell ref="S118:S119"/>
    <mergeCell ref="P68:P69"/>
    <mergeCell ref="Q68:Q69"/>
    <mergeCell ref="R68:R69"/>
    <mergeCell ref="S68:S69"/>
    <mergeCell ref="P70:P71"/>
    <mergeCell ref="Q70:Q71"/>
    <mergeCell ref="R70:R71"/>
    <mergeCell ref="S70:S71"/>
    <mergeCell ref="P88:P89"/>
    <mergeCell ref="Q88:Q89"/>
    <mergeCell ref="R88:R89"/>
    <mergeCell ref="S88:S89"/>
    <mergeCell ref="P90:P91"/>
    <mergeCell ref="Q90:Q91"/>
    <mergeCell ref="R90:R91"/>
    <mergeCell ref="S90:S91"/>
    <mergeCell ref="P92:P93"/>
    <mergeCell ref="Q92:Q93"/>
    <mergeCell ref="R92:R93"/>
    <mergeCell ref="S92:S93"/>
    <mergeCell ref="P42:P43"/>
    <mergeCell ref="Q42:Q43"/>
    <mergeCell ref="R42:R43"/>
    <mergeCell ref="S42:S43"/>
    <mergeCell ref="P44:P45"/>
    <mergeCell ref="Q44:Q45"/>
    <mergeCell ref="R44:R45"/>
    <mergeCell ref="S44:S45"/>
    <mergeCell ref="P46:P47"/>
    <mergeCell ref="Q46:Q47"/>
    <mergeCell ref="R46:R47"/>
    <mergeCell ref="S46:S47"/>
    <mergeCell ref="P64:P65"/>
    <mergeCell ref="Q64:Q65"/>
    <mergeCell ref="R64:R65"/>
    <mergeCell ref="S64:S65"/>
    <mergeCell ref="P66:P67"/>
    <mergeCell ref="Q66:Q67"/>
    <mergeCell ref="R66:R67"/>
    <mergeCell ref="S66:S67"/>
    <mergeCell ref="V16:V17"/>
    <mergeCell ref="W16:W17"/>
    <mergeCell ref="X16:X17"/>
    <mergeCell ref="U18:U19"/>
    <mergeCell ref="V18:V19"/>
    <mergeCell ref="W18:W19"/>
    <mergeCell ref="X18:X19"/>
    <mergeCell ref="U20:U21"/>
    <mergeCell ref="V20:V21"/>
    <mergeCell ref="W20:W21"/>
    <mergeCell ref="X20:X21"/>
    <mergeCell ref="U22:U23"/>
    <mergeCell ref="V22:V23"/>
    <mergeCell ref="W22:W23"/>
    <mergeCell ref="X22:X23"/>
    <mergeCell ref="P40:P41"/>
    <mergeCell ref="Q40:Q41"/>
    <mergeCell ref="R40:R41"/>
    <mergeCell ref="S40:S41"/>
    <mergeCell ref="P16:P17"/>
    <mergeCell ref="Q16:Q17"/>
    <mergeCell ref="R16:R17"/>
    <mergeCell ref="S16:S17"/>
    <mergeCell ref="P18:P19"/>
    <mergeCell ref="Q18:Q19"/>
    <mergeCell ref="R18:R19"/>
    <mergeCell ref="S18:S19"/>
    <mergeCell ref="P20:P21"/>
    <mergeCell ref="Q20:Q21"/>
    <mergeCell ref="R20:R21"/>
    <mergeCell ref="S20:S21"/>
    <mergeCell ref="P22:P23"/>
    <mergeCell ref="Q22:Q23"/>
    <mergeCell ref="R22:R23"/>
    <mergeCell ref="S22:S23"/>
    <mergeCell ref="U16:U17"/>
    <mergeCell ref="I336:I339"/>
    <mergeCell ref="J336:J339"/>
    <mergeCell ref="K336:K337"/>
    <mergeCell ref="F320:F343"/>
    <mergeCell ref="G320:G343"/>
    <mergeCell ref="H320:H343"/>
    <mergeCell ref="I320:I323"/>
    <mergeCell ref="J320:J323"/>
    <mergeCell ref="I324:I327"/>
    <mergeCell ref="J324:J327"/>
    <mergeCell ref="I328:I331"/>
    <mergeCell ref="I340:I343"/>
    <mergeCell ref="J340:J343"/>
    <mergeCell ref="K340:K341"/>
    <mergeCell ref="I332:I335"/>
    <mergeCell ref="J332:J335"/>
    <mergeCell ref="M324:M325"/>
    <mergeCell ref="K338:K339"/>
    <mergeCell ref="K342:K343"/>
    <mergeCell ref="K324:K325"/>
    <mergeCell ref="L340:L341"/>
    <mergeCell ref="N340:N341"/>
    <mergeCell ref="O340:O341"/>
    <mergeCell ref="K326:K327"/>
    <mergeCell ref="L342:L343"/>
    <mergeCell ref="N342:N343"/>
    <mergeCell ref="O342:O343"/>
    <mergeCell ref="L326:L327"/>
    <mergeCell ref="M326:M327"/>
    <mergeCell ref="K320:K321"/>
    <mergeCell ref="L336:L337"/>
    <mergeCell ref="N336:N337"/>
    <mergeCell ref="O336:O337"/>
    <mergeCell ref="K322:K323"/>
    <mergeCell ref="L338:L339"/>
    <mergeCell ref="N338:N339"/>
    <mergeCell ref="O338:O339"/>
    <mergeCell ref="N326:N327"/>
    <mergeCell ref="O326:O327"/>
    <mergeCell ref="L322:L323"/>
    <mergeCell ref="F296:F319"/>
    <mergeCell ref="G296:G319"/>
    <mergeCell ref="H296:H319"/>
    <mergeCell ref="M296:M297"/>
    <mergeCell ref="L298:L299"/>
    <mergeCell ref="M298:M299"/>
    <mergeCell ref="I300:I303"/>
    <mergeCell ref="J300:J303"/>
    <mergeCell ref="K300:K301"/>
    <mergeCell ref="M300:M301"/>
    <mergeCell ref="L318:L319"/>
    <mergeCell ref="I296:I299"/>
    <mergeCell ref="J296:J299"/>
    <mergeCell ref="L296:L297"/>
    <mergeCell ref="I304:I307"/>
    <mergeCell ref="J304:J307"/>
    <mergeCell ref="K304:K305"/>
    <mergeCell ref="L304:L305"/>
    <mergeCell ref="M304:M305"/>
    <mergeCell ref="I312:I315"/>
    <mergeCell ref="J312:J315"/>
    <mergeCell ref="K312:K313"/>
    <mergeCell ref="M312:M313"/>
    <mergeCell ref="M314:M315"/>
    <mergeCell ref="I316:I319"/>
    <mergeCell ref="J316:J319"/>
    <mergeCell ref="K316:K317"/>
    <mergeCell ref="L316:L317"/>
    <mergeCell ref="M316:M317"/>
    <mergeCell ref="K318:K319"/>
    <mergeCell ref="M318:M319"/>
    <mergeCell ref="I288:I291"/>
    <mergeCell ref="J288:J291"/>
    <mergeCell ref="K288:K289"/>
    <mergeCell ref="L288:L289"/>
    <mergeCell ref="M288:M289"/>
    <mergeCell ref="O270:O271"/>
    <mergeCell ref="N298:N299"/>
    <mergeCell ref="O298:O299"/>
    <mergeCell ref="L300:L301"/>
    <mergeCell ref="N300:N301"/>
    <mergeCell ref="O300:O301"/>
    <mergeCell ref="L302:L303"/>
    <mergeCell ref="N302:N303"/>
    <mergeCell ref="O302:O303"/>
    <mergeCell ref="M302:M303"/>
    <mergeCell ref="K278:K279"/>
    <mergeCell ref="K302:K303"/>
    <mergeCell ref="K314:K315"/>
    <mergeCell ref="K296:K297"/>
    <mergeCell ref="K298:K299"/>
    <mergeCell ref="O314:O315"/>
    <mergeCell ref="H272:H295"/>
    <mergeCell ref="I272:I275"/>
    <mergeCell ref="J272:J275"/>
    <mergeCell ref="K272:K273"/>
    <mergeCell ref="M272:M273"/>
    <mergeCell ref="M274:M275"/>
    <mergeCell ref="I276:I279"/>
    <mergeCell ref="H248:H271"/>
    <mergeCell ref="K292:K293"/>
    <mergeCell ref="K294:K295"/>
    <mergeCell ref="I292:I295"/>
    <mergeCell ref="J292:J295"/>
    <mergeCell ref="L294:L295"/>
    <mergeCell ref="N294:N295"/>
    <mergeCell ref="N288:N289"/>
    <mergeCell ref="O288:O289"/>
    <mergeCell ref="K290:K291"/>
    <mergeCell ref="M290:M291"/>
    <mergeCell ref="M292:M293"/>
    <mergeCell ref="M294:M295"/>
    <mergeCell ref="J276:J279"/>
    <mergeCell ref="K276:K277"/>
    <mergeCell ref="N252:N253"/>
    <mergeCell ref="O252:O253"/>
    <mergeCell ref="K254:K255"/>
    <mergeCell ref="M254:M255"/>
    <mergeCell ref="K264:K265"/>
    <mergeCell ref="K266:K267"/>
    <mergeCell ref="N254:N255"/>
    <mergeCell ref="I264:I267"/>
    <mergeCell ref="J264:J267"/>
    <mergeCell ref="O254:O255"/>
    <mergeCell ref="M220:M221"/>
    <mergeCell ref="M222:M223"/>
    <mergeCell ref="K240:K241"/>
    <mergeCell ref="K242:K243"/>
    <mergeCell ref="M232:M233"/>
    <mergeCell ref="L226:L227"/>
    <mergeCell ref="L234:L235"/>
    <mergeCell ref="M234:M235"/>
    <mergeCell ref="N242:N243"/>
    <mergeCell ref="O242:O243"/>
    <mergeCell ref="K228:K229"/>
    <mergeCell ref="N244:N245"/>
    <mergeCell ref="O244:O245"/>
    <mergeCell ref="K230:K231"/>
    <mergeCell ref="N246:N247"/>
    <mergeCell ref="O246:O247"/>
    <mergeCell ref="O236:O237"/>
    <mergeCell ref="O238:O239"/>
    <mergeCell ref="O230:O231"/>
    <mergeCell ref="O240:O241"/>
    <mergeCell ref="O224:O225"/>
    <mergeCell ref="M230:M231"/>
    <mergeCell ref="M240:M241"/>
    <mergeCell ref="L242:L243"/>
    <mergeCell ref="M242:M243"/>
    <mergeCell ref="N232:N233"/>
    <mergeCell ref="K234:K235"/>
    <mergeCell ref="H200:H223"/>
    <mergeCell ref="M200:M201"/>
    <mergeCell ref="K202:K203"/>
    <mergeCell ref="M202:M203"/>
    <mergeCell ref="M204:M205"/>
    <mergeCell ref="K206:K207"/>
    <mergeCell ref="L206:L207"/>
    <mergeCell ref="M206:M207"/>
    <mergeCell ref="K226:K227"/>
    <mergeCell ref="M226:M227"/>
    <mergeCell ref="M228:M229"/>
    <mergeCell ref="J220:J223"/>
    <mergeCell ref="N226:N227"/>
    <mergeCell ref="O226:O227"/>
    <mergeCell ref="K220:K221"/>
    <mergeCell ref="L228:L229"/>
    <mergeCell ref="N228:N229"/>
    <mergeCell ref="O228:O229"/>
    <mergeCell ref="I220:I223"/>
    <mergeCell ref="L220:L221"/>
    <mergeCell ref="N220:N221"/>
    <mergeCell ref="O220:O221"/>
    <mergeCell ref="L222:L223"/>
    <mergeCell ref="N222:N223"/>
    <mergeCell ref="O222:O223"/>
    <mergeCell ref="I228:I231"/>
    <mergeCell ref="H224:H247"/>
    <mergeCell ref="I224:I227"/>
    <mergeCell ref="J224:J227"/>
    <mergeCell ref="L224:L225"/>
    <mergeCell ref="M224:M225"/>
    <mergeCell ref="N206:N207"/>
    <mergeCell ref="I244:I247"/>
    <mergeCell ref="J244:J247"/>
    <mergeCell ref="K244:K245"/>
    <mergeCell ref="M244:M245"/>
    <mergeCell ref="M246:M247"/>
    <mergeCell ref="K238:K239"/>
    <mergeCell ref="L238:L239"/>
    <mergeCell ref="M238:M239"/>
    <mergeCell ref="N238:N239"/>
    <mergeCell ref="J228:J231"/>
    <mergeCell ref="I240:I243"/>
    <mergeCell ref="J240:J243"/>
    <mergeCell ref="K222:K223"/>
    <mergeCell ref="L230:L231"/>
    <mergeCell ref="N230:N231"/>
    <mergeCell ref="K224:K225"/>
    <mergeCell ref="L240:L241"/>
    <mergeCell ref="N240:N241"/>
    <mergeCell ref="N224:N225"/>
    <mergeCell ref="I232:I235"/>
    <mergeCell ref="N236:N237"/>
    <mergeCell ref="J236:J239"/>
    <mergeCell ref="L246:L247"/>
    <mergeCell ref="H176:H199"/>
    <mergeCell ref="M176:M177"/>
    <mergeCell ref="L178:L179"/>
    <mergeCell ref="M178:M179"/>
    <mergeCell ref="I180:I183"/>
    <mergeCell ref="J180:J183"/>
    <mergeCell ref="K180:K181"/>
    <mergeCell ref="M180:M181"/>
    <mergeCell ref="K194:K195"/>
    <mergeCell ref="K196:K197"/>
    <mergeCell ref="K176:K177"/>
    <mergeCell ref="K178:K179"/>
    <mergeCell ref="I176:I179"/>
    <mergeCell ref="J176:J179"/>
    <mergeCell ref="I184:I187"/>
    <mergeCell ref="J184:J187"/>
    <mergeCell ref="M186:M187"/>
    <mergeCell ref="I192:I195"/>
    <mergeCell ref="J192:J195"/>
    <mergeCell ref="M192:M193"/>
    <mergeCell ref="M194:M195"/>
    <mergeCell ref="I196:I199"/>
    <mergeCell ref="J196:J199"/>
    <mergeCell ref="L196:L197"/>
    <mergeCell ref="M196:M197"/>
    <mergeCell ref="K198:K199"/>
    <mergeCell ref="M198:M199"/>
    <mergeCell ref="I188:I191"/>
    <mergeCell ref="J188:J191"/>
    <mergeCell ref="L190:L191"/>
    <mergeCell ref="M190:M191"/>
    <mergeCell ref="K188:K189"/>
    <mergeCell ref="H152:H175"/>
    <mergeCell ref="I152:I155"/>
    <mergeCell ref="J152:J155"/>
    <mergeCell ref="K152:K153"/>
    <mergeCell ref="I156:I159"/>
    <mergeCell ref="J156:J159"/>
    <mergeCell ref="I168:I171"/>
    <mergeCell ref="J168:J171"/>
    <mergeCell ref="I172:I175"/>
    <mergeCell ref="J172:J175"/>
    <mergeCell ref="K158:K159"/>
    <mergeCell ref="K168:K169"/>
    <mergeCell ref="M158:M159"/>
    <mergeCell ref="L168:L169"/>
    <mergeCell ref="K154:K155"/>
    <mergeCell ref="L170:L171"/>
    <mergeCell ref="K142:K143"/>
    <mergeCell ref="I144:I147"/>
    <mergeCell ref="J144:J147"/>
    <mergeCell ref="M144:M145"/>
    <mergeCell ref="M146:M147"/>
    <mergeCell ref="I148:I151"/>
    <mergeCell ref="J148:J151"/>
    <mergeCell ref="M148:M149"/>
    <mergeCell ref="K150:K151"/>
    <mergeCell ref="L150:L151"/>
    <mergeCell ref="M150:M151"/>
    <mergeCell ref="M152:M153"/>
    <mergeCell ref="L152:L153"/>
    <mergeCell ref="I160:I163"/>
    <mergeCell ref="J160:J163"/>
    <mergeCell ref="M162:M163"/>
    <mergeCell ref="F128:F151"/>
    <mergeCell ref="G128:G151"/>
    <mergeCell ref="H128:H151"/>
    <mergeCell ref="M128:M129"/>
    <mergeCell ref="M130:M131"/>
    <mergeCell ref="I132:I135"/>
    <mergeCell ref="H104:H127"/>
    <mergeCell ref="F104:F127"/>
    <mergeCell ref="N114:N115"/>
    <mergeCell ref="O114:O115"/>
    <mergeCell ref="J116:J119"/>
    <mergeCell ref="K116:K117"/>
    <mergeCell ref="O126:O127"/>
    <mergeCell ref="G104:G127"/>
    <mergeCell ref="I124:I127"/>
    <mergeCell ref="J124:J127"/>
    <mergeCell ref="L110:L111"/>
    <mergeCell ref="N110:N111"/>
    <mergeCell ref="N136:N137"/>
    <mergeCell ref="O136:O137"/>
    <mergeCell ref="L138:L139"/>
    <mergeCell ref="M138:M139"/>
    <mergeCell ref="N138:N139"/>
    <mergeCell ref="O138:O139"/>
    <mergeCell ref="N150:N151"/>
    <mergeCell ref="O150:O151"/>
    <mergeCell ref="N144:N145"/>
    <mergeCell ref="O144:O145"/>
    <mergeCell ref="L140:L141"/>
    <mergeCell ref="M140:M141"/>
    <mergeCell ref="N140:N141"/>
    <mergeCell ref="O140:O141"/>
    <mergeCell ref="I108:I111"/>
    <mergeCell ref="J108:J111"/>
    <mergeCell ref="M108:M109"/>
    <mergeCell ref="M110:M111"/>
    <mergeCell ref="I120:I123"/>
    <mergeCell ref="J120:J123"/>
    <mergeCell ref="M120:M121"/>
    <mergeCell ref="K122:K123"/>
    <mergeCell ref="L122:L123"/>
    <mergeCell ref="M122:M123"/>
    <mergeCell ref="K134:K135"/>
    <mergeCell ref="L134:L135"/>
    <mergeCell ref="K144:K145"/>
    <mergeCell ref="L144:L145"/>
    <mergeCell ref="J132:J135"/>
    <mergeCell ref="K128:K129"/>
    <mergeCell ref="L128:L129"/>
    <mergeCell ref="K130:K131"/>
    <mergeCell ref="K132:K133"/>
    <mergeCell ref="I136:I139"/>
    <mergeCell ref="J136:J139"/>
    <mergeCell ref="K136:K137"/>
    <mergeCell ref="K138:K139"/>
    <mergeCell ref="I140:I143"/>
    <mergeCell ref="J140:J143"/>
    <mergeCell ref="K140:K141"/>
    <mergeCell ref="K110:K111"/>
    <mergeCell ref="I112:I115"/>
    <mergeCell ref="J112:J115"/>
    <mergeCell ref="L114:L115"/>
    <mergeCell ref="M114:M115"/>
    <mergeCell ref="I116:I119"/>
    <mergeCell ref="O86:O87"/>
    <mergeCell ref="M96:M97"/>
    <mergeCell ref="M98:M99"/>
    <mergeCell ref="M100:M101"/>
    <mergeCell ref="M102:M103"/>
    <mergeCell ref="N100:N101"/>
    <mergeCell ref="O100:O101"/>
    <mergeCell ref="K102:K103"/>
    <mergeCell ref="L102:L103"/>
    <mergeCell ref="N102:N103"/>
    <mergeCell ref="O102:O103"/>
    <mergeCell ref="L96:L97"/>
    <mergeCell ref="N96:N97"/>
    <mergeCell ref="O96:O97"/>
    <mergeCell ref="K98:K99"/>
    <mergeCell ref="L98:L99"/>
    <mergeCell ref="N98:N99"/>
    <mergeCell ref="O98:O99"/>
    <mergeCell ref="L100:L101"/>
    <mergeCell ref="N92:N93"/>
    <mergeCell ref="O92:O93"/>
    <mergeCell ref="N94:N95"/>
    <mergeCell ref="O94:O95"/>
    <mergeCell ref="N88:N89"/>
    <mergeCell ref="O88:O89"/>
    <mergeCell ref="M90:M91"/>
    <mergeCell ref="N90:N91"/>
    <mergeCell ref="O90:O91"/>
    <mergeCell ref="I96:I99"/>
    <mergeCell ref="J96:J99"/>
    <mergeCell ref="K96:K97"/>
    <mergeCell ref="K100:K101"/>
    <mergeCell ref="I104:I107"/>
    <mergeCell ref="K106:K107"/>
    <mergeCell ref="J104:J107"/>
    <mergeCell ref="I92:I95"/>
    <mergeCell ref="J92:J95"/>
    <mergeCell ref="K92:K93"/>
    <mergeCell ref="L92:L93"/>
    <mergeCell ref="M92:M93"/>
    <mergeCell ref="I68:I71"/>
    <mergeCell ref="J68:J71"/>
    <mergeCell ref="K68:K69"/>
    <mergeCell ref="L68:L69"/>
    <mergeCell ref="M68:M69"/>
    <mergeCell ref="J76:J79"/>
    <mergeCell ref="M80:M81"/>
    <mergeCell ref="M82:M83"/>
    <mergeCell ref="I84:I87"/>
    <mergeCell ref="J84:J87"/>
    <mergeCell ref="K94:K95"/>
    <mergeCell ref="L94:L95"/>
    <mergeCell ref="M94:M95"/>
    <mergeCell ref="I88:I91"/>
    <mergeCell ref="J88:J91"/>
    <mergeCell ref="K88:K89"/>
    <mergeCell ref="L88:L89"/>
    <mergeCell ref="M88:M89"/>
    <mergeCell ref="K90:K91"/>
    <mergeCell ref="L90:L91"/>
    <mergeCell ref="G80:G103"/>
    <mergeCell ref="H80:H103"/>
    <mergeCell ref="I80:I83"/>
    <mergeCell ref="J80:J83"/>
    <mergeCell ref="L58:L59"/>
    <mergeCell ref="M58:M59"/>
    <mergeCell ref="N58:N59"/>
    <mergeCell ref="O58:O59"/>
    <mergeCell ref="M60:M61"/>
    <mergeCell ref="M62:M63"/>
    <mergeCell ref="I56:I59"/>
    <mergeCell ref="I76:I79"/>
    <mergeCell ref="H56:H79"/>
    <mergeCell ref="K58:K59"/>
    <mergeCell ref="K76:K77"/>
    <mergeCell ref="L72:L73"/>
    <mergeCell ref="L56:L57"/>
    <mergeCell ref="N56:N57"/>
    <mergeCell ref="O56:O57"/>
    <mergeCell ref="M84:M85"/>
    <mergeCell ref="K86:K87"/>
    <mergeCell ref="L86:L87"/>
    <mergeCell ref="M86:M87"/>
    <mergeCell ref="L76:L77"/>
    <mergeCell ref="M76:M77"/>
    <mergeCell ref="K82:K83"/>
    <mergeCell ref="L82:L83"/>
    <mergeCell ref="I72:I75"/>
    <mergeCell ref="J72:J75"/>
    <mergeCell ref="L84:L85"/>
    <mergeCell ref="N84:N85"/>
    <mergeCell ref="I100:I103"/>
    <mergeCell ref="H32:H55"/>
    <mergeCell ref="I48:I51"/>
    <mergeCell ref="J48:J51"/>
    <mergeCell ref="K48:K49"/>
    <mergeCell ref="I52:I55"/>
    <mergeCell ref="J52:J55"/>
    <mergeCell ref="M24:M25"/>
    <mergeCell ref="M26:M27"/>
    <mergeCell ref="M28:M29"/>
    <mergeCell ref="I40:I43"/>
    <mergeCell ref="J40:J43"/>
    <mergeCell ref="K40:K41"/>
    <mergeCell ref="L50:L51"/>
    <mergeCell ref="N50:N51"/>
    <mergeCell ref="O50:O51"/>
    <mergeCell ref="K52:K53"/>
    <mergeCell ref="L52:L53"/>
    <mergeCell ref="N52:N53"/>
    <mergeCell ref="O52:O53"/>
    <mergeCell ref="K50:K51"/>
    <mergeCell ref="L42:L43"/>
    <mergeCell ref="M42:M43"/>
    <mergeCell ref="N42:N43"/>
    <mergeCell ref="O42:O43"/>
    <mergeCell ref="K26:K27"/>
    <mergeCell ref="I44:I47"/>
    <mergeCell ref="J44:J47"/>
    <mergeCell ref="K44:K45"/>
    <mergeCell ref="L44:L45"/>
    <mergeCell ref="M44:M45"/>
    <mergeCell ref="N44:N45"/>
    <mergeCell ref="O44:O45"/>
    <mergeCell ref="L6:O6"/>
    <mergeCell ref="L26:L27"/>
    <mergeCell ref="O30:O31"/>
    <mergeCell ref="M12:M13"/>
    <mergeCell ref="N12:N13"/>
    <mergeCell ref="O12:O13"/>
    <mergeCell ref="M14:M15"/>
    <mergeCell ref="N14:N15"/>
    <mergeCell ref="O14:O15"/>
    <mergeCell ref="N24:N25"/>
    <mergeCell ref="O24:O25"/>
    <mergeCell ref="N26:N27"/>
    <mergeCell ref="O26:O27"/>
    <mergeCell ref="N16:N17"/>
    <mergeCell ref="N18:N19"/>
    <mergeCell ref="N20:N21"/>
    <mergeCell ref="N22:N23"/>
    <mergeCell ref="O16:O17"/>
    <mergeCell ref="O18:O19"/>
    <mergeCell ref="O20:O21"/>
    <mergeCell ref="O22:O23"/>
    <mergeCell ref="L24:L25"/>
    <mergeCell ref="J12:J15"/>
    <mergeCell ref="K12:K13"/>
    <mergeCell ref="K14:K15"/>
    <mergeCell ref="I12:I15"/>
    <mergeCell ref="L12:L13"/>
    <mergeCell ref="L14:L15"/>
    <mergeCell ref="M8:M9"/>
    <mergeCell ref="I28:I31"/>
    <mergeCell ref="J28:J31"/>
    <mergeCell ref="K30:K31"/>
    <mergeCell ref="K28:K29"/>
    <mergeCell ref="L28:L29"/>
    <mergeCell ref="L30:L31"/>
    <mergeCell ref="M10:M11"/>
    <mergeCell ref="I24:I27"/>
    <mergeCell ref="I16:I19"/>
    <mergeCell ref="J16:J19"/>
    <mergeCell ref="K16:K17"/>
    <mergeCell ref="K18:K19"/>
    <mergeCell ref="L16:L17"/>
    <mergeCell ref="L18:L19"/>
    <mergeCell ref="J20:J23"/>
    <mergeCell ref="K20:K21"/>
    <mergeCell ref="K22:K23"/>
    <mergeCell ref="L20:L21"/>
    <mergeCell ref="L22:L23"/>
    <mergeCell ref="M16:M17"/>
    <mergeCell ref="M18:M19"/>
    <mergeCell ref="M20:M21"/>
    <mergeCell ref="M22:M23"/>
    <mergeCell ref="J24:J27"/>
    <mergeCell ref="K24:K25"/>
    <mergeCell ref="M340:M341"/>
    <mergeCell ref="M342:M343"/>
    <mergeCell ref="N316:N317"/>
    <mergeCell ref="O316:O317"/>
    <mergeCell ref="M320:M321"/>
    <mergeCell ref="M322:M323"/>
    <mergeCell ref="N296:N297"/>
    <mergeCell ref="O296:O297"/>
    <mergeCell ref="L290:L291"/>
    <mergeCell ref="N290:N291"/>
    <mergeCell ref="O290:O291"/>
    <mergeCell ref="L292:L293"/>
    <mergeCell ref="N292:N293"/>
    <mergeCell ref="O292:O293"/>
    <mergeCell ref="M276:M277"/>
    <mergeCell ref="N322:N323"/>
    <mergeCell ref="O322:O323"/>
    <mergeCell ref="L324:L325"/>
    <mergeCell ref="N324:N325"/>
    <mergeCell ref="O324:O325"/>
    <mergeCell ref="M336:M337"/>
    <mergeCell ref="M338:M339"/>
    <mergeCell ref="N318:N319"/>
    <mergeCell ref="O318:O319"/>
    <mergeCell ref="L320:L321"/>
    <mergeCell ref="N320:N321"/>
    <mergeCell ref="O320:O321"/>
    <mergeCell ref="L312:L313"/>
    <mergeCell ref="N312:N313"/>
    <mergeCell ref="O312:O313"/>
    <mergeCell ref="L314:L315"/>
    <mergeCell ref="N314:N315"/>
    <mergeCell ref="M264:M265"/>
    <mergeCell ref="M266:M267"/>
    <mergeCell ref="K248:K249"/>
    <mergeCell ref="M248:M249"/>
    <mergeCell ref="M250:M251"/>
    <mergeCell ref="L276:L277"/>
    <mergeCell ref="N276:N277"/>
    <mergeCell ref="O276:O277"/>
    <mergeCell ref="K270:K271"/>
    <mergeCell ref="K274:K275"/>
    <mergeCell ref="M278:M279"/>
    <mergeCell ref="O294:O295"/>
    <mergeCell ref="L278:L279"/>
    <mergeCell ref="N278:N279"/>
    <mergeCell ref="O278:O279"/>
    <mergeCell ref="M268:M269"/>
    <mergeCell ref="L270:L271"/>
    <mergeCell ref="L272:L273"/>
    <mergeCell ref="N272:N273"/>
    <mergeCell ref="O272:O273"/>
    <mergeCell ref="L274:L275"/>
    <mergeCell ref="N274:N275"/>
    <mergeCell ref="O274:O275"/>
    <mergeCell ref="M270:M271"/>
    <mergeCell ref="N270:N271"/>
    <mergeCell ref="N248:N249"/>
    <mergeCell ref="O248:O249"/>
    <mergeCell ref="N250:N251"/>
    <mergeCell ref="O250:O251"/>
    <mergeCell ref="M258:M259"/>
    <mergeCell ref="N258:N259"/>
    <mergeCell ref="O258:O259"/>
    <mergeCell ref="M218:M219"/>
    <mergeCell ref="N208:N209"/>
    <mergeCell ref="K218:K219"/>
    <mergeCell ref="O208:O209"/>
    <mergeCell ref="K210:K211"/>
    <mergeCell ref="L210:L211"/>
    <mergeCell ref="I268:I271"/>
    <mergeCell ref="J268:J271"/>
    <mergeCell ref="L266:L267"/>
    <mergeCell ref="N266:N267"/>
    <mergeCell ref="O266:O267"/>
    <mergeCell ref="L268:L269"/>
    <mergeCell ref="N268:N269"/>
    <mergeCell ref="O268:O269"/>
    <mergeCell ref="L264:L265"/>
    <mergeCell ref="N264:N265"/>
    <mergeCell ref="O264:O265"/>
    <mergeCell ref="K268:K269"/>
    <mergeCell ref="O232:O233"/>
    <mergeCell ref="I252:I255"/>
    <mergeCell ref="J252:J255"/>
    <mergeCell ref="K252:K253"/>
    <mergeCell ref="L252:L253"/>
    <mergeCell ref="M252:M253"/>
    <mergeCell ref="I248:I251"/>
    <mergeCell ref="J248:J251"/>
    <mergeCell ref="L254:L255"/>
    <mergeCell ref="K246:K247"/>
    <mergeCell ref="K250:K251"/>
    <mergeCell ref="L248:L249"/>
    <mergeCell ref="L250:L251"/>
    <mergeCell ref="L244:L245"/>
    <mergeCell ref="N184:N185"/>
    <mergeCell ref="O184:O185"/>
    <mergeCell ref="K186:K187"/>
    <mergeCell ref="L186:L187"/>
    <mergeCell ref="N186:N187"/>
    <mergeCell ref="O186:O187"/>
    <mergeCell ref="O216:O217"/>
    <mergeCell ref="L218:L219"/>
    <mergeCell ref="N218:N219"/>
    <mergeCell ref="O218:O219"/>
    <mergeCell ref="I200:I203"/>
    <mergeCell ref="J200:J203"/>
    <mergeCell ref="K200:K201"/>
    <mergeCell ref="I204:I207"/>
    <mergeCell ref="J204:J207"/>
    <mergeCell ref="K204:K205"/>
    <mergeCell ref="L202:L203"/>
    <mergeCell ref="N202:N203"/>
    <mergeCell ref="O202:O203"/>
    <mergeCell ref="L204:L205"/>
    <mergeCell ref="N204:N205"/>
    <mergeCell ref="O204:O205"/>
    <mergeCell ref="I208:I211"/>
    <mergeCell ref="J208:J211"/>
    <mergeCell ref="K208:K209"/>
    <mergeCell ref="L208:L209"/>
    <mergeCell ref="M208:M209"/>
    <mergeCell ref="O206:O207"/>
    <mergeCell ref="I216:I219"/>
    <mergeCell ref="J216:J219"/>
    <mergeCell ref="K216:K217"/>
    <mergeCell ref="M216:M217"/>
    <mergeCell ref="N152:N153"/>
    <mergeCell ref="O152:O153"/>
    <mergeCell ref="L154:L155"/>
    <mergeCell ref="N154:N155"/>
    <mergeCell ref="O154:O155"/>
    <mergeCell ref="K146:K147"/>
    <mergeCell ref="M210:M211"/>
    <mergeCell ref="N210:N211"/>
    <mergeCell ref="O210:O211"/>
    <mergeCell ref="I212:I215"/>
    <mergeCell ref="J212:J215"/>
    <mergeCell ref="K212:K213"/>
    <mergeCell ref="N196:N197"/>
    <mergeCell ref="O196:O197"/>
    <mergeCell ref="K182:K183"/>
    <mergeCell ref="L198:L199"/>
    <mergeCell ref="N198:N199"/>
    <mergeCell ref="O198:O199"/>
    <mergeCell ref="K192:K193"/>
    <mergeCell ref="L200:L201"/>
    <mergeCell ref="N200:N201"/>
    <mergeCell ref="O200:O201"/>
    <mergeCell ref="M182:M183"/>
    <mergeCell ref="L192:L193"/>
    <mergeCell ref="N192:N193"/>
    <mergeCell ref="O192:O193"/>
    <mergeCell ref="L194:L195"/>
    <mergeCell ref="N194:N195"/>
    <mergeCell ref="O194:O195"/>
    <mergeCell ref="K184:K185"/>
    <mergeCell ref="L184:L185"/>
    <mergeCell ref="M184:M185"/>
    <mergeCell ref="O178:O179"/>
    <mergeCell ref="K172:K173"/>
    <mergeCell ref="L180:L181"/>
    <mergeCell ref="N180:N181"/>
    <mergeCell ref="O180:O181"/>
    <mergeCell ref="K174:K175"/>
    <mergeCell ref="L182:L183"/>
    <mergeCell ref="N182:N183"/>
    <mergeCell ref="O182:O183"/>
    <mergeCell ref="M174:M175"/>
    <mergeCell ref="L174:L175"/>
    <mergeCell ref="N174:N175"/>
    <mergeCell ref="O174:O175"/>
    <mergeCell ref="L176:L177"/>
    <mergeCell ref="N176:N177"/>
    <mergeCell ref="O176:O177"/>
    <mergeCell ref="M168:M169"/>
    <mergeCell ref="J100:J103"/>
    <mergeCell ref="N86:N87"/>
    <mergeCell ref="O84:O85"/>
    <mergeCell ref="K78:K79"/>
    <mergeCell ref="L78:L79"/>
    <mergeCell ref="N78:N79"/>
    <mergeCell ref="O78:O79"/>
    <mergeCell ref="K80:K81"/>
    <mergeCell ref="L80:L81"/>
    <mergeCell ref="L146:L147"/>
    <mergeCell ref="N146:N147"/>
    <mergeCell ref="O146:O147"/>
    <mergeCell ref="K148:K149"/>
    <mergeCell ref="L148:L149"/>
    <mergeCell ref="N148:N149"/>
    <mergeCell ref="O148:O149"/>
    <mergeCell ref="M154:M155"/>
    <mergeCell ref="N104:N105"/>
    <mergeCell ref="O104:O105"/>
    <mergeCell ref="M106:M107"/>
    <mergeCell ref="N132:N133"/>
    <mergeCell ref="O132:O133"/>
    <mergeCell ref="K124:K125"/>
    <mergeCell ref="K104:K105"/>
    <mergeCell ref="L104:L105"/>
    <mergeCell ref="M104:M105"/>
    <mergeCell ref="L126:L127"/>
    <mergeCell ref="N126:N127"/>
    <mergeCell ref="K112:K113"/>
    <mergeCell ref="L112:L113"/>
    <mergeCell ref="M112:M113"/>
    <mergeCell ref="N112:N113"/>
    <mergeCell ref="O110:O111"/>
    <mergeCell ref="K120:K121"/>
    <mergeCell ref="L106:L107"/>
    <mergeCell ref="N106:N107"/>
    <mergeCell ref="O106:O107"/>
    <mergeCell ref="K108:K109"/>
    <mergeCell ref="L108:L109"/>
    <mergeCell ref="N108:N109"/>
    <mergeCell ref="O108:O109"/>
    <mergeCell ref="N72:N73"/>
    <mergeCell ref="O72:O73"/>
    <mergeCell ref="K74:K75"/>
    <mergeCell ref="L74:L75"/>
    <mergeCell ref="N74:N75"/>
    <mergeCell ref="O74:O75"/>
    <mergeCell ref="M72:M73"/>
    <mergeCell ref="M74:M75"/>
    <mergeCell ref="N82:N83"/>
    <mergeCell ref="O82:O83"/>
    <mergeCell ref="K84:K85"/>
    <mergeCell ref="K72:K73"/>
    <mergeCell ref="M78:M79"/>
    <mergeCell ref="O112:O113"/>
    <mergeCell ref="L116:L117"/>
    <mergeCell ref="M116:M117"/>
    <mergeCell ref="N116:N117"/>
    <mergeCell ref="O116:O117"/>
    <mergeCell ref="K118:K119"/>
    <mergeCell ref="L118:L119"/>
    <mergeCell ref="M118:M119"/>
    <mergeCell ref="N118:N119"/>
    <mergeCell ref="K114:K115"/>
    <mergeCell ref="I64:I67"/>
    <mergeCell ref="J64:J67"/>
    <mergeCell ref="K64:K65"/>
    <mergeCell ref="L64:L65"/>
    <mergeCell ref="M64:M65"/>
    <mergeCell ref="N64:N65"/>
    <mergeCell ref="O64:O65"/>
    <mergeCell ref="K66:K67"/>
    <mergeCell ref="L66:L67"/>
    <mergeCell ref="M66:M67"/>
    <mergeCell ref="N66:N67"/>
    <mergeCell ref="O66:O67"/>
    <mergeCell ref="N68:N69"/>
    <mergeCell ref="O68:O69"/>
    <mergeCell ref="K70:K71"/>
    <mergeCell ref="L70:L71"/>
    <mergeCell ref="M70:M71"/>
    <mergeCell ref="N70:N71"/>
    <mergeCell ref="O70:O71"/>
    <mergeCell ref="I60:I63"/>
    <mergeCell ref="K36:K37"/>
    <mergeCell ref="L36:L37"/>
    <mergeCell ref="N36:N37"/>
    <mergeCell ref="O36:O37"/>
    <mergeCell ref="K38:K39"/>
    <mergeCell ref="L38:L39"/>
    <mergeCell ref="N38:N39"/>
    <mergeCell ref="O38:O39"/>
    <mergeCell ref="K32:K33"/>
    <mergeCell ref="L32:L33"/>
    <mergeCell ref="N32:N33"/>
    <mergeCell ref="O32:O33"/>
    <mergeCell ref="K34:K35"/>
    <mergeCell ref="L34:L35"/>
    <mergeCell ref="N34:N35"/>
    <mergeCell ref="O34:O35"/>
    <mergeCell ref="I36:I39"/>
    <mergeCell ref="I32:I35"/>
    <mergeCell ref="J32:J35"/>
    <mergeCell ref="J36:J39"/>
    <mergeCell ref="M32:M33"/>
    <mergeCell ref="M34:M35"/>
    <mergeCell ref="M36:M37"/>
    <mergeCell ref="M38:M39"/>
    <mergeCell ref="M48:M49"/>
    <mergeCell ref="L40:L41"/>
    <mergeCell ref="M40:M41"/>
    <mergeCell ref="N40:N41"/>
    <mergeCell ref="O40:O41"/>
    <mergeCell ref="K42:K43"/>
    <mergeCell ref="J56:J59"/>
    <mergeCell ref="U6:X6"/>
    <mergeCell ref="I8:I11"/>
    <mergeCell ref="J8:J11"/>
    <mergeCell ref="K8:K9"/>
    <mergeCell ref="A1:S1"/>
    <mergeCell ref="L3:S3"/>
    <mergeCell ref="B6:B7"/>
    <mergeCell ref="C6:C7"/>
    <mergeCell ref="D6:D7"/>
    <mergeCell ref="F6:F7"/>
    <mergeCell ref="G6:G7"/>
    <mergeCell ref="H6:H7"/>
    <mergeCell ref="I6:I7"/>
    <mergeCell ref="J6:J7"/>
    <mergeCell ref="N8:N9"/>
    <mergeCell ref="O8:O9"/>
    <mergeCell ref="K10:K11"/>
    <mergeCell ref="L10:L11"/>
    <mergeCell ref="N10:N11"/>
    <mergeCell ref="O10:O11"/>
    <mergeCell ref="K6:K7"/>
    <mergeCell ref="P6:S6"/>
    <mergeCell ref="L8:L9"/>
    <mergeCell ref="F8:F31"/>
    <mergeCell ref="G8:G31"/>
    <mergeCell ref="H8:H31"/>
    <mergeCell ref="I20:I23"/>
    <mergeCell ref="N28:N29"/>
    <mergeCell ref="O28:O29"/>
    <mergeCell ref="M30:M31"/>
    <mergeCell ref="N30:N31"/>
    <mergeCell ref="E6:E7"/>
    <mergeCell ref="M142:M143"/>
    <mergeCell ref="N142:N143"/>
    <mergeCell ref="K46:K47"/>
    <mergeCell ref="L46:L47"/>
    <mergeCell ref="M46:M47"/>
    <mergeCell ref="N46:N47"/>
    <mergeCell ref="O46:O47"/>
    <mergeCell ref="K54:K55"/>
    <mergeCell ref="J60:J63"/>
    <mergeCell ref="K60:K61"/>
    <mergeCell ref="N48:N49"/>
    <mergeCell ref="O48:O49"/>
    <mergeCell ref="M50:M51"/>
    <mergeCell ref="M52:M53"/>
    <mergeCell ref="M54:M55"/>
    <mergeCell ref="L48:L49"/>
    <mergeCell ref="L54:L55"/>
    <mergeCell ref="N54:N55"/>
    <mergeCell ref="O54:O55"/>
    <mergeCell ref="K56:K57"/>
    <mergeCell ref="M56:M57"/>
    <mergeCell ref="L60:L61"/>
    <mergeCell ref="N60:N61"/>
    <mergeCell ref="O60:O61"/>
    <mergeCell ref="K62:K63"/>
    <mergeCell ref="L62:L63"/>
    <mergeCell ref="N62:N63"/>
    <mergeCell ref="O62:O63"/>
    <mergeCell ref="N80:N81"/>
    <mergeCell ref="O80:O81"/>
    <mergeCell ref="N76:N77"/>
    <mergeCell ref="O76:O77"/>
    <mergeCell ref="M170:M171"/>
    <mergeCell ref="M172:M173"/>
    <mergeCell ref="O118:O119"/>
    <mergeCell ref="I128:I131"/>
    <mergeCell ref="J128:J131"/>
    <mergeCell ref="L120:L121"/>
    <mergeCell ref="N120:N121"/>
    <mergeCell ref="O120:O121"/>
    <mergeCell ref="K156:K157"/>
    <mergeCell ref="M156:M157"/>
    <mergeCell ref="L156:L157"/>
    <mergeCell ref="N156:N157"/>
    <mergeCell ref="O156:O157"/>
    <mergeCell ref="N122:N123"/>
    <mergeCell ref="O122:O123"/>
    <mergeCell ref="M124:M125"/>
    <mergeCell ref="M126:M127"/>
    <mergeCell ref="N134:N135"/>
    <mergeCell ref="O134:O135"/>
    <mergeCell ref="N128:N129"/>
    <mergeCell ref="O128:O129"/>
    <mergeCell ref="L130:L131"/>
    <mergeCell ref="L124:L125"/>
    <mergeCell ref="N124:N125"/>
    <mergeCell ref="O124:O125"/>
    <mergeCell ref="K126:K127"/>
    <mergeCell ref="N130:N131"/>
    <mergeCell ref="O130:O131"/>
    <mergeCell ref="L132:L133"/>
    <mergeCell ref="M132:M133"/>
    <mergeCell ref="M134:M135"/>
    <mergeCell ref="L142:L143"/>
    <mergeCell ref="M160:M161"/>
    <mergeCell ref="N160:N161"/>
    <mergeCell ref="O160:O161"/>
    <mergeCell ref="K162:K163"/>
    <mergeCell ref="L188:L189"/>
    <mergeCell ref="M188:M189"/>
    <mergeCell ref="N188:N189"/>
    <mergeCell ref="O188:O189"/>
    <mergeCell ref="K190:K191"/>
    <mergeCell ref="N158:N159"/>
    <mergeCell ref="O158:O159"/>
    <mergeCell ref="N178:N179"/>
    <mergeCell ref="I164:I167"/>
    <mergeCell ref="J164:J167"/>
    <mergeCell ref="K164:K165"/>
    <mergeCell ref="L164:L165"/>
    <mergeCell ref="M164:M165"/>
    <mergeCell ref="N164:N165"/>
    <mergeCell ref="O164:O165"/>
    <mergeCell ref="K166:K167"/>
    <mergeCell ref="L166:L167"/>
    <mergeCell ref="M166:M167"/>
    <mergeCell ref="N166:N167"/>
    <mergeCell ref="O166:O167"/>
    <mergeCell ref="N170:N171"/>
    <mergeCell ref="O170:O171"/>
    <mergeCell ref="L172:L173"/>
    <mergeCell ref="N172:N173"/>
    <mergeCell ref="O172:O173"/>
    <mergeCell ref="N168:N169"/>
    <mergeCell ref="O168:O169"/>
    <mergeCell ref="K170:K171"/>
    <mergeCell ref="O256:O257"/>
    <mergeCell ref="K258:K259"/>
    <mergeCell ref="L258:L259"/>
    <mergeCell ref="J232:J235"/>
    <mergeCell ref="K232:K233"/>
    <mergeCell ref="L232:L233"/>
    <mergeCell ref="I236:I239"/>
    <mergeCell ref="N234:N235"/>
    <mergeCell ref="O234:O235"/>
    <mergeCell ref="K236:K237"/>
    <mergeCell ref="L236:L237"/>
    <mergeCell ref="M236:M237"/>
    <mergeCell ref="O142:O143"/>
    <mergeCell ref="L136:L137"/>
    <mergeCell ref="M136:M137"/>
    <mergeCell ref="L212:L213"/>
    <mergeCell ref="M212:M213"/>
    <mergeCell ref="N212:N213"/>
    <mergeCell ref="O212:O213"/>
    <mergeCell ref="K214:K215"/>
    <mergeCell ref="L214:L215"/>
    <mergeCell ref="M214:M215"/>
    <mergeCell ref="N214:N215"/>
    <mergeCell ref="O214:O215"/>
    <mergeCell ref="N190:N191"/>
    <mergeCell ref="O190:O191"/>
    <mergeCell ref="N162:N163"/>
    <mergeCell ref="O162:O163"/>
    <mergeCell ref="L158:L159"/>
    <mergeCell ref="L162:L163"/>
    <mergeCell ref="K160:K161"/>
    <mergeCell ref="L160:L161"/>
    <mergeCell ref="I280:I283"/>
    <mergeCell ref="J280:J283"/>
    <mergeCell ref="K280:K281"/>
    <mergeCell ref="L280:L281"/>
    <mergeCell ref="M280:M281"/>
    <mergeCell ref="N280:N281"/>
    <mergeCell ref="O280:O281"/>
    <mergeCell ref="K282:K283"/>
    <mergeCell ref="L282:L283"/>
    <mergeCell ref="M282:M283"/>
    <mergeCell ref="N282:N283"/>
    <mergeCell ref="O282:O283"/>
    <mergeCell ref="L216:L217"/>
    <mergeCell ref="N216:N217"/>
    <mergeCell ref="I260:I263"/>
    <mergeCell ref="J260:J263"/>
    <mergeCell ref="K260:K261"/>
    <mergeCell ref="L260:L261"/>
    <mergeCell ref="M260:M261"/>
    <mergeCell ref="N260:N261"/>
    <mergeCell ref="O260:O261"/>
    <mergeCell ref="K262:K263"/>
    <mergeCell ref="L262:L263"/>
    <mergeCell ref="M262:M263"/>
    <mergeCell ref="N262:N263"/>
    <mergeCell ref="O262:O263"/>
    <mergeCell ref="I256:I259"/>
    <mergeCell ref="J256:J259"/>
    <mergeCell ref="K256:K257"/>
    <mergeCell ref="L256:L257"/>
    <mergeCell ref="M256:M257"/>
    <mergeCell ref="N256:N257"/>
    <mergeCell ref="L308:L309"/>
    <mergeCell ref="M308:M309"/>
    <mergeCell ref="N308:N309"/>
    <mergeCell ref="O308:O309"/>
    <mergeCell ref="K310:K311"/>
    <mergeCell ref="L310:L311"/>
    <mergeCell ref="M310:M311"/>
    <mergeCell ref="N310:N311"/>
    <mergeCell ref="O310:O311"/>
    <mergeCell ref="I284:I287"/>
    <mergeCell ref="J284:J287"/>
    <mergeCell ref="K284:K285"/>
    <mergeCell ref="L284:L285"/>
    <mergeCell ref="M284:M285"/>
    <mergeCell ref="N284:N285"/>
    <mergeCell ref="O284:O285"/>
    <mergeCell ref="K286:K287"/>
    <mergeCell ref="L286:L287"/>
    <mergeCell ref="M286:M287"/>
    <mergeCell ref="N286:N287"/>
    <mergeCell ref="O286:O287"/>
    <mergeCell ref="B2:G2"/>
    <mergeCell ref="K332:K333"/>
    <mergeCell ref="L332:L333"/>
    <mergeCell ref="M332:M333"/>
    <mergeCell ref="N332:N333"/>
    <mergeCell ref="O332:O333"/>
    <mergeCell ref="K334:K335"/>
    <mergeCell ref="L334:L335"/>
    <mergeCell ref="M334:M335"/>
    <mergeCell ref="N334:N335"/>
    <mergeCell ref="O334:O335"/>
    <mergeCell ref="J328:J331"/>
    <mergeCell ref="K328:K329"/>
    <mergeCell ref="L328:L329"/>
    <mergeCell ref="M328:M329"/>
    <mergeCell ref="N328:N329"/>
    <mergeCell ref="O328:O329"/>
    <mergeCell ref="K330:K331"/>
    <mergeCell ref="L330:L331"/>
    <mergeCell ref="M330:M331"/>
    <mergeCell ref="N330:N331"/>
    <mergeCell ref="O330:O331"/>
    <mergeCell ref="N304:N305"/>
    <mergeCell ref="O304:O305"/>
    <mergeCell ref="K306:K307"/>
    <mergeCell ref="L306:L307"/>
    <mergeCell ref="M306:M307"/>
    <mergeCell ref="N306:N307"/>
    <mergeCell ref="O306:O307"/>
    <mergeCell ref="I308:I311"/>
    <mergeCell ref="J308:J311"/>
    <mergeCell ref="K308:K309"/>
  </mergeCells>
  <conditionalFormatting sqref="L8:L343">
    <cfRule type="cellIs" dxfId="43" priority="56" operator="lessThan">
      <formula>$L$4</formula>
    </cfRule>
  </conditionalFormatting>
  <conditionalFormatting sqref="L8:S343">
    <cfRule type="cellIs" dxfId="42" priority="38" operator="greaterThanOrEqual">
      <formula>10000</formula>
    </cfRule>
    <cfRule type="cellIs" dxfId="41" priority="39" operator="between">
      <formula>9999.999</formula>
      <formula>10</formula>
    </cfRule>
    <cfRule type="cellIs" dxfId="40" priority="40" operator="between">
      <formula>0.9999</formula>
      <formula>0.1</formula>
    </cfRule>
    <cfRule type="cellIs" dxfId="39" priority="41" operator="between">
      <formula>9.999</formula>
      <formula>1</formula>
    </cfRule>
    <cfRule type="cellIs" dxfId="38" priority="42" operator="lessThan">
      <formula>0.1</formula>
    </cfRule>
  </conditionalFormatting>
  <conditionalFormatting sqref="M8:M343">
    <cfRule type="cellIs" dxfId="37" priority="55" operator="lessThan">
      <formula>$M$4</formula>
    </cfRule>
  </conditionalFormatting>
  <conditionalFormatting sqref="N8:N343">
    <cfRule type="cellIs" dxfId="36" priority="54" operator="lessThan">
      <formula>$N$4</formula>
    </cfRule>
  </conditionalFormatting>
  <conditionalFormatting sqref="O8:O343">
    <cfRule type="cellIs" dxfId="35" priority="50" operator="greaterThan">
      <formula>$O$4</formula>
    </cfRule>
  </conditionalFormatting>
  <conditionalFormatting sqref="P8:P343">
    <cfRule type="cellIs" dxfId="34" priority="53" operator="lessThan">
      <formula>$P$4</formula>
    </cfRule>
  </conditionalFormatting>
  <conditionalFormatting sqref="Q8:Q343">
    <cfRule type="cellIs" dxfId="33" priority="52" operator="lessThan">
      <formula>$Q$4</formula>
    </cfRule>
  </conditionalFormatting>
  <conditionalFormatting sqref="R8:R343">
    <cfRule type="cellIs" dxfId="32" priority="51" operator="lessThan">
      <formula>$R$4</formula>
    </cfRule>
  </conditionalFormatting>
  <conditionalFormatting sqref="S8:S343">
    <cfRule type="cellIs" dxfId="31" priority="49" operator="greaterThan">
      <formula>$S$4</formula>
    </cfRule>
  </conditionalFormatting>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43" operator="containsText" id="{2CE79ECB-3752-477A-A3DB-2D443E46015A}">
            <xm:f>NOT(ISERROR(SEARCH($O$16,O8)))</xm:f>
            <xm:f>$O$16</xm:f>
            <x14:dxf>
              <font>
                <b val="0"/>
                <i val="0"/>
              </font>
              <numFmt numFmtId="166" formatCode="0.0E+00"/>
              <fill>
                <patternFill patternType="none">
                  <bgColor auto="1"/>
                </patternFill>
              </fill>
            </x14:dxf>
          </x14:cfRule>
          <xm:sqref>O8:O343</xm:sqref>
        </x14:conditionalFormatting>
        <x14:conditionalFormatting xmlns:xm="http://schemas.microsoft.com/office/excel/2006/main">
          <x14:cfRule type="containsText" priority="1" operator="containsText" id="{DFC0162D-48E4-4A96-AD00-AE0A606CCA9D}">
            <xm:f>NOT(ISERROR(SEARCH("--",S8)))</xm:f>
            <xm:f>"--"</xm:f>
            <x14:dxf>
              <font>
                <b val="0"/>
                <i val="0"/>
              </font>
              <numFmt numFmtId="166" formatCode="0.0E+00"/>
              <fill>
                <patternFill patternType="none">
                  <bgColor auto="1"/>
                </patternFill>
              </fill>
            </x14:dxf>
          </x14:cfRule>
          <x14:cfRule type="containsText" priority="2" operator="containsText" id="{C991114D-50A1-48F3-AAC4-D6A5BA0D1F54}">
            <xm:f>NOT(ISERROR(SEARCH("(PF 20)",S8)))</xm:f>
            <xm:f>"(PF 20)"</xm:f>
            <x14:dxf>
              <font>
                <b val="0"/>
                <i val="0"/>
              </font>
              <numFmt numFmtId="166" formatCode="0.0E+00"/>
              <fill>
                <patternFill patternType="none">
                  <bgColor auto="1"/>
                </patternFill>
              </fill>
            </x14:dxf>
          </x14:cfRule>
          <x14:cfRule type="containsText" priority="3" operator="containsText" id="{BCAEC3C9-53B5-4837-B970-0D7459C3D7D6}">
            <xm:f>NOT(ISERROR(SEARCH("(PF 10)",S8)))</xm:f>
            <xm:f>"(PF 10)"</xm:f>
            <x14:dxf>
              <font>
                <b val="0"/>
                <i val="0"/>
              </font>
              <numFmt numFmtId="166" formatCode="0.0E+00"/>
              <fill>
                <patternFill patternType="none">
                  <bgColor auto="1"/>
                </patternFill>
              </fill>
            </x14:dxf>
          </x14:cfRule>
          <x14:cfRule type="containsText" priority="4" operator="containsText" id="{6F828B84-1D88-4870-B367-881EB6FD6731}">
            <xm:f>NOT(ISERROR(SEARCH("(PF 5)",S8)))</xm:f>
            <xm:f>"(PF 5)"</xm:f>
            <x14:dxf>
              <font>
                <b val="0"/>
                <i val="0"/>
              </font>
              <numFmt numFmtId="166" formatCode="0.0E+00"/>
              <fill>
                <patternFill patternType="none">
                  <bgColor auto="1"/>
                </patternFill>
              </fill>
            </x14:dxf>
          </x14:cfRule>
          <x14:cfRule type="containsText" priority="35" operator="containsText" id="{764CCBC5-04E3-4905-AE21-3993C97C57D8}">
            <xm:f>NOT(ISERROR(SEARCH("(APF 50)",S8)))</xm:f>
            <xm:f>"(APF 50)"</xm:f>
            <x14:dxf>
              <font>
                <b val="0"/>
                <i val="0"/>
              </font>
              <numFmt numFmtId="166" formatCode="0.0E+00"/>
              <fill>
                <patternFill patternType="none">
                  <bgColor auto="1"/>
                </patternFill>
              </fill>
            </x14:dxf>
          </x14:cfRule>
          <x14:cfRule type="containsText" priority="36" operator="containsText" id="{F2FC8BC8-1C86-4BDE-83AD-D3ABEB6FEDF5}">
            <xm:f>NOT(ISERROR(SEARCH("(APF 25)",S8)))</xm:f>
            <xm:f>"(APF 25)"</xm:f>
            <x14:dxf>
              <font>
                <b val="0"/>
                <i val="0"/>
              </font>
              <numFmt numFmtId="166" formatCode="0.0E+00"/>
              <fill>
                <patternFill patternType="none">
                  <bgColor auto="1"/>
                </patternFill>
              </fill>
            </x14:dxf>
          </x14:cfRule>
          <x14:cfRule type="containsText" priority="37" operator="containsText" id="{64B65A23-1DDA-4C2B-BAFD-441CEB86D431}">
            <xm:f>NOT(ISERROR(SEARCH("(APF 10)",S8)))</xm:f>
            <xm:f>"(APF 10)"</xm:f>
            <x14:dxf>
              <font>
                <b val="0"/>
                <i val="0"/>
              </font>
              <numFmt numFmtId="166" formatCode="0.0E+00"/>
              <fill>
                <patternFill patternType="none">
                  <bgColor auto="1"/>
                </patternFill>
              </fill>
            </x14:dxf>
          </x14:cfRule>
          <x14:cfRule type="containsText" priority="45" operator="containsText" id="{CBD07A43-FB8E-4825-B05C-67D721CDF6D8}">
            <xm:f>NOT(ISERROR(SEARCH($S$25,S8)))</xm:f>
            <xm:f>$S$25</xm:f>
            <x14:dxf>
              <font>
                <b val="0"/>
                <i val="0"/>
              </font>
              <numFmt numFmtId="166" formatCode="0.0E+00"/>
              <fill>
                <patternFill patternType="none">
                  <bgColor auto="1"/>
                </patternFill>
              </fill>
            </x14:dxf>
          </x14:cfRule>
          <x14:cfRule type="containsText" priority="46" operator="containsText" id="{A8CF0780-22A0-4A75-A695-41E4837208D9}">
            <xm:f>NOT(ISERROR(SEARCH($S$16,S8)))</xm:f>
            <xm:f>$S$16</xm:f>
            <x14:dxf>
              <font>
                <b val="0"/>
                <i val="0"/>
              </font>
              <numFmt numFmtId="166" formatCode="0.0E+00"/>
              <fill>
                <patternFill patternType="none">
                  <bgColor auto="1"/>
                </patternFill>
              </fill>
            </x14:dxf>
          </x14:cfRule>
          <x14:cfRule type="containsText" priority="47" operator="containsText" id="{151717DC-BF21-4B11-93C5-841A13CDA056}">
            <xm:f>NOT(ISERROR(SEARCH($S$9,S8)))</xm:f>
            <xm:f>$S$9</xm:f>
            <x14:dxf>
              <font>
                <b val="0"/>
                <i val="0"/>
              </font>
              <numFmt numFmtId="166" formatCode="0.0E+00"/>
              <fill>
                <patternFill patternType="none">
                  <bgColor auto="1"/>
                </patternFill>
              </fill>
            </x14:dxf>
          </x14:cfRule>
          <xm:sqref>S8:S343</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3495BA4D-5C6E-439F-9D38-3191E8CC94FE}">
          <x14:formula1>
            <xm:f>'List Values'!$E$17:$E$19</xm:f>
          </x14:formula1>
          <xm:sqref>U8:X8 U10:X10 U12:X12 U14:X14 U32:X32 U34:X34 U36:X36 U38:X38 U56:X56 U58:X58 U60:X60 U62:X62 U80:X80 U82:X82 U84:X84 U86:X86 U104:X104 U106:X106 U108:X108 U110:X110 U128:X128 U130:X130 U132:X132 U134:X134 U152:X152 U154:X154 U156:X156 U158:X158 U176:X176 U178:X178 U180:X180 U182:X182 U200:X200 U202:X202 U204:X204 U206:X206 U224:X224 U226:X226 U228:X228 U230:X230 U248:X248 U250:X250 U252:X252 U254:X254 U272:X272 U274:X274 U276:X276 U278:X278 U296:X296 U298:X298 U300:X300 U302:X302 U320:X320 U322:X322 U324:X324 U326:X326</xm:sqref>
        </x14:dataValidation>
        <x14:dataValidation type="list" allowBlank="1" showInputMessage="1" showErrorMessage="1" xr:uid="{65FC46F4-E67D-44E7-B126-EAEB3E8D85FA}">
          <x14:formula1>
            <xm:f>'List Values'!$H$3:$H$5</xm:f>
          </x14:formula1>
          <xm:sqref>U24:X24 U26:X26 U28:X28 U30:X30 U48:X48 U50:X50 U52:X52 U54:X54 U72:X72 U74:X74 U76:X76 U78:X78 U96:X96 U98:X98 U100:X100 U102:X102 U120:X120 U122:X122 U124:X124 U126:X126 U144:X144 U146:X146 U148:X148 U150:X150 U168:X168 U170:X170 U172:X172 U174:X174 U192:X192 U194:X194 U196:X196 U198:X198 U216:X216 U218:X218 U220:X220 U222:X222 U240:X240 U242:X242 U244:X244 U246:X246 U264:X264 U266:X266 U268:X268 U270:X270 U288:X288 U290:X290 U292:X292 U294:X294 U336:X336 U338:X338 U340:X340 U342:X342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DFA29-5DDB-4018-BDB5-BC28E8281DEA}">
  <sheetPr>
    <tabColor theme="0" tint="-0.499984740745262"/>
  </sheetPr>
  <dimension ref="A1:AR79"/>
  <sheetViews>
    <sheetView topLeftCell="A2" zoomScaleNormal="100" workbookViewId="0">
      <selection activeCell="C10" sqref="C10"/>
    </sheetView>
  </sheetViews>
  <sheetFormatPr defaultColWidth="9.33203125" defaultRowHeight="13.8" x14ac:dyDescent="0.3"/>
  <cols>
    <col min="1" max="1" width="10.109375" style="18" customWidth="1"/>
    <col min="2" max="2" width="15.33203125" style="18" customWidth="1"/>
    <col min="3" max="3" width="75.21875" style="15" bestFit="1" customWidth="1"/>
    <col min="4" max="4" width="25.33203125" style="18" customWidth="1"/>
    <col min="5" max="5" width="47.5546875" style="15" customWidth="1"/>
    <col min="6" max="6" width="52.109375" style="18" customWidth="1"/>
    <col min="7" max="28" width="19.6640625" style="18" customWidth="1"/>
    <col min="29" max="29" width="11.5546875" style="15" customWidth="1"/>
    <col min="30" max="30" width="19.44140625" style="15" bestFit="1" customWidth="1"/>
    <col min="31" max="31" width="27.44140625" style="18" customWidth="1"/>
    <col min="32" max="32" width="19.33203125" style="18" customWidth="1"/>
    <col min="33" max="33" width="21" style="18" customWidth="1"/>
    <col min="34" max="34" width="27.44140625" style="18" bestFit="1" customWidth="1"/>
    <col min="35" max="35" width="16.5546875" style="18" customWidth="1"/>
    <col min="36" max="36" width="56.33203125" style="18" customWidth="1"/>
    <col min="37" max="37" width="19.44140625" style="18" customWidth="1"/>
    <col min="38" max="38" width="10" style="18" bestFit="1" customWidth="1"/>
    <col min="39" max="39" width="19.44140625" style="18" customWidth="1"/>
    <col min="40" max="40" width="17.44140625" style="18" customWidth="1"/>
    <col min="41" max="41" width="9.33203125" style="18"/>
    <col min="42" max="42" width="72.5546875" style="18" customWidth="1"/>
    <col min="43" max="43" width="23.5546875" style="18" customWidth="1"/>
    <col min="44" max="46" width="9.33203125" style="18"/>
    <col min="47" max="47" width="52.44140625" style="18" bestFit="1" customWidth="1"/>
    <col min="48" max="48" width="10.5546875" style="18" customWidth="1"/>
    <col min="49" max="54" width="9.33203125" style="18"/>
    <col min="55" max="55" width="72.5546875" style="18" bestFit="1" customWidth="1"/>
    <col min="56" max="56" width="14.44140625" style="18" bestFit="1" customWidth="1"/>
    <col min="57" max="16384" width="9.33203125" style="18"/>
  </cols>
  <sheetData>
    <row r="1" spans="1:44" ht="15" hidden="1" customHeight="1" x14ac:dyDescent="0.3">
      <c r="A1" s="434"/>
      <c r="B1" s="78"/>
      <c r="C1" s="75"/>
      <c r="D1" s="75"/>
      <c r="E1" s="431"/>
      <c r="F1" s="183"/>
      <c r="G1" s="628" t="s">
        <v>209</v>
      </c>
      <c r="H1" s="629"/>
      <c r="I1" s="632" t="s">
        <v>210</v>
      </c>
      <c r="J1" s="632"/>
      <c r="K1" s="633" t="s">
        <v>211</v>
      </c>
      <c r="L1" s="634"/>
      <c r="M1" s="332"/>
      <c r="N1" s="332"/>
      <c r="O1" s="632" t="s">
        <v>33</v>
      </c>
      <c r="P1" s="632"/>
      <c r="Q1" s="331"/>
      <c r="R1" s="331"/>
      <c r="S1" s="632" t="s">
        <v>34</v>
      </c>
      <c r="T1" s="632"/>
      <c r="U1" s="331"/>
      <c r="V1" s="331"/>
      <c r="W1" s="331"/>
      <c r="X1" s="331"/>
      <c r="Y1" s="331"/>
      <c r="Z1" s="331"/>
      <c r="AA1" s="331"/>
      <c r="AB1" s="331"/>
      <c r="AC1" s="76"/>
      <c r="AD1" s="331"/>
      <c r="AE1" s="75"/>
      <c r="AF1" s="77"/>
      <c r="AG1" s="46"/>
    </row>
    <row r="2" spans="1:44" s="422" customFormat="1" x14ac:dyDescent="0.3">
      <c r="A2" s="626" t="s">
        <v>212</v>
      </c>
      <c r="B2" s="435"/>
      <c r="C2" s="417"/>
      <c r="D2" s="417"/>
      <c r="E2" s="432"/>
      <c r="F2" s="418"/>
      <c r="G2" s="630" t="s">
        <v>213</v>
      </c>
      <c r="H2" s="631"/>
      <c r="I2" s="627" t="s">
        <v>40</v>
      </c>
      <c r="J2" s="627"/>
      <c r="K2" s="635" t="s">
        <v>214</v>
      </c>
      <c r="L2" s="636"/>
      <c r="M2" s="635" t="s">
        <v>215</v>
      </c>
      <c r="N2" s="636"/>
      <c r="O2" s="627" t="s">
        <v>216</v>
      </c>
      <c r="P2" s="627"/>
      <c r="Q2" s="627" t="s">
        <v>217</v>
      </c>
      <c r="R2" s="627"/>
      <c r="S2" s="627" t="s">
        <v>218</v>
      </c>
      <c r="T2" s="627"/>
      <c r="U2" s="627" t="s">
        <v>219</v>
      </c>
      <c r="V2" s="627"/>
      <c r="W2" s="635" t="s">
        <v>220</v>
      </c>
      <c r="X2" s="636"/>
      <c r="Y2" s="627" t="s">
        <v>221</v>
      </c>
      <c r="Z2" s="627"/>
      <c r="AA2" s="627" t="s">
        <v>222</v>
      </c>
      <c r="AB2" s="627"/>
      <c r="AC2" s="419"/>
      <c r="AD2" s="420"/>
      <c r="AE2" s="417"/>
      <c r="AF2" s="421"/>
      <c r="AH2" s="423"/>
      <c r="AI2" s="423"/>
      <c r="AJ2" s="423"/>
      <c r="AK2" s="423"/>
      <c r="AL2" s="424"/>
      <c r="AM2" s="425"/>
      <c r="AO2" s="425"/>
      <c r="AP2" s="637"/>
      <c r="AQ2" s="637"/>
      <c r="AR2" s="638"/>
    </row>
    <row r="3" spans="1:44" s="422" customFormat="1" ht="27" customHeight="1" x14ac:dyDescent="0.3">
      <c r="A3" s="626"/>
      <c r="B3" s="436" t="s">
        <v>223</v>
      </c>
      <c r="C3" s="426" t="s">
        <v>12</v>
      </c>
      <c r="D3" s="426" t="s">
        <v>28</v>
      </c>
      <c r="E3" s="426" t="s">
        <v>13</v>
      </c>
      <c r="F3" s="426" t="s">
        <v>19</v>
      </c>
      <c r="G3" s="427" t="s">
        <v>51</v>
      </c>
      <c r="H3" s="427" t="s">
        <v>54</v>
      </c>
      <c r="I3" s="428" t="s">
        <v>51</v>
      </c>
      <c r="J3" s="428" t="s">
        <v>54</v>
      </c>
      <c r="K3" s="428" t="s">
        <v>51</v>
      </c>
      <c r="L3" s="428" t="s">
        <v>54</v>
      </c>
      <c r="M3" s="428" t="s">
        <v>51</v>
      </c>
      <c r="N3" s="428" t="s">
        <v>54</v>
      </c>
      <c r="O3" s="428" t="s">
        <v>51</v>
      </c>
      <c r="P3" s="428" t="s">
        <v>54</v>
      </c>
      <c r="Q3" s="428" t="s">
        <v>51</v>
      </c>
      <c r="R3" s="428" t="s">
        <v>54</v>
      </c>
      <c r="S3" s="428" t="s">
        <v>51</v>
      </c>
      <c r="T3" s="428" t="s">
        <v>54</v>
      </c>
      <c r="U3" s="428" t="s">
        <v>51</v>
      </c>
      <c r="V3" s="428" t="s">
        <v>54</v>
      </c>
      <c r="W3" s="428" t="s">
        <v>51</v>
      </c>
      <c r="X3" s="428" t="s">
        <v>54</v>
      </c>
      <c r="Y3" s="428" t="s">
        <v>51</v>
      </c>
      <c r="Z3" s="428" t="s">
        <v>54</v>
      </c>
      <c r="AA3" s="428" t="s">
        <v>51</v>
      </c>
      <c r="AB3" s="428" t="s">
        <v>54</v>
      </c>
      <c r="AC3" s="429" t="s">
        <v>224</v>
      </c>
      <c r="AD3" s="426" t="s">
        <v>225</v>
      </c>
      <c r="AE3" s="426" t="s">
        <v>226</v>
      </c>
      <c r="AF3" s="430" t="s">
        <v>227</v>
      </c>
      <c r="AH3" s="423"/>
      <c r="AI3" s="423"/>
      <c r="AJ3" s="423"/>
      <c r="AK3" s="423"/>
      <c r="AL3" s="424"/>
      <c r="AM3" s="423"/>
      <c r="AO3" s="423"/>
      <c r="AP3" s="637"/>
      <c r="AQ3" s="637"/>
      <c r="AR3" s="638"/>
    </row>
    <row r="4" spans="1:44" x14ac:dyDescent="0.3">
      <c r="A4" s="438" t="s">
        <v>228</v>
      </c>
      <c r="B4" s="437">
        <v>1</v>
      </c>
      <c r="C4" s="135" t="s">
        <v>23</v>
      </c>
      <c r="D4" s="50" t="s">
        <v>25</v>
      </c>
      <c r="E4" s="433" t="s">
        <v>24</v>
      </c>
      <c r="F4" s="135" t="s">
        <v>229</v>
      </c>
      <c r="G4" s="156">
        <v>7</v>
      </c>
      <c r="H4" s="156">
        <v>4</v>
      </c>
      <c r="I4" s="182">
        <v>4.0825649946066765E-2</v>
      </c>
      <c r="J4" s="182">
        <v>1.109496532300309E-2</v>
      </c>
      <c r="K4" s="182">
        <v>1.3608549982022254E-2</v>
      </c>
      <c r="L4" s="182">
        <v>3.6983217743343632E-3</v>
      </c>
      <c r="M4" s="182">
        <f>K4*('Exposure Factors'!$C$9/'Exposure Factors'!$C$10)</f>
        <v>2.7772550983718888E-2</v>
      </c>
      <c r="N4" s="182">
        <f>L4*('Exposure Factors'!$C$9/'Exposure Factors'!$C$10)</f>
        <v>7.5475954578252315E-3</v>
      </c>
      <c r="O4" s="182">
        <v>1.4978713998830008E-4</v>
      </c>
      <c r="P4" s="182">
        <v>4.3674341701187414E-5</v>
      </c>
      <c r="Q4" s="182">
        <f>O4*('Exposure Factors'!$C$9/'Exposure Factors'!$C$10)</f>
        <v>3.0568804079244915E-4</v>
      </c>
      <c r="R4" s="182">
        <f>P4*('Exposure Factors'!$C$9/'Exposure Factors'!$C$10)</f>
        <v>8.913130959426003E-5</v>
      </c>
      <c r="S4" s="182">
        <v>5.9754530732048381E-5</v>
      </c>
      <c r="T4" s="182">
        <v>1.6506385842635797E-5</v>
      </c>
      <c r="U4" s="182">
        <f>S4*('Exposure Factors'!$C$9/'Exposure Factors'!$C$10)</f>
        <v>1.2194802190213956E-4</v>
      </c>
      <c r="V4" s="182">
        <f>T4*('Exposure Factors'!$C$9/'Exposure Factors'!$C$10)</f>
        <v>3.3686501719664894E-5</v>
      </c>
      <c r="W4" s="156">
        <v>7</v>
      </c>
      <c r="X4" s="156">
        <v>4</v>
      </c>
      <c r="Y4" s="182">
        <v>1.8224102031909847E-3</v>
      </c>
      <c r="Z4" s="182">
        <v>5.3137115736444677E-4</v>
      </c>
      <c r="AA4" s="182">
        <f>Y4*('Exposure Factors'!$C$9/'Exposure Factors'!$C$10)</f>
        <v>3.719204496308132E-3</v>
      </c>
      <c r="AB4" s="182">
        <f>Z4*('Exposure Factors'!$C$9/'Exposure Factors'!$C$10)</f>
        <v>1.0844309333968303E-3</v>
      </c>
      <c r="AC4" s="37" t="s">
        <v>230</v>
      </c>
      <c r="AD4" s="37" t="s">
        <v>230</v>
      </c>
      <c r="AE4" s="73" t="s">
        <v>231</v>
      </c>
      <c r="AF4" s="243" t="s">
        <v>232</v>
      </c>
      <c r="AH4" s="36"/>
      <c r="AI4" s="36"/>
      <c r="AJ4" s="36"/>
      <c r="AK4" s="36"/>
      <c r="AL4" s="47"/>
      <c r="AM4" s="31"/>
      <c r="AO4" s="36"/>
      <c r="AP4" s="637"/>
      <c r="AQ4" s="637"/>
      <c r="AR4" s="638"/>
    </row>
    <row r="5" spans="1:44" x14ac:dyDescent="0.3">
      <c r="A5" s="438" t="s">
        <v>228</v>
      </c>
      <c r="B5" s="437">
        <v>1</v>
      </c>
      <c r="C5" s="135" t="s">
        <v>23</v>
      </c>
      <c r="D5" s="50" t="s">
        <v>298</v>
      </c>
      <c r="E5" s="433" t="s">
        <v>24</v>
      </c>
      <c r="F5" s="135" t="s">
        <v>229</v>
      </c>
      <c r="G5" s="156">
        <v>7</v>
      </c>
      <c r="H5" s="156">
        <v>4</v>
      </c>
      <c r="I5" s="182">
        <v>4.0825649946066765E-2</v>
      </c>
      <c r="J5" s="182">
        <v>1.109496532300309E-2</v>
      </c>
      <c r="K5" s="182">
        <v>1.3608549982022254E-2</v>
      </c>
      <c r="L5" s="182">
        <v>3.6983217743343632E-3</v>
      </c>
      <c r="M5" s="182">
        <f>K5*('Exposure Factors'!$C$9/'Exposure Factors'!$C$10)</f>
        <v>2.7772550983718888E-2</v>
      </c>
      <c r="N5" s="182">
        <f>L5*('Exposure Factors'!$C$9/'Exposure Factors'!$C$10)</f>
        <v>7.5475954578252315E-3</v>
      </c>
      <c r="O5" s="182">
        <v>1.4978713998830008E-4</v>
      </c>
      <c r="P5" s="182">
        <v>4.3674341701187414E-5</v>
      </c>
      <c r="Q5" s="182">
        <f>O5*('Exposure Factors'!$C$9/'Exposure Factors'!$C$10)</f>
        <v>3.0568804079244915E-4</v>
      </c>
      <c r="R5" s="182">
        <f>P5*('Exposure Factors'!$C$9/'Exposure Factors'!$C$10)</f>
        <v>8.913130959426003E-5</v>
      </c>
      <c r="S5" s="182">
        <v>5.9754530732048381E-5</v>
      </c>
      <c r="T5" s="182">
        <v>1.6506385842635797E-5</v>
      </c>
      <c r="U5" s="182">
        <f>S5*('Exposure Factors'!$C$9/'Exposure Factors'!$C$10)</f>
        <v>1.2194802190213956E-4</v>
      </c>
      <c r="V5" s="182">
        <f>T5*('Exposure Factors'!$C$9/'Exposure Factors'!$C$10)</f>
        <v>3.3686501719664894E-5</v>
      </c>
      <c r="W5" s="156">
        <v>7</v>
      </c>
      <c r="X5" s="156">
        <v>4</v>
      </c>
      <c r="Y5" s="182">
        <v>1.8224102031909847E-3</v>
      </c>
      <c r="Z5" s="182">
        <v>5.3137115736444677E-4</v>
      </c>
      <c r="AA5" s="182">
        <f>Y5*('Exposure Factors'!$C$9/'Exposure Factors'!$C$10)</f>
        <v>3.719204496308132E-3</v>
      </c>
      <c r="AB5" s="182">
        <f>Z5*('Exposure Factors'!$C$9/'Exposure Factors'!$C$10)</f>
        <v>1.0844309333968303E-3</v>
      </c>
      <c r="AC5" s="37" t="s">
        <v>230</v>
      </c>
      <c r="AD5" s="37" t="s">
        <v>230</v>
      </c>
      <c r="AE5" s="73" t="s">
        <v>231</v>
      </c>
      <c r="AF5" s="243" t="s">
        <v>232</v>
      </c>
      <c r="AH5" s="36"/>
      <c r="AI5" s="36"/>
      <c r="AJ5" s="36"/>
      <c r="AK5" s="36"/>
      <c r="AL5" s="47"/>
      <c r="AM5" s="31"/>
      <c r="AO5" s="36"/>
      <c r="AP5" s="329"/>
      <c r="AQ5" s="329"/>
      <c r="AR5" s="330"/>
    </row>
    <row r="6" spans="1:44" x14ac:dyDescent="0.3">
      <c r="A6" s="438" t="s">
        <v>228</v>
      </c>
      <c r="B6" s="437">
        <v>1</v>
      </c>
      <c r="C6" s="135" t="s">
        <v>23</v>
      </c>
      <c r="D6" s="50" t="s">
        <v>25</v>
      </c>
      <c r="E6" s="433" t="s">
        <v>117</v>
      </c>
      <c r="F6" s="135" t="s">
        <v>229</v>
      </c>
      <c r="G6" s="156">
        <v>68</v>
      </c>
      <c r="H6" s="156">
        <v>38</v>
      </c>
      <c r="I6" s="182">
        <v>4.0982377104296822E-2</v>
      </c>
      <c r="J6" s="182">
        <v>1.11351151987746E-2</v>
      </c>
      <c r="K6" s="182">
        <v>1.366079236809894E-2</v>
      </c>
      <c r="L6" s="182">
        <v>3.7117050662581999E-3</v>
      </c>
      <c r="M6" s="182">
        <f>K6*('Exposure Factors'!$C$9/'Exposure Factors'!$C$10)</f>
        <v>2.7879168098161104E-2</v>
      </c>
      <c r="N6" s="182">
        <f>L6*('Exposure Factors'!$C$9/'Exposure Factors'!$C$10)</f>
        <v>7.5749082984861221E-3</v>
      </c>
      <c r="O6" s="182">
        <v>1.3419943473967735E-3</v>
      </c>
      <c r="P6" s="182">
        <v>3.9176642756440878E-4</v>
      </c>
      <c r="Q6" s="182">
        <f>O6*('Exposure Factors'!$C$9/'Exposure Factors'!$C$10)</f>
        <v>2.7387639742791296E-3</v>
      </c>
      <c r="R6" s="182">
        <f>P6*('Exposure Factors'!$C$9/'Exposure Factors'!$C$10)</f>
        <v>7.9952332156001799E-4</v>
      </c>
      <c r="S6" s="182">
        <v>5.339427518828659E-4</v>
      </c>
      <c r="T6" s="182">
        <v>1.484151517937744E-4</v>
      </c>
      <c r="U6" s="182">
        <f>S6*('Exposure Factors'!$C$9/'Exposure Factors'!$C$10)</f>
        <v>1.0896790854752366E-3</v>
      </c>
      <c r="V6" s="182">
        <f>T6*('Exposure Factors'!$C$9/'Exposure Factors'!$C$10)</f>
        <v>3.0288806488525387E-4</v>
      </c>
      <c r="W6" s="156">
        <v>22</v>
      </c>
      <c r="X6" s="156">
        <v>22</v>
      </c>
      <c r="Y6" s="182">
        <v>1.0017914403272557E-2</v>
      </c>
      <c r="Z6" s="182">
        <v>2.7219170485893469E-3</v>
      </c>
      <c r="AA6" s="182">
        <f>Y6*('Exposure Factors'!$C$9/'Exposure Factors'!$C$10)</f>
        <v>2.0444723271984811E-2</v>
      </c>
      <c r="AB6" s="182">
        <f>Z6*('Exposure Factors'!$C$9/'Exposure Factors'!$C$10)</f>
        <v>5.5549327522231573E-3</v>
      </c>
      <c r="AC6" s="37" t="s">
        <v>230</v>
      </c>
      <c r="AD6" s="37" t="s">
        <v>230</v>
      </c>
      <c r="AE6" s="73" t="s">
        <v>231</v>
      </c>
      <c r="AF6" s="243" t="s">
        <v>232</v>
      </c>
      <c r="AH6" s="36"/>
      <c r="AI6" s="36"/>
      <c r="AJ6" s="36"/>
      <c r="AK6" s="36"/>
      <c r="AL6" s="47"/>
      <c r="AM6" s="31"/>
      <c r="AO6" s="36"/>
      <c r="AP6" s="329"/>
      <c r="AQ6" s="329"/>
      <c r="AR6" s="330"/>
    </row>
    <row r="7" spans="1:44" x14ac:dyDescent="0.3">
      <c r="A7" s="438" t="s">
        <v>228</v>
      </c>
      <c r="B7" s="437">
        <v>1</v>
      </c>
      <c r="C7" s="135" t="s">
        <v>23</v>
      </c>
      <c r="D7" s="50" t="s">
        <v>298</v>
      </c>
      <c r="E7" s="433" t="s">
        <v>117</v>
      </c>
      <c r="F7" s="135" t="s">
        <v>229</v>
      </c>
      <c r="G7" s="156">
        <v>68</v>
      </c>
      <c r="H7" s="156">
        <v>38</v>
      </c>
      <c r="I7" s="182">
        <v>4.0982377104296822E-2</v>
      </c>
      <c r="J7" s="182">
        <v>1.11351151987746E-2</v>
      </c>
      <c r="K7" s="182">
        <v>1.366079236809894E-2</v>
      </c>
      <c r="L7" s="182">
        <v>3.7117050662581999E-3</v>
      </c>
      <c r="M7" s="182">
        <f>K7*('Exposure Factors'!$C$9/'Exposure Factors'!$C$10)</f>
        <v>2.7879168098161104E-2</v>
      </c>
      <c r="N7" s="182">
        <f>L7*('Exposure Factors'!$C$9/'Exposure Factors'!$C$10)</f>
        <v>7.5749082984861221E-3</v>
      </c>
      <c r="O7" s="182">
        <v>1.3419943473967735E-3</v>
      </c>
      <c r="P7" s="182">
        <v>3.9176642756440878E-4</v>
      </c>
      <c r="Q7" s="182">
        <f>O7*('Exposure Factors'!$C$9/'Exposure Factors'!$C$10)</f>
        <v>2.7387639742791296E-3</v>
      </c>
      <c r="R7" s="182">
        <f>P7*('Exposure Factors'!$C$9/'Exposure Factors'!$C$10)</f>
        <v>7.9952332156001799E-4</v>
      </c>
      <c r="S7" s="182">
        <v>5.339427518828659E-4</v>
      </c>
      <c r="T7" s="182">
        <v>1.484151517937744E-4</v>
      </c>
      <c r="U7" s="182">
        <f>S7*('Exposure Factors'!$C$9/'Exposure Factors'!$C$10)</f>
        <v>1.0896790854752366E-3</v>
      </c>
      <c r="V7" s="182">
        <f>T7*('Exposure Factors'!$C$9/'Exposure Factors'!$C$10)</f>
        <v>3.0288806488525387E-4</v>
      </c>
      <c r="W7" s="156">
        <v>22</v>
      </c>
      <c r="X7" s="156">
        <v>22</v>
      </c>
      <c r="Y7" s="182">
        <v>1.0017914403272557E-2</v>
      </c>
      <c r="Z7" s="182">
        <v>2.7219170485893469E-3</v>
      </c>
      <c r="AA7" s="182">
        <f>Y7*('Exposure Factors'!$C$9/'Exposure Factors'!$C$10)</f>
        <v>2.0444723271984811E-2</v>
      </c>
      <c r="AB7" s="182">
        <f>Z7*('Exposure Factors'!$C$9/'Exposure Factors'!$C$10)</f>
        <v>5.5549327522231573E-3</v>
      </c>
      <c r="AC7" s="37" t="s">
        <v>230</v>
      </c>
      <c r="AD7" s="37" t="s">
        <v>230</v>
      </c>
      <c r="AE7" s="73" t="s">
        <v>231</v>
      </c>
      <c r="AF7" s="243" t="s">
        <v>232</v>
      </c>
      <c r="AH7" s="36"/>
      <c r="AI7" s="36"/>
      <c r="AJ7" s="36"/>
      <c r="AK7" s="36"/>
      <c r="AL7" s="47"/>
      <c r="AM7" s="31"/>
      <c r="AO7" s="36"/>
      <c r="AP7" s="329"/>
      <c r="AQ7" s="329"/>
      <c r="AR7" s="330"/>
    </row>
    <row r="8" spans="1:44" ht="14.4" x14ac:dyDescent="0.3">
      <c r="A8" s="438" t="s">
        <v>233</v>
      </c>
      <c r="B8" s="437" t="s">
        <v>120</v>
      </c>
      <c r="C8" s="135" t="s">
        <v>234</v>
      </c>
      <c r="D8" s="50" t="s">
        <v>25</v>
      </c>
      <c r="E8" s="433" t="s">
        <v>24</v>
      </c>
      <c r="F8" s="135" t="s">
        <v>229</v>
      </c>
      <c r="G8" s="156">
        <v>38</v>
      </c>
      <c r="H8" s="156">
        <v>6</v>
      </c>
      <c r="I8" s="182">
        <v>0.10395675656925076</v>
      </c>
      <c r="J8" s="182">
        <v>1.6546018872243499E-2</v>
      </c>
      <c r="K8" s="182">
        <v>3.4652252189750252E-2</v>
      </c>
      <c r="L8" s="182">
        <v>5.5153396240811585E-3</v>
      </c>
      <c r="M8" s="182">
        <f>K8*('Exposure Factors'!$C$9/'Exposure Factors'!$C$10)</f>
        <v>7.0718882019898469E-2</v>
      </c>
      <c r="N8" s="182">
        <f>L8*('Exposure Factors'!$C$9/'Exposure Factors'!$C$10)</f>
        <v>1.1255795151186038E-2</v>
      </c>
      <c r="O8" s="182">
        <v>3.9262532138964847E-4</v>
      </c>
      <c r="P8" s="182">
        <v>9.5178456639470312E-5</v>
      </c>
      <c r="Q8" s="182">
        <f>O8*('Exposure Factors'!$C$9/'Exposure Factors'!$C$10)</f>
        <v>8.0127616610132341E-4</v>
      </c>
      <c r="R8" s="182">
        <f>P8*('Exposure Factors'!$C$9/'Exposure Factors'!$C$10)</f>
        <v>1.9424174824381698E-4</v>
      </c>
      <c r="S8" s="182">
        <v>1.5544280897009758E-4</v>
      </c>
      <c r="T8" s="182">
        <v>3.5833891191753492E-5</v>
      </c>
      <c r="U8" s="182">
        <f>S8*('Exposure Factors'!$C$9/'Exposure Factors'!$C$10)</f>
        <v>3.1723022238795424E-4</v>
      </c>
      <c r="V8" s="182">
        <f>T8*('Exposure Factors'!$C$9/'Exposure Factors'!$C$10)</f>
        <v>7.3130390187252028E-5</v>
      </c>
      <c r="W8" s="156">
        <v>22</v>
      </c>
      <c r="X8" s="156">
        <v>6</v>
      </c>
      <c r="Y8" s="182">
        <v>4.5306658162189203E-3</v>
      </c>
      <c r="Z8" s="182">
        <v>1.0886104192973701E-3</v>
      </c>
      <c r="AA8" s="182">
        <f>Y8*('Exposure Factors'!$C$9/'Exposure Factors'!$C$10)</f>
        <v>9.2462567677937153E-3</v>
      </c>
      <c r="AB8" s="182">
        <f>Z8*('Exposure Factors'!$C$9/'Exposure Factors'!$C$10)</f>
        <v>2.2216539169334086E-3</v>
      </c>
      <c r="AC8" s="37" t="s">
        <v>230</v>
      </c>
      <c r="AD8" s="37" t="s">
        <v>230</v>
      </c>
      <c r="AE8" s="73" t="s">
        <v>231</v>
      </c>
      <c r="AF8" s="243" t="s">
        <v>232</v>
      </c>
      <c r="AG8" s="49"/>
      <c r="AH8" s="48"/>
      <c r="AI8" s="48"/>
      <c r="AJ8" s="48"/>
      <c r="AK8" s="30"/>
      <c r="AL8" s="32"/>
      <c r="AM8" s="33"/>
      <c r="AO8" s="33"/>
      <c r="AP8" s="32"/>
      <c r="AQ8" s="34"/>
      <c r="AR8" s="32"/>
    </row>
    <row r="9" spans="1:44" ht="14.4" x14ac:dyDescent="0.3">
      <c r="A9" s="438" t="s">
        <v>233</v>
      </c>
      <c r="B9" s="437" t="s">
        <v>120</v>
      </c>
      <c r="C9" s="135" t="s">
        <v>234</v>
      </c>
      <c r="D9" s="50" t="s">
        <v>298</v>
      </c>
      <c r="E9" s="433" t="s">
        <v>24</v>
      </c>
      <c r="F9" s="135" t="s">
        <v>229</v>
      </c>
      <c r="G9" s="156">
        <v>38</v>
      </c>
      <c r="H9" s="156">
        <v>6</v>
      </c>
      <c r="I9" s="182">
        <v>0.10395675656925076</v>
      </c>
      <c r="J9" s="182">
        <v>1.6546018872243499E-2</v>
      </c>
      <c r="K9" s="182">
        <v>3.4652252189750252E-2</v>
      </c>
      <c r="L9" s="182">
        <v>5.5153396240811585E-3</v>
      </c>
      <c r="M9" s="182">
        <f>K9*('Exposure Factors'!$C$9/'Exposure Factors'!$C$10)</f>
        <v>7.0718882019898469E-2</v>
      </c>
      <c r="N9" s="182">
        <f>L9*('Exposure Factors'!$C$9/'Exposure Factors'!$C$10)</f>
        <v>1.1255795151186038E-2</v>
      </c>
      <c r="O9" s="182">
        <v>3.9262532138964847E-4</v>
      </c>
      <c r="P9" s="182">
        <v>9.5178456639470312E-5</v>
      </c>
      <c r="Q9" s="182">
        <f>O9*('Exposure Factors'!$C$9/'Exposure Factors'!$C$10)</f>
        <v>8.0127616610132341E-4</v>
      </c>
      <c r="R9" s="182">
        <f>P9*('Exposure Factors'!$C$9/'Exposure Factors'!$C$10)</f>
        <v>1.9424174824381698E-4</v>
      </c>
      <c r="S9" s="182">
        <v>1.5544280897009758E-4</v>
      </c>
      <c r="T9" s="182">
        <v>3.5833891191753492E-5</v>
      </c>
      <c r="U9" s="182">
        <f>S9*('Exposure Factors'!$C$9/'Exposure Factors'!$C$10)</f>
        <v>3.1723022238795424E-4</v>
      </c>
      <c r="V9" s="182">
        <f>T9*('Exposure Factors'!$C$9/'Exposure Factors'!$C$10)</f>
        <v>7.3130390187252028E-5</v>
      </c>
      <c r="W9" s="156">
        <v>22</v>
      </c>
      <c r="X9" s="156">
        <v>6</v>
      </c>
      <c r="Y9" s="182">
        <v>4.5306658162189203E-3</v>
      </c>
      <c r="Z9" s="182">
        <v>1.0886104192973701E-3</v>
      </c>
      <c r="AA9" s="182">
        <f>Y9*('Exposure Factors'!$C$9/'Exposure Factors'!$C$10)</f>
        <v>9.2462567677937153E-3</v>
      </c>
      <c r="AB9" s="182">
        <f>Z9*('Exposure Factors'!$C$9/'Exposure Factors'!$C$10)</f>
        <v>2.2216539169334086E-3</v>
      </c>
      <c r="AC9" s="37" t="s">
        <v>230</v>
      </c>
      <c r="AD9" s="37" t="s">
        <v>230</v>
      </c>
      <c r="AE9" s="73" t="s">
        <v>231</v>
      </c>
      <c r="AF9" s="243" t="s">
        <v>232</v>
      </c>
      <c r="AG9" s="49"/>
      <c r="AH9" s="48"/>
      <c r="AI9" s="48"/>
      <c r="AJ9" s="48"/>
      <c r="AK9" s="30"/>
      <c r="AL9" s="32"/>
      <c r="AM9" s="33"/>
      <c r="AO9" s="33"/>
      <c r="AP9" s="32"/>
      <c r="AQ9" s="34"/>
      <c r="AR9" s="32"/>
    </row>
    <row r="10" spans="1:44" ht="14.4" x14ac:dyDescent="0.3">
      <c r="A10" s="438" t="s">
        <v>233</v>
      </c>
      <c r="B10" s="437" t="s">
        <v>120</v>
      </c>
      <c r="C10" s="135" t="s">
        <v>234</v>
      </c>
      <c r="D10" s="50" t="s">
        <v>25</v>
      </c>
      <c r="E10" s="433" t="s">
        <v>117</v>
      </c>
      <c r="F10" s="135" t="s">
        <v>229</v>
      </c>
      <c r="G10" s="156">
        <v>250</v>
      </c>
      <c r="H10" s="156">
        <v>57</v>
      </c>
      <c r="I10" s="182">
        <v>0.10922595465577721</v>
      </c>
      <c r="J10" s="182">
        <v>1.6718553995785205E-2</v>
      </c>
      <c r="K10" s="182">
        <v>3.6408651551925734E-2</v>
      </c>
      <c r="L10" s="182">
        <v>5.5728513319284016E-3</v>
      </c>
      <c r="M10" s="182">
        <f>K10*('Exposure Factors'!$C$9/'Exposure Factors'!$C$10)</f>
        <v>7.4303370514134159E-2</v>
      </c>
      <c r="N10" s="182">
        <f>L10*('Exposure Factors'!$C$9/'Exposure Factors'!$C$10)</f>
        <v>1.1373165983527351E-2</v>
      </c>
      <c r="O10" s="182">
        <v>3.4547082893905587E-3</v>
      </c>
      <c r="P10" s="182">
        <v>8.2874743470432387E-4</v>
      </c>
      <c r="Q10" s="182">
        <f>O10*('Exposure Factors'!$C$9/'Exposure Factors'!$C$10)</f>
        <v>7.0504250803888951E-3</v>
      </c>
      <c r="R10" s="182">
        <f>P10*('Exposure Factors'!$C$9/'Exposure Factors'!$C$10)</f>
        <v>1.6913212953149467E-3</v>
      </c>
      <c r="S10" s="182">
        <v>1.3704836611870062E-3</v>
      </c>
      <c r="T10" s="182">
        <v>3.1146314733450554E-4</v>
      </c>
      <c r="U10" s="182">
        <f>S10*('Exposure Factors'!$C$9/'Exposure Factors'!$C$10)</f>
        <v>2.7969054309938905E-3</v>
      </c>
      <c r="V10" s="182">
        <f>T10*('Exposure Factors'!$C$9/'Exposure Factors'!$C$10)</f>
        <v>6.3563907619286844E-4</v>
      </c>
      <c r="W10" s="156">
        <v>22</v>
      </c>
      <c r="X10" s="156">
        <v>22</v>
      </c>
      <c r="Y10" s="182">
        <v>2.1160428547568135E-2</v>
      </c>
      <c r="Z10" s="182">
        <v>3.7960270715202767E-3</v>
      </c>
      <c r="AA10" s="182">
        <f>Y10*('Exposure Factors'!$C$9/'Exposure Factors'!$C$10)</f>
        <v>4.3184548056261499E-2</v>
      </c>
      <c r="AB10" s="182">
        <f>Z10*('Exposure Factors'!$C$9/'Exposure Factors'!$C$10)</f>
        <v>7.746994023510769E-3</v>
      </c>
      <c r="AC10" s="37" t="s">
        <v>230</v>
      </c>
      <c r="AD10" s="37" t="s">
        <v>230</v>
      </c>
      <c r="AE10" s="73" t="s">
        <v>231</v>
      </c>
      <c r="AF10" s="243" t="s">
        <v>232</v>
      </c>
      <c r="AG10" s="49"/>
      <c r="AH10" s="48"/>
      <c r="AI10" s="48"/>
      <c r="AJ10" s="48"/>
      <c r="AK10" s="30"/>
      <c r="AL10" s="32"/>
      <c r="AM10" s="33"/>
      <c r="AO10" s="33"/>
      <c r="AP10" s="32"/>
      <c r="AQ10" s="34"/>
      <c r="AR10" s="32"/>
    </row>
    <row r="11" spans="1:44" ht="14.4" x14ac:dyDescent="0.3">
      <c r="A11" s="438" t="s">
        <v>233</v>
      </c>
      <c r="B11" s="437" t="s">
        <v>120</v>
      </c>
      <c r="C11" s="135" t="s">
        <v>234</v>
      </c>
      <c r="D11" s="50" t="s">
        <v>298</v>
      </c>
      <c r="E11" s="433" t="s">
        <v>117</v>
      </c>
      <c r="F11" s="135" t="s">
        <v>229</v>
      </c>
      <c r="G11" s="156">
        <v>250</v>
      </c>
      <c r="H11" s="156">
        <v>57</v>
      </c>
      <c r="I11" s="182">
        <v>0.10922595465577721</v>
      </c>
      <c r="J11" s="182">
        <v>1.6718553995785205E-2</v>
      </c>
      <c r="K11" s="182">
        <v>3.6408651551925734E-2</v>
      </c>
      <c r="L11" s="182">
        <v>5.5728513319284016E-3</v>
      </c>
      <c r="M11" s="182">
        <f>K11*('Exposure Factors'!$C$9/'Exposure Factors'!$C$10)</f>
        <v>7.4303370514134159E-2</v>
      </c>
      <c r="N11" s="182">
        <f>L11*('Exposure Factors'!$C$9/'Exposure Factors'!$C$10)</f>
        <v>1.1373165983527351E-2</v>
      </c>
      <c r="O11" s="182">
        <v>3.4547082893905587E-3</v>
      </c>
      <c r="P11" s="182">
        <v>8.2874743470432387E-4</v>
      </c>
      <c r="Q11" s="182">
        <f>O11*('Exposure Factors'!$C$9/'Exposure Factors'!$C$10)</f>
        <v>7.0504250803888951E-3</v>
      </c>
      <c r="R11" s="182">
        <f>P11*('Exposure Factors'!$C$9/'Exposure Factors'!$C$10)</f>
        <v>1.6913212953149467E-3</v>
      </c>
      <c r="S11" s="182">
        <v>1.3704836611870062E-3</v>
      </c>
      <c r="T11" s="182">
        <v>3.1146314733450554E-4</v>
      </c>
      <c r="U11" s="182">
        <f>S11*('Exposure Factors'!$C$9/'Exposure Factors'!$C$10)</f>
        <v>2.7969054309938905E-3</v>
      </c>
      <c r="V11" s="182">
        <f>T11*('Exposure Factors'!$C$9/'Exposure Factors'!$C$10)</f>
        <v>6.3563907619286844E-4</v>
      </c>
      <c r="W11" s="156">
        <v>22</v>
      </c>
      <c r="X11" s="156">
        <v>22</v>
      </c>
      <c r="Y11" s="182">
        <v>2.1160428547568135E-2</v>
      </c>
      <c r="Z11" s="182">
        <v>3.7960270715202767E-3</v>
      </c>
      <c r="AA11" s="182">
        <f>Y11*('Exposure Factors'!$C$9/'Exposure Factors'!$C$10)</f>
        <v>4.3184548056261499E-2</v>
      </c>
      <c r="AB11" s="182">
        <f>Z11*('Exposure Factors'!$C$9/'Exposure Factors'!$C$10)</f>
        <v>7.746994023510769E-3</v>
      </c>
      <c r="AC11" s="37" t="s">
        <v>230</v>
      </c>
      <c r="AD11" s="37" t="s">
        <v>230</v>
      </c>
      <c r="AE11" s="73" t="s">
        <v>231</v>
      </c>
      <c r="AF11" s="243" t="s">
        <v>232</v>
      </c>
      <c r="AG11" s="49"/>
      <c r="AH11" s="48"/>
      <c r="AI11" s="48"/>
      <c r="AJ11" s="48"/>
      <c r="AK11" s="30"/>
      <c r="AL11" s="32"/>
      <c r="AM11" s="33"/>
      <c r="AO11" s="33"/>
      <c r="AP11" s="32"/>
      <c r="AQ11" s="34"/>
      <c r="AR11" s="32"/>
    </row>
    <row r="12" spans="1:44" ht="14.4" x14ac:dyDescent="0.3">
      <c r="A12" s="438" t="s">
        <v>233</v>
      </c>
      <c r="B12" s="437" t="s">
        <v>124</v>
      </c>
      <c r="C12" s="135" t="s">
        <v>235</v>
      </c>
      <c r="D12" s="50" t="s">
        <v>25</v>
      </c>
      <c r="E12" s="433" t="s">
        <v>24</v>
      </c>
      <c r="F12" s="135" t="s">
        <v>229</v>
      </c>
      <c r="G12" s="156">
        <v>2</v>
      </c>
      <c r="H12" s="156">
        <v>1</v>
      </c>
      <c r="I12" s="182">
        <v>0.4019940646032637</v>
      </c>
      <c r="J12" s="182">
        <v>9.5695012136565394E-2</v>
      </c>
      <c r="K12" s="182">
        <v>0.13399802153442122</v>
      </c>
      <c r="L12" s="182">
        <v>3.1898337378855134E-2</v>
      </c>
      <c r="M12" s="182">
        <f>K12*('Exposure Factors'!$C$9/'Exposure Factors'!$C$10)</f>
        <v>0.27346535007024741</v>
      </c>
      <c r="N12" s="182">
        <f>L12*('Exposure Factors'!$C$9/'Exposure Factors'!$C$10)</f>
        <v>6.5098647711949259E-2</v>
      </c>
      <c r="O12" s="182">
        <v>3.8542433671193014E-4</v>
      </c>
      <c r="P12" s="182">
        <v>9.2360774193082123E-5</v>
      </c>
      <c r="Q12" s="182">
        <f>O12*('Exposure Factors'!$C$9/'Exposure Factors'!$C$10)</f>
        <v>7.8658027900393903E-4</v>
      </c>
      <c r="R12" s="182">
        <f>P12*('Exposure Factors'!$C$9/'Exposure Factors'!$C$10)</f>
        <v>1.8849137590424924E-4</v>
      </c>
      <c r="S12" s="182">
        <v>1.5342147610940173E-4</v>
      </c>
      <c r="T12" s="182">
        <v>3.4893083813153106E-5</v>
      </c>
      <c r="U12" s="182">
        <f>S12*('Exposure Factors'!$C$9/'Exposure Factors'!$C$10)</f>
        <v>3.1310505328449335E-4</v>
      </c>
      <c r="V12" s="182">
        <f>T12*('Exposure Factors'!$C$9/'Exposure Factors'!$C$10)</f>
        <v>7.1210375128883893E-5</v>
      </c>
      <c r="W12" s="156">
        <v>2</v>
      </c>
      <c r="X12" s="156">
        <v>1</v>
      </c>
      <c r="Y12" s="182">
        <v>4.6893294299951505E-3</v>
      </c>
      <c r="Z12" s="182">
        <v>1.123722752682499E-3</v>
      </c>
      <c r="AA12" s="182">
        <f>Y12*('Exposure Factors'!$C$9/'Exposure Factors'!$C$10)</f>
        <v>9.5700600612145924E-3</v>
      </c>
      <c r="AB12" s="182">
        <f>Z12*('Exposure Factors'!$C$9/'Exposure Factors'!$C$10)</f>
        <v>2.2933117401683651E-3</v>
      </c>
      <c r="AC12" s="37" t="s">
        <v>230</v>
      </c>
      <c r="AD12" s="37" t="s">
        <v>230</v>
      </c>
      <c r="AE12" s="73" t="s">
        <v>231</v>
      </c>
      <c r="AF12" s="243" t="s">
        <v>232</v>
      </c>
      <c r="AG12" s="49"/>
      <c r="AH12" s="48"/>
      <c r="AI12" s="48"/>
      <c r="AJ12" s="48"/>
      <c r="AK12" s="30"/>
      <c r="AL12" s="32"/>
      <c r="AM12" s="33"/>
      <c r="AO12" s="33"/>
      <c r="AP12" s="32"/>
      <c r="AQ12" s="34"/>
      <c r="AR12" s="32"/>
    </row>
    <row r="13" spans="1:44" ht="14.4" x14ac:dyDescent="0.3">
      <c r="A13" s="438" t="s">
        <v>233</v>
      </c>
      <c r="B13" s="437" t="s">
        <v>124</v>
      </c>
      <c r="C13" s="135" t="s">
        <v>235</v>
      </c>
      <c r="D13" s="50" t="s">
        <v>298</v>
      </c>
      <c r="E13" s="433" t="s">
        <v>24</v>
      </c>
      <c r="F13" s="135" t="s">
        <v>229</v>
      </c>
      <c r="G13" s="156">
        <v>2</v>
      </c>
      <c r="H13" s="156">
        <v>1</v>
      </c>
      <c r="I13" s="182">
        <v>0.4019940646032637</v>
      </c>
      <c r="J13" s="182">
        <v>9.5695012136565394E-2</v>
      </c>
      <c r="K13" s="182">
        <v>0.13399802153442122</v>
      </c>
      <c r="L13" s="182">
        <v>3.1898337378855134E-2</v>
      </c>
      <c r="M13" s="182">
        <f>K13*('Exposure Factors'!$C$9/'Exposure Factors'!$C$10)</f>
        <v>0.27346535007024741</v>
      </c>
      <c r="N13" s="182">
        <f>L13*('Exposure Factors'!$C$9/'Exposure Factors'!$C$10)</f>
        <v>6.5098647711949259E-2</v>
      </c>
      <c r="O13" s="182">
        <v>3.8542433671193014E-4</v>
      </c>
      <c r="P13" s="182">
        <v>9.2360774193082123E-5</v>
      </c>
      <c r="Q13" s="182">
        <f>O13*('Exposure Factors'!$C$9/'Exposure Factors'!$C$10)</f>
        <v>7.8658027900393903E-4</v>
      </c>
      <c r="R13" s="182">
        <f>P13*('Exposure Factors'!$C$9/'Exposure Factors'!$C$10)</f>
        <v>1.8849137590424924E-4</v>
      </c>
      <c r="S13" s="182">
        <v>1.5342147610940173E-4</v>
      </c>
      <c r="T13" s="182">
        <v>3.4893083813153106E-5</v>
      </c>
      <c r="U13" s="182">
        <f>S13*('Exposure Factors'!$C$9/'Exposure Factors'!$C$10)</f>
        <v>3.1310505328449335E-4</v>
      </c>
      <c r="V13" s="182">
        <f>T13*('Exposure Factors'!$C$9/'Exposure Factors'!$C$10)</f>
        <v>7.1210375128883893E-5</v>
      </c>
      <c r="W13" s="156">
        <v>2</v>
      </c>
      <c r="X13" s="156">
        <v>1</v>
      </c>
      <c r="Y13" s="182">
        <v>4.6893294299951505E-3</v>
      </c>
      <c r="Z13" s="182">
        <v>1.123722752682499E-3</v>
      </c>
      <c r="AA13" s="182">
        <f>Y13*('Exposure Factors'!$C$9/'Exposure Factors'!$C$10)</f>
        <v>9.5700600612145924E-3</v>
      </c>
      <c r="AB13" s="182">
        <f>Z13*('Exposure Factors'!$C$9/'Exposure Factors'!$C$10)</f>
        <v>2.2933117401683651E-3</v>
      </c>
      <c r="AC13" s="37" t="s">
        <v>230</v>
      </c>
      <c r="AD13" s="37" t="s">
        <v>230</v>
      </c>
      <c r="AE13" s="73" t="s">
        <v>231</v>
      </c>
      <c r="AF13" s="243" t="s">
        <v>232</v>
      </c>
      <c r="AG13" s="49"/>
      <c r="AH13" s="48"/>
      <c r="AI13" s="48"/>
      <c r="AJ13" s="48"/>
      <c r="AK13" s="30"/>
      <c r="AL13" s="32"/>
      <c r="AM13" s="33"/>
      <c r="AO13" s="33"/>
      <c r="AP13" s="32"/>
      <c r="AQ13" s="34"/>
      <c r="AR13" s="32"/>
    </row>
    <row r="14" spans="1:44" ht="14.4" x14ac:dyDescent="0.3">
      <c r="A14" s="438" t="s">
        <v>233</v>
      </c>
      <c r="B14" s="437" t="s">
        <v>124</v>
      </c>
      <c r="C14" s="135" t="s">
        <v>235</v>
      </c>
      <c r="D14" s="50" t="s">
        <v>25</v>
      </c>
      <c r="E14" s="433" t="s">
        <v>117</v>
      </c>
      <c r="F14" s="135" t="s">
        <v>229</v>
      </c>
      <c r="G14" s="156">
        <v>12</v>
      </c>
      <c r="H14" s="156">
        <v>4</v>
      </c>
      <c r="I14" s="182">
        <v>0.51731349148547767</v>
      </c>
      <c r="J14" s="182">
        <v>0.12580901801682504</v>
      </c>
      <c r="K14" s="182">
        <v>0.17243783049515923</v>
      </c>
      <c r="L14" s="182">
        <v>4.1936339338941676E-2</v>
      </c>
      <c r="M14" s="182">
        <f>K14*('Exposure Factors'!$C$9/'Exposure Factors'!$C$10)</f>
        <v>0.35191393978603924</v>
      </c>
      <c r="N14" s="182">
        <f>L14*('Exposure Factors'!$C$9/'Exposure Factors'!$C$10)</f>
        <v>8.5584365997840153E-2</v>
      </c>
      <c r="O14" s="182">
        <v>2.0549334404020292E-3</v>
      </c>
      <c r="P14" s="182">
        <v>4.9198490766907694E-4</v>
      </c>
      <c r="Q14" s="182">
        <f>O14*('Exposure Factors'!$C$9/'Exposure Factors'!$C$10)</f>
        <v>4.1937417151061817E-3</v>
      </c>
      <c r="R14" s="182">
        <f>P14*('Exposure Factors'!$C$9/'Exposure Factors'!$C$10)</f>
        <v>1.0040508319777081E-3</v>
      </c>
      <c r="S14" s="182">
        <v>8.1517504890199466E-4</v>
      </c>
      <c r="T14" s="182">
        <v>1.8587046475211289E-4</v>
      </c>
      <c r="U14" s="182">
        <f>S14*('Exposure Factors'!$C$9/'Exposure Factors'!$C$10)</f>
        <v>1.663622548779581E-3</v>
      </c>
      <c r="V14" s="182">
        <f>T14*('Exposure Factors'!$C$9/'Exposure Factors'!$C$10)</f>
        <v>3.7932747908594468E-4</v>
      </c>
      <c r="W14" s="156">
        <v>12</v>
      </c>
      <c r="X14" s="156">
        <v>4</v>
      </c>
      <c r="Y14" s="182">
        <v>2.4935949724022924E-2</v>
      </c>
      <c r="Z14" s="182">
        <v>5.9822235876714255E-3</v>
      </c>
      <c r="AA14" s="182">
        <f>Y14*('Exposure Factors'!$C$9/'Exposure Factors'!$C$10)</f>
        <v>5.0889693314332497E-2</v>
      </c>
      <c r="AB14" s="182">
        <f>Z14*('Exposure Factors'!$C$9/'Exposure Factors'!$C$10)</f>
        <v>1.2208619566676378E-2</v>
      </c>
      <c r="AC14" s="37" t="s">
        <v>230</v>
      </c>
      <c r="AD14" s="37" t="s">
        <v>230</v>
      </c>
      <c r="AE14" s="73" t="s">
        <v>231</v>
      </c>
      <c r="AF14" s="243" t="s">
        <v>232</v>
      </c>
      <c r="AG14" s="49"/>
      <c r="AH14" s="48"/>
      <c r="AI14" s="48"/>
      <c r="AJ14" s="48"/>
      <c r="AK14" s="30"/>
      <c r="AL14" s="32"/>
      <c r="AM14" s="33"/>
      <c r="AO14" s="33"/>
      <c r="AP14" s="32"/>
      <c r="AQ14" s="34"/>
      <c r="AR14" s="32"/>
    </row>
    <row r="15" spans="1:44" ht="14.4" x14ac:dyDescent="0.3">
      <c r="A15" s="438" t="s">
        <v>233</v>
      </c>
      <c r="B15" s="437" t="s">
        <v>124</v>
      </c>
      <c r="C15" s="135" t="s">
        <v>235</v>
      </c>
      <c r="D15" s="50" t="s">
        <v>298</v>
      </c>
      <c r="E15" s="433" t="s">
        <v>117</v>
      </c>
      <c r="F15" s="135" t="s">
        <v>229</v>
      </c>
      <c r="G15" s="156">
        <v>12</v>
      </c>
      <c r="H15" s="156">
        <v>4</v>
      </c>
      <c r="I15" s="182">
        <v>0.51731349148547767</v>
      </c>
      <c r="J15" s="182">
        <v>0.12580901801682504</v>
      </c>
      <c r="K15" s="182">
        <v>0.17243783049515923</v>
      </c>
      <c r="L15" s="182">
        <v>4.1936339338941676E-2</v>
      </c>
      <c r="M15" s="182">
        <f>K15*('Exposure Factors'!$C$9/'Exposure Factors'!$C$10)</f>
        <v>0.35191393978603924</v>
      </c>
      <c r="N15" s="182">
        <f>L15*('Exposure Factors'!$C$9/'Exposure Factors'!$C$10)</f>
        <v>8.5584365997840153E-2</v>
      </c>
      <c r="O15" s="182">
        <v>2.0549334404020292E-3</v>
      </c>
      <c r="P15" s="182">
        <v>4.9198490766907694E-4</v>
      </c>
      <c r="Q15" s="182">
        <f>O15*('Exposure Factors'!$C$9/'Exposure Factors'!$C$10)</f>
        <v>4.1937417151061817E-3</v>
      </c>
      <c r="R15" s="182">
        <f>P15*('Exposure Factors'!$C$9/'Exposure Factors'!$C$10)</f>
        <v>1.0040508319777081E-3</v>
      </c>
      <c r="S15" s="182">
        <v>8.1517504890199466E-4</v>
      </c>
      <c r="T15" s="182">
        <v>1.8587046475211289E-4</v>
      </c>
      <c r="U15" s="182">
        <f>S15*('Exposure Factors'!$C$9/'Exposure Factors'!$C$10)</f>
        <v>1.663622548779581E-3</v>
      </c>
      <c r="V15" s="182">
        <f>T15*('Exposure Factors'!$C$9/'Exposure Factors'!$C$10)</f>
        <v>3.7932747908594468E-4</v>
      </c>
      <c r="W15" s="156">
        <v>12</v>
      </c>
      <c r="X15" s="156">
        <v>4</v>
      </c>
      <c r="Y15" s="182">
        <v>2.4935949724022924E-2</v>
      </c>
      <c r="Z15" s="182">
        <v>5.9822235876714255E-3</v>
      </c>
      <c r="AA15" s="182">
        <f>Y15*('Exposure Factors'!$C$9/'Exposure Factors'!$C$10)</f>
        <v>5.0889693314332497E-2</v>
      </c>
      <c r="AB15" s="182">
        <f>Z15*('Exposure Factors'!$C$9/'Exposure Factors'!$C$10)</f>
        <v>1.2208619566676378E-2</v>
      </c>
      <c r="AC15" s="37" t="s">
        <v>230</v>
      </c>
      <c r="AD15" s="37" t="s">
        <v>230</v>
      </c>
      <c r="AE15" s="73" t="s">
        <v>231</v>
      </c>
      <c r="AF15" s="243" t="s">
        <v>232</v>
      </c>
      <c r="AG15" s="49"/>
      <c r="AH15" s="48"/>
      <c r="AI15" s="48"/>
      <c r="AJ15" s="48"/>
      <c r="AK15" s="30"/>
      <c r="AL15" s="32"/>
      <c r="AM15" s="33"/>
      <c r="AO15" s="33"/>
      <c r="AP15" s="32"/>
      <c r="AQ15" s="34"/>
      <c r="AR15" s="32"/>
    </row>
    <row r="16" spans="1:44" x14ac:dyDescent="0.3">
      <c r="A16" s="438" t="s">
        <v>236</v>
      </c>
      <c r="B16" s="437">
        <v>3</v>
      </c>
      <c r="C16" s="135" t="s">
        <v>237</v>
      </c>
      <c r="D16" s="50" t="s">
        <v>25</v>
      </c>
      <c r="E16" s="433" t="s">
        <v>24</v>
      </c>
      <c r="F16" s="135" t="s">
        <v>229</v>
      </c>
      <c r="G16" s="156">
        <v>6</v>
      </c>
      <c r="H16" s="156">
        <v>1</v>
      </c>
      <c r="I16" s="182">
        <v>0.40549966756782208</v>
      </c>
      <c r="J16" s="182">
        <v>7.440404731465497E-2</v>
      </c>
      <c r="K16" s="182">
        <v>0.1351665558559407</v>
      </c>
      <c r="L16" s="182">
        <v>2.480134910488499E-2</v>
      </c>
      <c r="M16" s="182">
        <f>K16*('Exposure Factors'!$C$9/'Exposure Factors'!$C$10)</f>
        <v>0.27585011399171572</v>
      </c>
      <c r="N16" s="182">
        <f>L16*('Exposure Factors'!$C$9/'Exposure Factors'!$C$10)</f>
        <v>5.0614998173234671E-2</v>
      </c>
      <c r="O16" s="182">
        <v>4.1111573432041273E-4</v>
      </c>
      <c r="P16" s="182">
        <v>8.9982414964436165E-5</v>
      </c>
      <c r="Q16" s="182">
        <f>O16*('Exposure Factors'!$C$9/'Exposure Factors'!$C$10)</f>
        <v>8.3901170269471987E-4</v>
      </c>
      <c r="R16" s="182">
        <f>P16*('Exposure Factors'!$C$9/'Exposure Factors'!$C$10)</f>
        <v>1.8363758156007381E-4</v>
      </c>
      <c r="S16" s="182">
        <v>1.618544073778349E-4</v>
      </c>
      <c r="T16" s="182">
        <v>3.3879398862146591E-5</v>
      </c>
      <c r="U16" s="182">
        <f>S16*('Exposure Factors'!$C$9/'Exposure Factors'!$C$10)</f>
        <v>3.3031511709762226E-4</v>
      </c>
      <c r="V16" s="182">
        <f>T16*('Exposure Factors'!$C$9/'Exposure Factors'!$C$10)</f>
        <v>6.9141630330911416E-5</v>
      </c>
      <c r="W16" s="156">
        <v>6</v>
      </c>
      <c r="X16" s="156">
        <v>1</v>
      </c>
      <c r="Y16" s="182">
        <v>4.9981252617317404E-3</v>
      </c>
      <c r="Z16" s="182">
        <v>1.094604247430263E-3</v>
      </c>
      <c r="AA16" s="182">
        <f>Y16*('Exposure Factors'!$C$9/'Exposure Factors'!$C$10)</f>
        <v>1.0200255636187226E-2</v>
      </c>
      <c r="AB16" s="182">
        <f>Z16*('Exposure Factors'!$C$9/'Exposure Factors'!$C$10)</f>
        <v>2.2338862192454348E-3</v>
      </c>
      <c r="AC16" s="37" t="s">
        <v>230</v>
      </c>
      <c r="AD16" s="37" t="s">
        <v>230</v>
      </c>
      <c r="AE16" s="73" t="s">
        <v>231</v>
      </c>
      <c r="AF16" s="243" t="s">
        <v>232</v>
      </c>
      <c r="AH16" s="32"/>
      <c r="AI16" s="32"/>
      <c r="AJ16" s="32"/>
      <c r="AK16" s="30"/>
      <c r="AL16" s="32"/>
    </row>
    <row r="17" spans="1:44" x14ac:dyDescent="0.3">
      <c r="A17" s="438" t="s">
        <v>236</v>
      </c>
      <c r="B17" s="437">
        <v>3</v>
      </c>
      <c r="C17" s="135" t="s">
        <v>237</v>
      </c>
      <c r="D17" s="50" t="s">
        <v>298</v>
      </c>
      <c r="E17" s="433" t="s">
        <v>24</v>
      </c>
      <c r="F17" s="135" t="s">
        <v>229</v>
      </c>
      <c r="G17" s="156">
        <v>6</v>
      </c>
      <c r="H17" s="156">
        <v>1</v>
      </c>
      <c r="I17" s="182">
        <v>0.40549966756782208</v>
      </c>
      <c r="J17" s="182">
        <v>7.440404731465497E-2</v>
      </c>
      <c r="K17" s="182">
        <v>0.1351665558559407</v>
      </c>
      <c r="L17" s="182">
        <v>2.480134910488499E-2</v>
      </c>
      <c r="M17" s="182">
        <f>K17*('Exposure Factors'!$C$9/'Exposure Factors'!$C$10)</f>
        <v>0.27585011399171572</v>
      </c>
      <c r="N17" s="182">
        <f>L17*('Exposure Factors'!$C$9/'Exposure Factors'!$C$10)</f>
        <v>5.0614998173234671E-2</v>
      </c>
      <c r="O17" s="182">
        <v>4.1111573432041273E-4</v>
      </c>
      <c r="P17" s="182">
        <v>8.9982414964436165E-5</v>
      </c>
      <c r="Q17" s="182">
        <f>O17*('Exposure Factors'!$C$9/'Exposure Factors'!$C$10)</f>
        <v>8.3901170269471987E-4</v>
      </c>
      <c r="R17" s="182">
        <f>P17*('Exposure Factors'!$C$9/'Exposure Factors'!$C$10)</f>
        <v>1.8363758156007381E-4</v>
      </c>
      <c r="S17" s="182">
        <v>1.618544073778349E-4</v>
      </c>
      <c r="T17" s="182">
        <v>3.3879398862146591E-5</v>
      </c>
      <c r="U17" s="182">
        <f>S17*('Exposure Factors'!$C$9/'Exposure Factors'!$C$10)</f>
        <v>3.3031511709762226E-4</v>
      </c>
      <c r="V17" s="182">
        <f>T17*('Exposure Factors'!$C$9/'Exposure Factors'!$C$10)</f>
        <v>6.9141630330911416E-5</v>
      </c>
      <c r="W17" s="156">
        <v>6</v>
      </c>
      <c r="X17" s="156">
        <v>1</v>
      </c>
      <c r="Y17" s="182">
        <v>4.9981252617317404E-3</v>
      </c>
      <c r="Z17" s="182">
        <v>1.094604247430263E-3</v>
      </c>
      <c r="AA17" s="182">
        <f>Y17*('Exposure Factors'!$C$9/'Exposure Factors'!$C$10)</f>
        <v>1.0200255636187226E-2</v>
      </c>
      <c r="AB17" s="182">
        <f>Z17*('Exposure Factors'!$C$9/'Exposure Factors'!$C$10)</f>
        <v>2.2338862192454348E-3</v>
      </c>
      <c r="AC17" s="37" t="s">
        <v>230</v>
      </c>
      <c r="AD17" s="37" t="s">
        <v>230</v>
      </c>
      <c r="AE17" s="73" t="s">
        <v>231</v>
      </c>
      <c r="AF17" s="243" t="s">
        <v>232</v>
      </c>
      <c r="AH17" s="32"/>
      <c r="AI17" s="32"/>
      <c r="AJ17" s="32"/>
      <c r="AK17" s="30"/>
      <c r="AL17" s="32"/>
    </row>
    <row r="18" spans="1:44" x14ac:dyDescent="0.3">
      <c r="A18" s="438" t="s">
        <v>236</v>
      </c>
      <c r="B18" s="437">
        <v>3</v>
      </c>
      <c r="C18" s="135" t="s">
        <v>237</v>
      </c>
      <c r="D18" s="50" t="s">
        <v>25</v>
      </c>
      <c r="E18" s="433" t="s">
        <v>117</v>
      </c>
      <c r="F18" s="135" t="s">
        <v>229</v>
      </c>
      <c r="G18" s="156">
        <v>56</v>
      </c>
      <c r="H18" s="156">
        <v>6</v>
      </c>
      <c r="I18" s="182">
        <v>0.52404247058867137</v>
      </c>
      <c r="J18" s="182">
        <v>9.4400689524314324E-2</v>
      </c>
      <c r="K18" s="182">
        <v>0.17468082352955713</v>
      </c>
      <c r="L18" s="182">
        <v>3.1466896508104775E-2</v>
      </c>
      <c r="M18" s="182">
        <f>K18*('Exposure Factors'!$C$9/'Exposure Factors'!$C$10)</f>
        <v>0.35649147659093294</v>
      </c>
      <c r="N18" s="182">
        <f>L18*('Exposure Factors'!$C$9/'Exposure Factors'!$C$10)</f>
        <v>6.4218156138989332E-2</v>
      </c>
      <c r="O18" s="182">
        <v>2.3471169103947854E-3</v>
      </c>
      <c r="P18" s="182">
        <v>5.4965908669145119E-4</v>
      </c>
      <c r="Q18" s="182">
        <f>O18*('Exposure Factors'!$C$9/'Exposure Factors'!$C$10)</f>
        <v>4.7900345110097661E-3</v>
      </c>
      <c r="R18" s="182">
        <f>P18*('Exposure Factors'!$C$9/'Exposure Factors'!$C$10)</f>
        <v>1.1217532381458189E-3</v>
      </c>
      <c r="S18" s="182">
        <v>9.3326929102605408E-4</v>
      </c>
      <c r="T18" s="182">
        <v>2.0701699533133165E-4</v>
      </c>
      <c r="U18" s="182">
        <f>S18*('Exposure Factors'!$C$9/'Exposure Factors'!$C$10)</f>
        <v>1.9046312061756206E-3</v>
      </c>
      <c r="V18" s="182">
        <f>T18*('Exposure Factors'!$C$9/'Exposure Factors'!$C$10)</f>
        <v>4.2248366394149317E-4</v>
      </c>
      <c r="W18" s="156">
        <v>22</v>
      </c>
      <c r="X18" s="156">
        <v>6</v>
      </c>
      <c r="Y18" s="182">
        <v>2.5771936460544348E-2</v>
      </c>
      <c r="Z18" s="182">
        <v>5.9714446486774314E-3</v>
      </c>
      <c r="AA18" s="182">
        <f>Y18*('Exposure Factors'!$C$9/'Exposure Factors'!$C$10)</f>
        <v>5.2595788694988467E-2</v>
      </c>
      <c r="AB18" s="182">
        <f>Z18*('Exposure Factors'!$C$9/'Exposure Factors'!$C$10)</f>
        <v>1.2186621731994758E-2</v>
      </c>
      <c r="AC18" s="37" t="s">
        <v>230</v>
      </c>
      <c r="AD18" s="37" t="s">
        <v>230</v>
      </c>
      <c r="AE18" s="73" t="s">
        <v>231</v>
      </c>
      <c r="AF18" s="243" t="s">
        <v>232</v>
      </c>
      <c r="AH18" s="32"/>
      <c r="AI18" s="32"/>
      <c r="AJ18" s="32"/>
      <c r="AK18" s="30"/>
      <c r="AL18" s="32"/>
    </row>
    <row r="19" spans="1:44" x14ac:dyDescent="0.3">
      <c r="A19" s="438" t="s">
        <v>236</v>
      </c>
      <c r="B19" s="437">
        <v>3</v>
      </c>
      <c r="C19" s="135" t="s">
        <v>237</v>
      </c>
      <c r="D19" s="50" t="s">
        <v>298</v>
      </c>
      <c r="E19" s="433" t="s">
        <v>117</v>
      </c>
      <c r="F19" s="135" t="s">
        <v>229</v>
      </c>
      <c r="G19" s="156">
        <v>56</v>
      </c>
      <c r="H19" s="156">
        <v>6</v>
      </c>
      <c r="I19" s="182">
        <v>0.52404247058867137</v>
      </c>
      <c r="J19" s="182">
        <v>9.4400689524314324E-2</v>
      </c>
      <c r="K19" s="182">
        <v>0.17468082352955713</v>
      </c>
      <c r="L19" s="182">
        <v>3.1466896508104775E-2</v>
      </c>
      <c r="M19" s="182">
        <f>K19*('Exposure Factors'!$C$9/'Exposure Factors'!$C$10)</f>
        <v>0.35649147659093294</v>
      </c>
      <c r="N19" s="182">
        <f>L19*('Exposure Factors'!$C$9/'Exposure Factors'!$C$10)</f>
        <v>6.4218156138989332E-2</v>
      </c>
      <c r="O19" s="182">
        <v>2.3471169103947854E-3</v>
      </c>
      <c r="P19" s="182">
        <v>5.4965908669145119E-4</v>
      </c>
      <c r="Q19" s="182">
        <f>O19*('Exposure Factors'!$C$9/'Exposure Factors'!$C$10)</f>
        <v>4.7900345110097661E-3</v>
      </c>
      <c r="R19" s="182">
        <f>P19*('Exposure Factors'!$C$9/'Exposure Factors'!$C$10)</f>
        <v>1.1217532381458189E-3</v>
      </c>
      <c r="S19" s="182">
        <v>9.3326929102605408E-4</v>
      </c>
      <c r="T19" s="182">
        <v>2.0701699533133165E-4</v>
      </c>
      <c r="U19" s="182">
        <f>S19*('Exposure Factors'!$C$9/'Exposure Factors'!$C$10)</f>
        <v>1.9046312061756206E-3</v>
      </c>
      <c r="V19" s="182">
        <f>T19*('Exposure Factors'!$C$9/'Exposure Factors'!$C$10)</f>
        <v>4.2248366394149317E-4</v>
      </c>
      <c r="W19" s="156">
        <v>22</v>
      </c>
      <c r="X19" s="156">
        <v>6</v>
      </c>
      <c r="Y19" s="182">
        <v>2.5771936460544348E-2</v>
      </c>
      <c r="Z19" s="182">
        <v>5.9714446486774314E-3</v>
      </c>
      <c r="AA19" s="182">
        <f>Y19*('Exposure Factors'!$C$9/'Exposure Factors'!$C$10)</f>
        <v>5.2595788694988467E-2</v>
      </c>
      <c r="AB19" s="182">
        <f>Z19*('Exposure Factors'!$C$9/'Exposure Factors'!$C$10)</f>
        <v>1.2186621731994758E-2</v>
      </c>
      <c r="AC19" s="37" t="s">
        <v>230</v>
      </c>
      <c r="AD19" s="37" t="s">
        <v>230</v>
      </c>
      <c r="AE19" s="73" t="s">
        <v>231</v>
      </c>
      <c r="AF19" s="243" t="s">
        <v>232</v>
      </c>
      <c r="AH19" s="32"/>
      <c r="AI19" s="32"/>
      <c r="AJ19" s="32"/>
      <c r="AK19" s="30"/>
      <c r="AL19" s="32"/>
    </row>
    <row r="20" spans="1:44" x14ac:dyDescent="0.3">
      <c r="A20" s="438" t="s">
        <v>238</v>
      </c>
      <c r="B20" s="437">
        <v>4</v>
      </c>
      <c r="C20" s="135" t="s">
        <v>239</v>
      </c>
      <c r="D20" s="50" t="s">
        <v>25</v>
      </c>
      <c r="E20" s="433" t="s">
        <v>24</v>
      </c>
      <c r="F20" s="135" t="s">
        <v>229</v>
      </c>
      <c r="G20" s="156">
        <v>250</v>
      </c>
      <c r="H20" s="156">
        <v>72</v>
      </c>
      <c r="I20" s="182">
        <v>1.7819880464886001E-2</v>
      </c>
      <c r="J20" s="182">
        <v>3.4224416322210316E-3</v>
      </c>
      <c r="K20" s="182">
        <v>5.939960154962E-3</v>
      </c>
      <c r="L20" s="182">
        <v>1.1408138774070106E-3</v>
      </c>
      <c r="M20" s="182">
        <f>K20*('Exposure Factors'!$C$9/'Exposure Factors'!$C$10)</f>
        <v>1.2122367663187755E-2</v>
      </c>
      <c r="N20" s="182">
        <f>L20*('Exposure Factors'!$C$9/'Exposure Factors'!$C$10)</f>
        <v>2.3281915865449197E-3</v>
      </c>
      <c r="O20" s="182">
        <v>1.1513967270078195E-3</v>
      </c>
      <c r="P20" s="182">
        <v>1.905597173289441E-4</v>
      </c>
      <c r="Q20" s="182">
        <f>O20*('Exposure Factors'!$C$9/'Exposure Factors'!$C$10)</f>
        <v>2.3497892387914685E-3</v>
      </c>
      <c r="R20" s="182">
        <f>P20*('Exposure Factors'!$C$9/'Exposure Factors'!$C$10)</f>
        <v>3.8889738230396759E-4</v>
      </c>
      <c r="S20" s="182">
        <v>4.4980559758395981E-4</v>
      </c>
      <c r="T20" s="182">
        <v>7.1755226783597157E-5</v>
      </c>
      <c r="U20" s="182">
        <f>S20*('Exposure Factors'!$C$9/'Exposure Factors'!$C$10)</f>
        <v>9.1797060731420375E-4</v>
      </c>
      <c r="V20" s="182">
        <f>T20*('Exposure Factors'!$C$9/'Exposure Factors'!$C$10)</f>
        <v>1.4643923833387176E-4</v>
      </c>
      <c r="W20" s="156">
        <v>22</v>
      </c>
      <c r="X20" s="156">
        <v>22</v>
      </c>
      <c r="Y20" s="182">
        <v>3.9790868431728533E-3</v>
      </c>
      <c r="Z20" s="182">
        <v>8.0688340572655586E-4</v>
      </c>
      <c r="AA20" s="182">
        <f>Y20*('Exposure Factors'!$C$9/'Exposure Factors'!$C$10)</f>
        <v>8.1205853942303129E-3</v>
      </c>
      <c r="AB20" s="182">
        <f>Z20*('Exposure Factors'!$C$9/'Exposure Factors'!$C$10)</f>
        <v>1.6467008280133793E-3</v>
      </c>
      <c r="AC20" s="37" t="s">
        <v>230</v>
      </c>
      <c r="AD20" s="37" t="s">
        <v>230</v>
      </c>
      <c r="AE20" s="73" t="s">
        <v>231</v>
      </c>
      <c r="AF20" s="243" t="s">
        <v>232</v>
      </c>
      <c r="AH20" s="32"/>
      <c r="AI20" s="32"/>
      <c r="AJ20" s="32"/>
      <c r="AK20" s="30"/>
      <c r="AL20" s="32"/>
    </row>
    <row r="21" spans="1:44" x14ac:dyDescent="0.3">
      <c r="A21" s="438" t="s">
        <v>238</v>
      </c>
      <c r="B21" s="437">
        <v>4</v>
      </c>
      <c r="C21" s="135" t="s">
        <v>239</v>
      </c>
      <c r="D21" s="50" t="s">
        <v>298</v>
      </c>
      <c r="E21" s="433" t="s">
        <v>24</v>
      </c>
      <c r="F21" s="135" t="s">
        <v>229</v>
      </c>
      <c r="G21" s="156">
        <v>250</v>
      </c>
      <c r="H21" s="156">
        <v>72</v>
      </c>
      <c r="I21" s="182">
        <v>1.7819880464886001E-2</v>
      </c>
      <c r="J21" s="182">
        <v>3.4224416322210316E-3</v>
      </c>
      <c r="K21" s="182">
        <v>5.939960154962E-3</v>
      </c>
      <c r="L21" s="182">
        <v>1.1408138774070106E-3</v>
      </c>
      <c r="M21" s="182">
        <f>K21*('Exposure Factors'!$C$9/'Exposure Factors'!$C$10)</f>
        <v>1.2122367663187755E-2</v>
      </c>
      <c r="N21" s="182">
        <f>L21*('Exposure Factors'!$C$9/'Exposure Factors'!$C$10)</f>
        <v>2.3281915865449197E-3</v>
      </c>
      <c r="O21" s="182">
        <v>1.1513967270078195E-3</v>
      </c>
      <c r="P21" s="182">
        <v>1.905597173289441E-4</v>
      </c>
      <c r="Q21" s="182">
        <f>O21*('Exposure Factors'!$C$9/'Exposure Factors'!$C$10)</f>
        <v>2.3497892387914685E-3</v>
      </c>
      <c r="R21" s="182">
        <f>P21*('Exposure Factors'!$C$9/'Exposure Factors'!$C$10)</f>
        <v>3.8889738230396759E-4</v>
      </c>
      <c r="S21" s="182">
        <v>4.4980559758395981E-4</v>
      </c>
      <c r="T21" s="182">
        <v>7.1755226783597157E-5</v>
      </c>
      <c r="U21" s="182">
        <f>S21*('Exposure Factors'!$C$9/'Exposure Factors'!$C$10)</f>
        <v>9.1797060731420375E-4</v>
      </c>
      <c r="V21" s="182">
        <f>T21*('Exposure Factors'!$C$9/'Exposure Factors'!$C$10)</f>
        <v>1.4643923833387176E-4</v>
      </c>
      <c r="W21" s="156">
        <v>22</v>
      </c>
      <c r="X21" s="156">
        <v>22</v>
      </c>
      <c r="Y21" s="182">
        <v>3.9790868431728533E-3</v>
      </c>
      <c r="Z21" s="182">
        <v>8.0688340572655586E-4</v>
      </c>
      <c r="AA21" s="182">
        <f>Y21*('Exposure Factors'!$C$9/'Exposure Factors'!$C$10)</f>
        <v>8.1205853942303129E-3</v>
      </c>
      <c r="AB21" s="182">
        <f>Z21*('Exposure Factors'!$C$9/'Exposure Factors'!$C$10)</f>
        <v>1.6467008280133793E-3</v>
      </c>
      <c r="AC21" s="37" t="s">
        <v>230</v>
      </c>
      <c r="AD21" s="37" t="s">
        <v>230</v>
      </c>
      <c r="AE21" s="73" t="s">
        <v>231</v>
      </c>
      <c r="AF21" s="243" t="s">
        <v>232</v>
      </c>
      <c r="AH21" s="32"/>
      <c r="AI21" s="32"/>
      <c r="AJ21" s="32"/>
      <c r="AK21" s="30"/>
      <c r="AL21" s="32"/>
    </row>
    <row r="22" spans="1:44" x14ac:dyDescent="0.3">
      <c r="A22" s="438" t="s">
        <v>238</v>
      </c>
      <c r="B22" s="437">
        <v>4</v>
      </c>
      <c r="C22" s="135" t="s">
        <v>239</v>
      </c>
      <c r="D22" s="50" t="s">
        <v>25</v>
      </c>
      <c r="E22" s="433" t="s">
        <v>117</v>
      </c>
      <c r="F22" s="135" t="s">
        <v>229</v>
      </c>
      <c r="G22" s="156">
        <v>250</v>
      </c>
      <c r="H22" s="156">
        <v>250</v>
      </c>
      <c r="I22" s="182">
        <v>1.8899606456080808E-2</v>
      </c>
      <c r="J22" s="182">
        <v>3.9726898066816153E-3</v>
      </c>
      <c r="K22" s="182">
        <v>6.2998688186936026E-3</v>
      </c>
      <c r="L22" s="182">
        <v>1.3242299355605384E-3</v>
      </c>
      <c r="M22" s="182">
        <f>K22*('Exposure Factors'!$C$9/'Exposure Factors'!$C$10)</f>
        <v>1.2856875140191026E-2</v>
      </c>
      <c r="N22" s="182">
        <f>L22*('Exposure Factors'!$C$9/'Exposure Factors'!$C$10)</f>
        <v>2.7025100725725274E-3</v>
      </c>
      <c r="O22" s="182">
        <v>3.8380705234219025E-3</v>
      </c>
      <c r="P22" s="182">
        <v>8.5113997070679446E-4</v>
      </c>
      <c r="Q22" s="182">
        <f>O22*('Exposure Factors'!$C$9/'Exposure Factors'!$C$10)</f>
        <v>7.8327969865753105E-3</v>
      </c>
      <c r="R22" s="182">
        <f>P22*('Exposure Factors'!$C$9/'Exposure Factors'!$C$10)</f>
        <v>1.7370203483812131E-3</v>
      </c>
      <c r="S22" s="182">
        <v>1.51218967993482E-3</v>
      </c>
      <c r="T22" s="182">
        <v>3.1935837754703102E-4</v>
      </c>
      <c r="U22" s="182">
        <f>S22*('Exposure Factors'!$C$9/'Exposure Factors'!$C$10)</f>
        <v>3.0861013876220815E-3</v>
      </c>
      <c r="V22" s="182">
        <f>T22*('Exposure Factors'!$C$9/'Exposure Factors'!$C$10)</f>
        <v>6.517517909123082E-4</v>
      </c>
      <c r="W22" s="156">
        <v>22</v>
      </c>
      <c r="X22" s="156">
        <v>22</v>
      </c>
      <c r="Y22" s="182">
        <v>4.6199038003753084E-3</v>
      </c>
      <c r="Z22" s="182">
        <v>9.7110195274439492E-4</v>
      </c>
      <c r="AA22" s="182">
        <f>Y22*('Exposure Factors'!$C$9/'Exposure Factors'!$C$10)</f>
        <v>9.428375102806752E-3</v>
      </c>
      <c r="AB22" s="182">
        <f>Z22*('Exposure Factors'!$C$9/'Exposure Factors'!$C$10)</f>
        <v>1.9818407198865201E-3</v>
      </c>
      <c r="AC22" s="37" t="s">
        <v>230</v>
      </c>
      <c r="AD22" s="37" t="s">
        <v>230</v>
      </c>
      <c r="AE22" s="73" t="s">
        <v>231</v>
      </c>
      <c r="AF22" s="243" t="s">
        <v>232</v>
      </c>
      <c r="AH22" s="32"/>
      <c r="AI22" s="32"/>
      <c r="AJ22" s="32"/>
      <c r="AK22" s="30"/>
      <c r="AL22" s="32"/>
    </row>
    <row r="23" spans="1:44" x14ac:dyDescent="0.3">
      <c r="A23" s="438" t="s">
        <v>238</v>
      </c>
      <c r="B23" s="437">
        <v>4</v>
      </c>
      <c r="C23" s="135" t="s">
        <v>239</v>
      </c>
      <c r="D23" s="50" t="s">
        <v>298</v>
      </c>
      <c r="E23" s="433" t="s">
        <v>117</v>
      </c>
      <c r="F23" s="135" t="s">
        <v>229</v>
      </c>
      <c r="G23" s="156">
        <v>250</v>
      </c>
      <c r="H23" s="156">
        <v>250</v>
      </c>
      <c r="I23" s="182">
        <v>1.8899606456080808E-2</v>
      </c>
      <c r="J23" s="182">
        <v>3.9726898066816153E-3</v>
      </c>
      <c r="K23" s="182">
        <v>6.2998688186936026E-3</v>
      </c>
      <c r="L23" s="182">
        <v>1.3242299355605384E-3</v>
      </c>
      <c r="M23" s="182">
        <f>K23*('Exposure Factors'!$C$9/'Exposure Factors'!$C$10)</f>
        <v>1.2856875140191026E-2</v>
      </c>
      <c r="N23" s="182">
        <f>L23*('Exposure Factors'!$C$9/'Exposure Factors'!$C$10)</f>
        <v>2.7025100725725274E-3</v>
      </c>
      <c r="O23" s="182">
        <v>3.8380705234219025E-3</v>
      </c>
      <c r="P23" s="182">
        <v>8.5113997070679446E-4</v>
      </c>
      <c r="Q23" s="182">
        <f>O23*('Exposure Factors'!$C$9/'Exposure Factors'!$C$10)</f>
        <v>7.8327969865753105E-3</v>
      </c>
      <c r="R23" s="182">
        <f>P23*('Exposure Factors'!$C$9/'Exposure Factors'!$C$10)</f>
        <v>1.7370203483812131E-3</v>
      </c>
      <c r="S23" s="182">
        <v>1.51218967993482E-3</v>
      </c>
      <c r="T23" s="182">
        <v>3.1935837754703102E-4</v>
      </c>
      <c r="U23" s="182">
        <f>S23*('Exposure Factors'!$C$9/'Exposure Factors'!$C$10)</f>
        <v>3.0861013876220815E-3</v>
      </c>
      <c r="V23" s="182">
        <f>T23*('Exposure Factors'!$C$9/'Exposure Factors'!$C$10)</f>
        <v>6.517517909123082E-4</v>
      </c>
      <c r="W23" s="156">
        <v>22</v>
      </c>
      <c r="X23" s="156">
        <v>22</v>
      </c>
      <c r="Y23" s="182">
        <v>4.6199038003753084E-3</v>
      </c>
      <c r="Z23" s="182">
        <v>9.7110195274439492E-4</v>
      </c>
      <c r="AA23" s="182">
        <f>Y23*('Exposure Factors'!$C$9/'Exposure Factors'!$C$10)</f>
        <v>9.428375102806752E-3</v>
      </c>
      <c r="AB23" s="182">
        <f>Z23*('Exposure Factors'!$C$9/'Exposure Factors'!$C$10)</f>
        <v>1.9818407198865201E-3</v>
      </c>
      <c r="AC23" s="37" t="s">
        <v>230</v>
      </c>
      <c r="AD23" s="37" t="s">
        <v>230</v>
      </c>
      <c r="AE23" s="73" t="s">
        <v>231</v>
      </c>
      <c r="AF23" s="243" t="s">
        <v>232</v>
      </c>
      <c r="AH23" s="32"/>
      <c r="AI23" s="32"/>
      <c r="AJ23" s="32"/>
      <c r="AK23" s="30"/>
      <c r="AL23" s="32"/>
    </row>
    <row r="24" spans="1:44" ht="41.4" x14ac:dyDescent="0.3">
      <c r="A24" s="438" t="s">
        <v>240</v>
      </c>
      <c r="B24" s="437">
        <v>5</v>
      </c>
      <c r="C24" s="135" t="s">
        <v>241</v>
      </c>
      <c r="D24" s="50" t="s">
        <v>25</v>
      </c>
      <c r="E24" s="433" t="s">
        <v>24</v>
      </c>
      <c r="F24" s="135" t="s">
        <v>242</v>
      </c>
      <c r="G24" s="156">
        <v>250</v>
      </c>
      <c r="H24" s="156">
        <v>250</v>
      </c>
      <c r="I24" s="182">
        <v>9.6774999999999986E-4</v>
      </c>
      <c r="J24" s="182">
        <v>9.9999999999999995E-8</v>
      </c>
      <c r="K24" s="182">
        <v>3.225833333333333E-4</v>
      </c>
      <c r="L24" s="182">
        <v>3.3333333333333334E-8</v>
      </c>
      <c r="M24" s="182">
        <f>K24*('Exposure Factors'!$C$9/'Exposure Factors'!$C$10)</f>
        <v>6.5833333333333325E-4</v>
      </c>
      <c r="N24" s="182">
        <f>L24*('Exposure Factors'!$C$9/'Exposure Factors'!$C$10)</f>
        <v>6.8027210884353747E-8</v>
      </c>
      <c r="O24" s="182">
        <v>2.2094748858447484E-4</v>
      </c>
      <c r="P24" s="182">
        <v>2.2831050228310502E-8</v>
      </c>
      <c r="Q24" s="182">
        <f>O24*('Exposure Factors'!$C$9/'Exposure Factors'!$C$10)</f>
        <v>4.5091324200913235E-4</v>
      </c>
      <c r="R24" s="182">
        <f>P24*('Exposure Factors'!$C$9/'Exposure Factors'!$C$10)</f>
        <v>4.6593980057776535E-8</v>
      </c>
      <c r="S24" s="182">
        <v>1.1330640440229479E-4</v>
      </c>
      <c r="T24" s="182">
        <v>9.073878936892636E-9</v>
      </c>
      <c r="U24" s="182">
        <f>S24*('Exposure Factors'!$C$9/'Exposure Factors'!$C$10)</f>
        <v>2.3123756000468325E-4</v>
      </c>
      <c r="V24" s="182">
        <f>T24*('Exposure Factors'!$C$9/'Exposure Factors'!$C$10)</f>
        <v>1.8518120279372727E-8</v>
      </c>
      <c r="W24" s="156">
        <v>22</v>
      </c>
      <c r="X24" s="156">
        <v>22</v>
      </c>
      <c r="Y24" s="182">
        <v>2.3656111111111108E-4</v>
      </c>
      <c r="Z24" s="182">
        <v>2.4444444444444447E-8</v>
      </c>
      <c r="AA24" s="182">
        <f>Y24*('Exposure Factors'!$C$9/'Exposure Factors'!$C$10)</f>
        <v>4.8277777777777772E-4</v>
      </c>
      <c r="AB24" s="182">
        <f>Z24*('Exposure Factors'!$C$9/'Exposure Factors'!$C$10)</f>
        <v>4.9886621315192749E-8</v>
      </c>
      <c r="AC24" s="170"/>
      <c r="AD24" s="170">
        <v>55</v>
      </c>
      <c r="AE24" s="73" t="s">
        <v>243</v>
      </c>
      <c r="AF24" s="171" t="s">
        <v>244</v>
      </c>
      <c r="AH24" s="32"/>
      <c r="AI24" s="32"/>
      <c r="AJ24" s="32"/>
      <c r="AK24" s="30"/>
      <c r="AL24" s="32"/>
    </row>
    <row r="25" spans="1:44" ht="41.4" x14ac:dyDescent="0.3">
      <c r="A25" s="438" t="s">
        <v>240</v>
      </c>
      <c r="B25" s="437">
        <v>5</v>
      </c>
      <c r="C25" s="135" t="s">
        <v>241</v>
      </c>
      <c r="D25" s="50" t="s">
        <v>298</v>
      </c>
      <c r="E25" s="433" t="s">
        <v>24</v>
      </c>
      <c r="F25" s="135" t="s">
        <v>242</v>
      </c>
      <c r="G25" s="156">
        <v>250</v>
      </c>
      <c r="H25" s="156">
        <v>250</v>
      </c>
      <c r="I25" s="182">
        <v>9.6774999999999986E-4</v>
      </c>
      <c r="J25" s="182">
        <v>9.9999999999999995E-8</v>
      </c>
      <c r="K25" s="182">
        <v>3.225833333333333E-4</v>
      </c>
      <c r="L25" s="182">
        <v>3.3333333333333334E-8</v>
      </c>
      <c r="M25" s="182">
        <f>K25*('Exposure Factors'!$C$9/'Exposure Factors'!$C$10)</f>
        <v>6.5833333333333325E-4</v>
      </c>
      <c r="N25" s="182">
        <f>L25*('Exposure Factors'!$C$9/'Exposure Factors'!$C$10)</f>
        <v>6.8027210884353747E-8</v>
      </c>
      <c r="O25" s="182">
        <v>2.2094748858447484E-4</v>
      </c>
      <c r="P25" s="182">
        <v>2.2831050228310502E-8</v>
      </c>
      <c r="Q25" s="182">
        <f>O25*('Exposure Factors'!$C$9/'Exposure Factors'!$C$10)</f>
        <v>4.5091324200913235E-4</v>
      </c>
      <c r="R25" s="182">
        <f>P25*('Exposure Factors'!$C$9/'Exposure Factors'!$C$10)</f>
        <v>4.6593980057776535E-8</v>
      </c>
      <c r="S25" s="182">
        <v>1.1330640440229479E-4</v>
      </c>
      <c r="T25" s="182">
        <v>9.073878936892636E-9</v>
      </c>
      <c r="U25" s="182">
        <f>S25*('Exposure Factors'!$C$9/'Exposure Factors'!$C$10)</f>
        <v>2.3123756000468325E-4</v>
      </c>
      <c r="V25" s="182">
        <f>T25*('Exposure Factors'!$C$9/'Exposure Factors'!$C$10)</f>
        <v>1.8518120279372727E-8</v>
      </c>
      <c r="W25" s="156">
        <v>22</v>
      </c>
      <c r="X25" s="156">
        <v>22</v>
      </c>
      <c r="Y25" s="182">
        <v>2.3656111111111108E-4</v>
      </c>
      <c r="Z25" s="182">
        <v>2.4444444444444447E-8</v>
      </c>
      <c r="AA25" s="182">
        <f>Y25*('Exposure Factors'!$C$9/'Exposure Factors'!$C$10)</f>
        <v>4.8277777777777772E-4</v>
      </c>
      <c r="AB25" s="182">
        <f>Z25*('Exposure Factors'!$C$9/'Exposure Factors'!$C$10)</f>
        <v>4.9886621315192749E-8</v>
      </c>
      <c r="AC25" s="170"/>
      <c r="AD25" s="170">
        <v>55</v>
      </c>
      <c r="AE25" s="73" t="s">
        <v>243</v>
      </c>
      <c r="AF25" s="171" t="s">
        <v>244</v>
      </c>
      <c r="AH25" s="32"/>
      <c r="AI25" s="32"/>
      <c r="AJ25" s="32"/>
      <c r="AK25" s="30"/>
      <c r="AL25" s="32"/>
    </row>
    <row r="26" spans="1:44" ht="41.4" x14ac:dyDescent="0.3">
      <c r="A26" s="438" t="s">
        <v>240</v>
      </c>
      <c r="B26" s="437">
        <v>5</v>
      </c>
      <c r="C26" s="135" t="s">
        <v>241</v>
      </c>
      <c r="D26" s="242" t="s">
        <v>53</v>
      </c>
      <c r="E26" s="433" t="s">
        <v>24</v>
      </c>
      <c r="F26" s="135" t="s">
        <v>242</v>
      </c>
      <c r="G26" s="156">
        <v>250</v>
      </c>
      <c r="H26" s="156">
        <v>250</v>
      </c>
      <c r="I26" s="182">
        <v>1.8999999999999998E-4</v>
      </c>
      <c r="J26" s="182">
        <v>9.9999999999999995E-8</v>
      </c>
      <c r="K26" s="182">
        <v>6.3333333333333332E-5</v>
      </c>
      <c r="L26" s="182">
        <v>3.3333333333333334E-8</v>
      </c>
      <c r="M26" s="182">
        <f>K26*('Exposure Factors'!$C$9/'Exposure Factors'!$C$10)</f>
        <v>1.2925170068027212E-4</v>
      </c>
      <c r="N26" s="182">
        <f>L26*('Exposure Factors'!$C$9/'Exposure Factors'!$C$10)</f>
        <v>6.8027210884353747E-8</v>
      </c>
      <c r="O26" s="182">
        <v>4.3378995433789945E-5</v>
      </c>
      <c r="P26" s="182">
        <v>2.2831050228310502E-8</v>
      </c>
      <c r="Q26" s="182">
        <f>O26*('Exposure Factors'!$C$9/'Exposure Factors'!$C$10)</f>
        <v>8.8528562109775396E-5</v>
      </c>
      <c r="R26" s="182">
        <f>P26*('Exposure Factors'!$C$9/'Exposure Factors'!$C$10)</f>
        <v>4.6593980057776535E-8</v>
      </c>
      <c r="S26" s="182">
        <v>2.2245638683994846E-5</v>
      </c>
      <c r="T26" s="182">
        <v>9.073878936892636E-9</v>
      </c>
      <c r="U26" s="182">
        <f>S26*('Exposure Factors'!$C$9/'Exposure Factors'!$C$10)</f>
        <v>4.5399262620397648E-5</v>
      </c>
      <c r="V26" s="182">
        <f>T26*('Exposure Factors'!$C$9/'Exposure Factors'!$C$10)</f>
        <v>1.8518120279372727E-8</v>
      </c>
      <c r="W26" s="156">
        <v>22</v>
      </c>
      <c r="X26" s="156">
        <v>22</v>
      </c>
      <c r="Y26" s="182">
        <v>4.6444444444444441E-5</v>
      </c>
      <c r="Z26" s="182">
        <v>2.4444444444444447E-8</v>
      </c>
      <c r="AA26" s="182">
        <f>Y26*('Exposure Factors'!$C$9/'Exposure Factors'!$C$10)</f>
        <v>9.4784580498866213E-5</v>
      </c>
      <c r="AB26" s="182">
        <f>Z26*('Exposure Factors'!$C$9/'Exposure Factors'!$C$10)</f>
        <v>4.9886621315192749E-8</v>
      </c>
      <c r="AC26" s="170"/>
      <c r="AD26" s="170">
        <v>21</v>
      </c>
      <c r="AE26" s="73" t="s">
        <v>243</v>
      </c>
      <c r="AF26" s="171" t="s">
        <v>244</v>
      </c>
      <c r="AH26" s="32"/>
      <c r="AI26" s="32"/>
      <c r="AJ26" s="32"/>
      <c r="AK26" s="30"/>
      <c r="AL26" s="32"/>
    </row>
    <row r="27" spans="1:44" ht="41.4" x14ac:dyDescent="0.3">
      <c r="A27" s="438" t="s">
        <v>240</v>
      </c>
      <c r="B27" s="437">
        <v>5</v>
      </c>
      <c r="C27" s="135" t="s">
        <v>241</v>
      </c>
      <c r="D27" s="50" t="s">
        <v>25</v>
      </c>
      <c r="E27" s="433" t="s">
        <v>117</v>
      </c>
      <c r="F27" s="135" t="s">
        <v>242</v>
      </c>
      <c r="G27" s="156">
        <v>250</v>
      </c>
      <c r="H27" s="156">
        <v>250</v>
      </c>
      <c r="I27" s="182">
        <v>9.6774999999999986E-4</v>
      </c>
      <c r="J27" s="182">
        <v>9.9999999999999995E-8</v>
      </c>
      <c r="K27" s="182">
        <v>3.225833333333333E-4</v>
      </c>
      <c r="L27" s="182">
        <v>3.3333333333333334E-8</v>
      </c>
      <c r="M27" s="182">
        <f>K27*('Exposure Factors'!$C$9/'Exposure Factors'!$C$10)</f>
        <v>6.5833333333333325E-4</v>
      </c>
      <c r="N27" s="182">
        <f>L27*('Exposure Factors'!$C$9/'Exposure Factors'!$C$10)</f>
        <v>6.8027210884353747E-8</v>
      </c>
      <c r="O27" s="182">
        <v>2.2094748858447484E-4</v>
      </c>
      <c r="P27" s="182">
        <v>2.2831050228310502E-8</v>
      </c>
      <c r="Q27" s="182">
        <f>O27*('Exposure Factors'!$C$9/'Exposure Factors'!$C$10)</f>
        <v>4.5091324200913235E-4</v>
      </c>
      <c r="R27" s="182">
        <f>P27*('Exposure Factors'!$C$9/'Exposure Factors'!$C$10)</f>
        <v>4.6593980057776535E-8</v>
      </c>
      <c r="S27" s="182">
        <v>1.1330640440229479E-4</v>
      </c>
      <c r="T27" s="182">
        <v>9.073878936892636E-9</v>
      </c>
      <c r="U27" s="182">
        <f>S27*('Exposure Factors'!$C$9/'Exposure Factors'!$C$10)</f>
        <v>2.3123756000468325E-4</v>
      </c>
      <c r="V27" s="182">
        <f>T27*('Exposure Factors'!$C$9/'Exposure Factors'!$C$10)</f>
        <v>1.8518120279372727E-8</v>
      </c>
      <c r="W27" s="156">
        <v>22</v>
      </c>
      <c r="X27" s="156">
        <v>22</v>
      </c>
      <c r="Y27" s="182">
        <v>2.3656111111111108E-4</v>
      </c>
      <c r="Z27" s="182">
        <v>2.4444444444444447E-8</v>
      </c>
      <c r="AA27" s="182">
        <f>Y27*('Exposure Factors'!$C$9/'Exposure Factors'!$C$10)</f>
        <v>4.8277777777777772E-4</v>
      </c>
      <c r="AB27" s="182">
        <f>Z27*('Exposure Factors'!$C$9/'Exposure Factors'!$C$10)</f>
        <v>4.9886621315192749E-8</v>
      </c>
      <c r="AC27" s="170"/>
      <c r="AD27" s="170">
        <v>55</v>
      </c>
      <c r="AE27" s="73" t="s">
        <v>243</v>
      </c>
      <c r="AF27" s="171" t="s">
        <v>244</v>
      </c>
      <c r="AH27" s="32"/>
      <c r="AI27" s="32"/>
      <c r="AJ27" s="32"/>
      <c r="AK27" s="30"/>
      <c r="AL27" s="32"/>
    </row>
    <row r="28" spans="1:44" ht="41.4" x14ac:dyDescent="0.3">
      <c r="A28" s="438" t="s">
        <v>240</v>
      </c>
      <c r="B28" s="437">
        <v>5</v>
      </c>
      <c r="C28" s="135" t="s">
        <v>241</v>
      </c>
      <c r="D28" s="50" t="s">
        <v>298</v>
      </c>
      <c r="E28" s="433" t="s">
        <v>117</v>
      </c>
      <c r="F28" s="135" t="s">
        <v>242</v>
      </c>
      <c r="G28" s="156">
        <v>250</v>
      </c>
      <c r="H28" s="156">
        <v>250</v>
      </c>
      <c r="I28" s="182">
        <v>9.6774999999999986E-4</v>
      </c>
      <c r="J28" s="182">
        <v>9.9999999999999995E-8</v>
      </c>
      <c r="K28" s="182">
        <v>3.225833333333333E-4</v>
      </c>
      <c r="L28" s="182">
        <v>3.3333333333333334E-8</v>
      </c>
      <c r="M28" s="182">
        <f>K28*('Exposure Factors'!$C$9/'Exposure Factors'!$C$10)</f>
        <v>6.5833333333333325E-4</v>
      </c>
      <c r="N28" s="182">
        <f>L28*('Exposure Factors'!$C$9/'Exposure Factors'!$C$10)</f>
        <v>6.8027210884353747E-8</v>
      </c>
      <c r="O28" s="182">
        <v>2.2094748858447484E-4</v>
      </c>
      <c r="P28" s="182">
        <v>2.2831050228310502E-8</v>
      </c>
      <c r="Q28" s="182">
        <f>O28*('Exposure Factors'!$C$9/'Exposure Factors'!$C$10)</f>
        <v>4.5091324200913235E-4</v>
      </c>
      <c r="R28" s="182">
        <f>P28*('Exposure Factors'!$C$9/'Exposure Factors'!$C$10)</f>
        <v>4.6593980057776535E-8</v>
      </c>
      <c r="S28" s="182">
        <v>1.1330640440229479E-4</v>
      </c>
      <c r="T28" s="182">
        <v>9.073878936892636E-9</v>
      </c>
      <c r="U28" s="182">
        <f>S28*('Exposure Factors'!$C$9/'Exposure Factors'!$C$10)</f>
        <v>2.3123756000468325E-4</v>
      </c>
      <c r="V28" s="182">
        <f>T28*('Exposure Factors'!$C$9/'Exposure Factors'!$C$10)</f>
        <v>1.8518120279372727E-8</v>
      </c>
      <c r="W28" s="156">
        <v>22</v>
      </c>
      <c r="X28" s="156">
        <v>22</v>
      </c>
      <c r="Y28" s="182">
        <v>2.3656111111111108E-4</v>
      </c>
      <c r="Z28" s="182">
        <v>2.4444444444444447E-8</v>
      </c>
      <c r="AA28" s="182">
        <f>Y28*('Exposure Factors'!$C$9/'Exposure Factors'!$C$10)</f>
        <v>4.8277777777777772E-4</v>
      </c>
      <c r="AB28" s="182">
        <f>Z28*('Exposure Factors'!$C$9/'Exposure Factors'!$C$10)</f>
        <v>4.9886621315192749E-8</v>
      </c>
      <c r="AC28" s="170"/>
      <c r="AD28" s="170">
        <v>55</v>
      </c>
      <c r="AE28" s="73" t="s">
        <v>243</v>
      </c>
      <c r="AF28" s="171" t="s">
        <v>244</v>
      </c>
      <c r="AH28" s="32"/>
      <c r="AI28" s="32"/>
      <c r="AJ28" s="32"/>
      <c r="AK28" s="30"/>
      <c r="AL28" s="32"/>
    </row>
    <row r="29" spans="1:44" ht="41.4" x14ac:dyDescent="0.3">
      <c r="A29" s="438" t="s">
        <v>240</v>
      </c>
      <c r="B29" s="437">
        <v>5</v>
      </c>
      <c r="C29" s="135" t="s">
        <v>241</v>
      </c>
      <c r="D29" s="242" t="s">
        <v>53</v>
      </c>
      <c r="E29" s="433" t="s">
        <v>117</v>
      </c>
      <c r="F29" s="135" t="s">
        <v>242</v>
      </c>
      <c r="G29" s="156">
        <v>250</v>
      </c>
      <c r="H29" s="156">
        <v>250</v>
      </c>
      <c r="I29" s="182">
        <v>1.8999999999999998E-4</v>
      </c>
      <c r="J29" s="182">
        <v>9.9999999999999995E-8</v>
      </c>
      <c r="K29" s="182">
        <v>6.3333333333333332E-5</v>
      </c>
      <c r="L29" s="182">
        <v>3.3333333333333334E-8</v>
      </c>
      <c r="M29" s="182">
        <f>K29*('Exposure Factors'!$C$9/'Exposure Factors'!$C$10)</f>
        <v>1.2925170068027212E-4</v>
      </c>
      <c r="N29" s="182">
        <f>L29*('Exposure Factors'!$C$9/'Exposure Factors'!$C$10)</f>
        <v>6.8027210884353747E-8</v>
      </c>
      <c r="O29" s="182">
        <v>4.3378995433789945E-5</v>
      </c>
      <c r="P29" s="182">
        <v>2.2831050228310502E-8</v>
      </c>
      <c r="Q29" s="182">
        <f>O29*('Exposure Factors'!$C$9/'Exposure Factors'!$C$10)</f>
        <v>8.8528562109775396E-5</v>
      </c>
      <c r="R29" s="182">
        <f>P29*('Exposure Factors'!$C$9/'Exposure Factors'!$C$10)</f>
        <v>4.6593980057776535E-8</v>
      </c>
      <c r="S29" s="182">
        <v>2.2245638683994846E-5</v>
      </c>
      <c r="T29" s="182">
        <v>9.073878936892636E-9</v>
      </c>
      <c r="U29" s="182">
        <f>S29*('Exposure Factors'!$C$9/'Exposure Factors'!$C$10)</f>
        <v>4.5399262620397648E-5</v>
      </c>
      <c r="V29" s="182">
        <f>T29*('Exposure Factors'!$C$9/'Exposure Factors'!$C$10)</f>
        <v>1.8518120279372727E-8</v>
      </c>
      <c r="W29" s="156">
        <v>22</v>
      </c>
      <c r="X29" s="156">
        <v>22</v>
      </c>
      <c r="Y29" s="182">
        <v>4.6444444444444441E-5</v>
      </c>
      <c r="Z29" s="182">
        <v>2.4444444444444447E-8</v>
      </c>
      <c r="AA29" s="182">
        <f>Y29*('Exposure Factors'!$C$9/'Exposure Factors'!$C$10)</f>
        <v>9.4784580498866213E-5</v>
      </c>
      <c r="AB29" s="182">
        <f>Z29*('Exposure Factors'!$C$9/'Exposure Factors'!$C$10)</f>
        <v>4.9886621315192749E-8</v>
      </c>
      <c r="AC29" s="170"/>
      <c r="AD29" s="170">
        <v>21</v>
      </c>
      <c r="AE29" s="73" t="s">
        <v>243</v>
      </c>
      <c r="AF29" s="171" t="s">
        <v>244</v>
      </c>
      <c r="AH29" s="32"/>
      <c r="AI29" s="32"/>
      <c r="AJ29" s="32"/>
      <c r="AK29" s="30"/>
      <c r="AL29" s="32"/>
    </row>
    <row r="30" spans="1:44" x14ac:dyDescent="0.3">
      <c r="A30" s="438" t="s">
        <v>245</v>
      </c>
      <c r="B30" s="437" t="s">
        <v>134</v>
      </c>
      <c r="C30" s="135" t="s">
        <v>246</v>
      </c>
      <c r="D30" s="50" t="s">
        <v>25</v>
      </c>
      <c r="E30" s="433" t="s">
        <v>24</v>
      </c>
      <c r="F30" s="135" t="s">
        <v>247</v>
      </c>
      <c r="G30" s="156">
        <v>1</v>
      </c>
      <c r="H30" s="156">
        <v>1</v>
      </c>
      <c r="I30" s="182">
        <v>1.1050000000000002</v>
      </c>
      <c r="J30" s="182">
        <v>0.16900000000000001</v>
      </c>
      <c r="K30" s="182">
        <v>0.3683333333333334</v>
      </c>
      <c r="L30" s="182">
        <v>5.6333333333333339E-2</v>
      </c>
      <c r="M30" s="182">
        <f>K30*('Exposure Factors'!$C$9/'Exposure Factors'!$C$10)</f>
        <v>0.75170068027210901</v>
      </c>
      <c r="N30" s="182">
        <f>L30*('Exposure Factors'!$C$9/'Exposure Factors'!$C$10)</f>
        <v>0.11496598639455784</v>
      </c>
      <c r="O30" s="182">
        <v>1.0091324200913244E-3</v>
      </c>
      <c r="P30" s="182">
        <v>1.5433789954337902E-4</v>
      </c>
      <c r="Q30" s="182">
        <f>O30*('Exposure Factors'!$C$9/'Exposure Factors'!$C$10)</f>
        <v>2.0594539185537233E-3</v>
      </c>
      <c r="R30" s="182">
        <f>P30*('Exposure Factors'!$C$9/'Exposure Factors'!$C$10)</f>
        <v>3.1497530519056943E-4</v>
      </c>
      <c r="S30" s="182">
        <v>5.1750380517503818E-4</v>
      </c>
      <c r="T30" s="182">
        <v>6.1339421613394225E-5</v>
      </c>
      <c r="U30" s="182">
        <f>S30*('Exposure Factors'!$C$9/'Exposure Factors'!$C$10)</f>
        <v>1.0561302146429351E-3</v>
      </c>
      <c r="V30" s="182">
        <f>T30*('Exposure Factors'!$C$9/'Exposure Factors'!$C$10)</f>
        <v>1.2518249308855964E-4</v>
      </c>
      <c r="W30" s="156">
        <v>1</v>
      </c>
      <c r="X30" s="156">
        <v>1</v>
      </c>
      <c r="Y30" s="182">
        <v>1.227777777777778E-2</v>
      </c>
      <c r="Z30" s="182">
        <v>1.8777777777777779E-3</v>
      </c>
      <c r="AA30" s="182">
        <f>Y30*('Exposure Factors'!$C$9/'Exposure Factors'!$C$10)</f>
        <v>2.5056689342403633E-2</v>
      </c>
      <c r="AB30" s="182">
        <f>Z30*('Exposure Factors'!$C$9/'Exposure Factors'!$C$10)</f>
        <v>3.8321995464852612E-3</v>
      </c>
      <c r="AC30" s="37"/>
      <c r="AD30" s="37"/>
      <c r="AE30" s="73" t="s">
        <v>248</v>
      </c>
      <c r="AF30" s="243" t="s">
        <v>244</v>
      </c>
      <c r="AH30" s="32"/>
      <c r="AI30" s="32"/>
      <c r="AJ30" s="32"/>
      <c r="AK30" s="30"/>
      <c r="AL30" s="32"/>
      <c r="AM30" s="35"/>
      <c r="AO30" s="35"/>
      <c r="AP30" s="637"/>
      <c r="AQ30" s="637"/>
      <c r="AR30" s="638"/>
    </row>
    <row r="31" spans="1:44" x14ac:dyDescent="0.3">
      <c r="A31" s="438" t="s">
        <v>245</v>
      </c>
      <c r="B31" s="437" t="s">
        <v>134</v>
      </c>
      <c r="C31" s="135" t="s">
        <v>246</v>
      </c>
      <c r="D31" s="50" t="s">
        <v>298</v>
      </c>
      <c r="E31" s="433" t="s">
        <v>24</v>
      </c>
      <c r="F31" s="135" t="s">
        <v>247</v>
      </c>
      <c r="G31" s="156">
        <v>1</v>
      </c>
      <c r="H31" s="156">
        <v>1</v>
      </c>
      <c r="I31" s="182">
        <v>1.1050000000000002</v>
      </c>
      <c r="J31" s="182">
        <v>0.16900000000000001</v>
      </c>
      <c r="K31" s="182">
        <v>0.3683333333333334</v>
      </c>
      <c r="L31" s="182">
        <v>5.6333333333333339E-2</v>
      </c>
      <c r="M31" s="182">
        <f>K31*('Exposure Factors'!$C$9/'Exposure Factors'!$C$10)</f>
        <v>0.75170068027210901</v>
      </c>
      <c r="N31" s="182">
        <f>L31*('Exposure Factors'!$C$9/'Exposure Factors'!$C$10)</f>
        <v>0.11496598639455784</v>
      </c>
      <c r="O31" s="182">
        <v>1.0091324200913244E-3</v>
      </c>
      <c r="P31" s="182">
        <v>1.5433789954337902E-4</v>
      </c>
      <c r="Q31" s="182">
        <f>O31*('Exposure Factors'!$C$9/'Exposure Factors'!$C$10)</f>
        <v>2.0594539185537233E-3</v>
      </c>
      <c r="R31" s="182">
        <f>P31*('Exposure Factors'!$C$9/'Exposure Factors'!$C$10)</f>
        <v>3.1497530519056943E-4</v>
      </c>
      <c r="S31" s="182">
        <v>5.1750380517503818E-4</v>
      </c>
      <c r="T31" s="182">
        <v>6.1339421613394225E-5</v>
      </c>
      <c r="U31" s="182">
        <f>S31*('Exposure Factors'!$C$9/'Exposure Factors'!$C$10)</f>
        <v>1.0561302146429351E-3</v>
      </c>
      <c r="V31" s="182">
        <f>T31*('Exposure Factors'!$C$9/'Exposure Factors'!$C$10)</f>
        <v>1.2518249308855964E-4</v>
      </c>
      <c r="W31" s="156">
        <v>1</v>
      </c>
      <c r="X31" s="156">
        <v>1</v>
      </c>
      <c r="Y31" s="182">
        <v>1.227777777777778E-2</v>
      </c>
      <c r="Z31" s="182">
        <v>1.8777777777777779E-3</v>
      </c>
      <c r="AA31" s="182">
        <f>Y31*('Exposure Factors'!$C$9/'Exposure Factors'!$C$10)</f>
        <v>2.5056689342403633E-2</v>
      </c>
      <c r="AB31" s="182">
        <f>Z31*('Exposure Factors'!$C$9/'Exposure Factors'!$C$10)</f>
        <v>3.8321995464852612E-3</v>
      </c>
      <c r="AC31" s="37"/>
      <c r="AD31" s="37"/>
      <c r="AE31" s="73" t="s">
        <v>248</v>
      </c>
      <c r="AF31" s="243" t="s">
        <v>244</v>
      </c>
      <c r="AH31" s="32"/>
      <c r="AI31" s="32"/>
      <c r="AJ31" s="32"/>
      <c r="AK31" s="30"/>
      <c r="AL31" s="32"/>
      <c r="AM31" s="35"/>
      <c r="AO31" s="35"/>
      <c r="AP31" s="637"/>
      <c r="AQ31" s="637"/>
      <c r="AR31" s="638"/>
    </row>
    <row r="32" spans="1:44" x14ac:dyDescent="0.3">
      <c r="A32" s="438" t="s">
        <v>245</v>
      </c>
      <c r="B32" s="437" t="s">
        <v>134</v>
      </c>
      <c r="C32" s="135" t="s">
        <v>246</v>
      </c>
      <c r="D32" s="50" t="s">
        <v>25</v>
      </c>
      <c r="E32" s="433" t="s">
        <v>117</v>
      </c>
      <c r="F32" s="135" t="s">
        <v>247</v>
      </c>
      <c r="G32" s="156">
        <v>1</v>
      </c>
      <c r="H32" s="156">
        <v>1</v>
      </c>
      <c r="I32" s="182">
        <v>1.1050000000000002</v>
      </c>
      <c r="J32" s="182">
        <v>0.16900000000000001</v>
      </c>
      <c r="K32" s="182">
        <v>0.3683333333333334</v>
      </c>
      <c r="L32" s="182">
        <v>5.6333333333333339E-2</v>
      </c>
      <c r="M32" s="182">
        <f>K32*('Exposure Factors'!$C$9/'Exposure Factors'!$C$10)</f>
        <v>0.75170068027210901</v>
      </c>
      <c r="N32" s="182">
        <f>L32*('Exposure Factors'!$C$9/'Exposure Factors'!$C$10)</f>
        <v>0.11496598639455784</v>
      </c>
      <c r="O32" s="182">
        <v>1.0091324200913244E-3</v>
      </c>
      <c r="P32" s="182">
        <v>1.5433789954337902E-4</v>
      </c>
      <c r="Q32" s="182">
        <f>O32*('Exposure Factors'!$C$9/'Exposure Factors'!$C$10)</f>
        <v>2.0594539185537233E-3</v>
      </c>
      <c r="R32" s="182">
        <f>P32*('Exposure Factors'!$C$9/'Exposure Factors'!$C$10)</f>
        <v>3.1497530519056943E-4</v>
      </c>
      <c r="S32" s="182">
        <v>5.1750380517503818E-4</v>
      </c>
      <c r="T32" s="182">
        <v>6.1339421613394225E-5</v>
      </c>
      <c r="U32" s="182">
        <f>S32*('Exposure Factors'!$C$9/'Exposure Factors'!$C$10)</f>
        <v>1.0561302146429351E-3</v>
      </c>
      <c r="V32" s="182">
        <f>T32*('Exposure Factors'!$C$9/'Exposure Factors'!$C$10)</f>
        <v>1.2518249308855964E-4</v>
      </c>
      <c r="W32" s="156">
        <v>1</v>
      </c>
      <c r="X32" s="156">
        <v>1</v>
      </c>
      <c r="Y32" s="182">
        <v>1.227777777777778E-2</v>
      </c>
      <c r="Z32" s="182">
        <v>1.8777777777777779E-3</v>
      </c>
      <c r="AA32" s="182">
        <f>Y32*('Exposure Factors'!$C$9/'Exposure Factors'!$C$10)</f>
        <v>2.5056689342403633E-2</v>
      </c>
      <c r="AB32" s="182">
        <f>Z32*('Exposure Factors'!$C$9/'Exposure Factors'!$C$10)</f>
        <v>3.8321995464852612E-3</v>
      </c>
      <c r="AC32" s="37"/>
      <c r="AD32" s="37"/>
      <c r="AE32" s="73" t="s">
        <v>248</v>
      </c>
      <c r="AF32" s="243" t="s">
        <v>244</v>
      </c>
      <c r="AH32" s="32"/>
      <c r="AI32" s="32"/>
      <c r="AJ32" s="32"/>
      <c r="AK32" s="30"/>
      <c r="AL32" s="32"/>
      <c r="AM32" s="35"/>
      <c r="AO32" s="35"/>
      <c r="AP32" s="637"/>
      <c r="AQ32" s="637"/>
      <c r="AR32" s="638"/>
    </row>
    <row r="33" spans="1:44" x14ac:dyDescent="0.3">
      <c r="A33" s="438" t="s">
        <v>245</v>
      </c>
      <c r="B33" s="437" t="s">
        <v>134</v>
      </c>
      <c r="C33" s="135" t="s">
        <v>246</v>
      </c>
      <c r="D33" s="50" t="s">
        <v>298</v>
      </c>
      <c r="E33" s="433" t="s">
        <v>117</v>
      </c>
      <c r="F33" s="135" t="s">
        <v>247</v>
      </c>
      <c r="G33" s="156">
        <v>1</v>
      </c>
      <c r="H33" s="156">
        <v>1</v>
      </c>
      <c r="I33" s="182">
        <v>1.1050000000000002</v>
      </c>
      <c r="J33" s="182">
        <v>0.16900000000000001</v>
      </c>
      <c r="K33" s="182">
        <v>0.3683333333333334</v>
      </c>
      <c r="L33" s="182">
        <v>5.6333333333333339E-2</v>
      </c>
      <c r="M33" s="182">
        <f>K33*('Exposure Factors'!$C$9/'Exposure Factors'!$C$10)</f>
        <v>0.75170068027210901</v>
      </c>
      <c r="N33" s="182">
        <f>L33*('Exposure Factors'!$C$9/'Exposure Factors'!$C$10)</f>
        <v>0.11496598639455784</v>
      </c>
      <c r="O33" s="182">
        <v>1.0091324200913244E-3</v>
      </c>
      <c r="P33" s="182">
        <v>1.5433789954337902E-4</v>
      </c>
      <c r="Q33" s="182">
        <f>O33*('Exposure Factors'!$C$9/'Exposure Factors'!$C$10)</f>
        <v>2.0594539185537233E-3</v>
      </c>
      <c r="R33" s="182">
        <f>P33*('Exposure Factors'!$C$9/'Exposure Factors'!$C$10)</f>
        <v>3.1497530519056943E-4</v>
      </c>
      <c r="S33" s="182">
        <v>5.1750380517503818E-4</v>
      </c>
      <c r="T33" s="182">
        <v>6.1339421613394225E-5</v>
      </c>
      <c r="U33" s="182">
        <f>S33*('Exposure Factors'!$C$9/'Exposure Factors'!$C$10)</f>
        <v>1.0561302146429351E-3</v>
      </c>
      <c r="V33" s="182">
        <f>T33*('Exposure Factors'!$C$9/'Exposure Factors'!$C$10)</f>
        <v>1.2518249308855964E-4</v>
      </c>
      <c r="W33" s="156">
        <v>1</v>
      </c>
      <c r="X33" s="156">
        <v>1</v>
      </c>
      <c r="Y33" s="182">
        <v>1.227777777777778E-2</v>
      </c>
      <c r="Z33" s="182">
        <v>1.8777777777777779E-3</v>
      </c>
      <c r="AA33" s="182">
        <f>Y33*('Exposure Factors'!$C$9/'Exposure Factors'!$C$10)</f>
        <v>2.5056689342403633E-2</v>
      </c>
      <c r="AB33" s="182">
        <f>Z33*('Exposure Factors'!$C$9/'Exposure Factors'!$C$10)</f>
        <v>3.8321995464852612E-3</v>
      </c>
      <c r="AC33" s="37"/>
      <c r="AD33" s="37"/>
      <c r="AE33" s="73" t="s">
        <v>248</v>
      </c>
      <c r="AF33" s="243" t="s">
        <v>244</v>
      </c>
      <c r="AH33" s="32"/>
      <c r="AI33" s="32"/>
      <c r="AJ33" s="32"/>
      <c r="AK33" s="30"/>
      <c r="AL33" s="32"/>
      <c r="AM33" s="35"/>
      <c r="AO33" s="35"/>
      <c r="AP33" s="637"/>
      <c r="AQ33" s="637"/>
      <c r="AR33" s="638"/>
    </row>
    <row r="34" spans="1:44" x14ac:dyDescent="0.3">
      <c r="A34" s="438" t="s">
        <v>245</v>
      </c>
      <c r="B34" s="437" t="s">
        <v>138</v>
      </c>
      <c r="C34" s="135" t="s">
        <v>249</v>
      </c>
      <c r="D34" s="50" t="s">
        <v>25</v>
      </c>
      <c r="E34" s="433" t="s">
        <v>24</v>
      </c>
      <c r="F34" s="135" t="s">
        <v>250</v>
      </c>
      <c r="G34" s="156">
        <v>2</v>
      </c>
      <c r="H34" s="156">
        <v>2</v>
      </c>
      <c r="I34" s="182">
        <v>1.1050000000000002</v>
      </c>
      <c r="J34" s="182">
        <v>0.16900000000000001</v>
      </c>
      <c r="K34" s="182">
        <v>0.3683333333333334</v>
      </c>
      <c r="L34" s="182">
        <v>5.6333333333333339E-2</v>
      </c>
      <c r="M34" s="182">
        <f>K34*('Exposure Factors'!$C$9/'Exposure Factors'!$C$10)</f>
        <v>0.75170068027210901</v>
      </c>
      <c r="N34" s="182">
        <f>L34*('Exposure Factors'!$C$9/'Exposure Factors'!$C$10)</f>
        <v>0.11496598639455784</v>
      </c>
      <c r="O34" s="182">
        <v>2.0182648401826488E-3</v>
      </c>
      <c r="P34" s="182">
        <v>3.0867579908675803E-4</v>
      </c>
      <c r="Q34" s="182">
        <f>O34*('Exposure Factors'!$C$9/'Exposure Factors'!$C$10)</f>
        <v>4.1189078371074465E-3</v>
      </c>
      <c r="R34" s="182">
        <f>P34*('Exposure Factors'!$C$9/'Exposure Factors'!$C$10)</f>
        <v>6.2995061038113886E-4</v>
      </c>
      <c r="S34" s="182">
        <v>1.0350076103500764E-3</v>
      </c>
      <c r="T34" s="182">
        <v>1.2267884322678845E-4</v>
      </c>
      <c r="U34" s="182">
        <f>S34*('Exposure Factors'!$C$9/'Exposure Factors'!$C$10)</f>
        <v>2.1122604292858702E-3</v>
      </c>
      <c r="V34" s="182">
        <f>T34*('Exposure Factors'!$C$9/'Exposure Factors'!$C$10)</f>
        <v>2.5036498617711929E-4</v>
      </c>
      <c r="W34" s="156">
        <v>2</v>
      </c>
      <c r="X34" s="156">
        <v>2</v>
      </c>
      <c r="Y34" s="182">
        <v>2.455555555555556E-2</v>
      </c>
      <c r="Z34" s="182">
        <v>3.7555555555555558E-3</v>
      </c>
      <c r="AA34" s="182">
        <f>Y34*('Exposure Factors'!$C$9/'Exposure Factors'!$C$10)</f>
        <v>5.0113378684807267E-2</v>
      </c>
      <c r="AB34" s="182">
        <f>Z34*('Exposure Factors'!$C$9/'Exposure Factors'!$C$10)</f>
        <v>7.6643990929705225E-3</v>
      </c>
      <c r="AC34" s="37"/>
      <c r="AD34" s="37"/>
      <c r="AE34" s="73" t="s">
        <v>248</v>
      </c>
      <c r="AF34" s="243" t="s">
        <v>244</v>
      </c>
      <c r="AH34" s="32"/>
      <c r="AI34" s="48"/>
      <c r="AJ34" s="48"/>
      <c r="AK34" s="30"/>
      <c r="AL34" s="32"/>
      <c r="AM34" s="36"/>
      <c r="AO34" s="36"/>
      <c r="AP34" s="637"/>
      <c r="AQ34" s="637"/>
      <c r="AR34" s="638"/>
    </row>
    <row r="35" spans="1:44" x14ac:dyDescent="0.3">
      <c r="A35" s="438" t="s">
        <v>245</v>
      </c>
      <c r="B35" s="437" t="s">
        <v>138</v>
      </c>
      <c r="C35" s="135" t="s">
        <v>249</v>
      </c>
      <c r="D35" s="50" t="s">
        <v>298</v>
      </c>
      <c r="E35" s="433" t="s">
        <v>24</v>
      </c>
      <c r="F35" s="135" t="s">
        <v>250</v>
      </c>
      <c r="G35" s="156">
        <v>2</v>
      </c>
      <c r="H35" s="156">
        <v>2</v>
      </c>
      <c r="I35" s="182">
        <v>1.1050000000000002</v>
      </c>
      <c r="J35" s="182">
        <v>0.16900000000000001</v>
      </c>
      <c r="K35" s="182">
        <v>0.3683333333333334</v>
      </c>
      <c r="L35" s="182">
        <v>5.6333333333333339E-2</v>
      </c>
      <c r="M35" s="182">
        <f>K35*('Exposure Factors'!$C$9/'Exposure Factors'!$C$10)</f>
        <v>0.75170068027210901</v>
      </c>
      <c r="N35" s="182">
        <f>L35*('Exposure Factors'!$C$9/'Exposure Factors'!$C$10)</f>
        <v>0.11496598639455784</v>
      </c>
      <c r="O35" s="182">
        <v>2.0182648401826488E-3</v>
      </c>
      <c r="P35" s="182">
        <v>3.0867579908675803E-4</v>
      </c>
      <c r="Q35" s="182">
        <f>O35*('Exposure Factors'!$C$9/'Exposure Factors'!$C$10)</f>
        <v>4.1189078371074465E-3</v>
      </c>
      <c r="R35" s="182">
        <f>P35*('Exposure Factors'!$C$9/'Exposure Factors'!$C$10)</f>
        <v>6.2995061038113886E-4</v>
      </c>
      <c r="S35" s="182">
        <v>1.0350076103500764E-3</v>
      </c>
      <c r="T35" s="182">
        <v>1.2267884322678845E-4</v>
      </c>
      <c r="U35" s="182">
        <f>S35*('Exposure Factors'!$C$9/'Exposure Factors'!$C$10)</f>
        <v>2.1122604292858702E-3</v>
      </c>
      <c r="V35" s="182">
        <f>T35*('Exposure Factors'!$C$9/'Exposure Factors'!$C$10)</f>
        <v>2.5036498617711929E-4</v>
      </c>
      <c r="W35" s="156">
        <v>2</v>
      </c>
      <c r="X35" s="156">
        <v>2</v>
      </c>
      <c r="Y35" s="182">
        <v>2.455555555555556E-2</v>
      </c>
      <c r="Z35" s="182">
        <v>3.7555555555555558E-3</v>
      </c>
      <c r="AA35" s="182">
        <f>Y35*('Exposure Factors'!$C$9/'Exposure Factors'!$C$10)</f>
        <v>5.0113378684807267E-2</v>
      </c>
      <c r="AB35" s="182">
        <f>Z35*('Exposure Factors'!$C$9/'Exposure Factors'!$C$10)</f>
        <v>7.6643990929705225E-3</v>
      </c>
      <c r="AC35" s="37"/>
      <c r="AD35" s="37"/>
      <c r="AE35" s="73" t="s">
        <v>248</v>
      </c>
      <c r="AF35" s="243" t="s">
        <v>244</v>
      </c>
      <c r="AH35" s="32"/>
      <c r="AI35" s="48"/>
      <c r="AJ35" s="48"/>
      <c r="AK35" s="30"/>
      <c r="AL35" s="32"/>
      <c r="AM35" s="36"/>
      <c r="AO35" s="36"/>
      <c r="AP35" s="637"/>
      <c r="AQ35" s="637"/>
      <c r="AR35" s="638"/>
    </row>
    <row r="36" spans="1:44" x14ac:dyDescent="0.3">
      <c r="A36" s="438" t="s">
        <v>245</v>
      </c>
      <c r="B36" s="437" t="s">
        <v>138</v>
      </c>
      <c r="C36" s="135" t="s">
        <v>249</v>
      </c>
      <c r="D36" s="50" t="s">
        <v>25</v>
      </c>
      <c r="E36" s="433" t="s">
        <v>117</v>
      </c>
      <c r="F36" s="135" t="s">
        <v>250</v>
      </c>
      <c r="G36" s="156">
        <v>2</v>
      </c>
      <c r="H36" s="156">
        <v>2</v>
      </c>
      <c r="I36" s="182">
        <v>1.1050000000000002</v>
      </c>
      <c r="J36" s="182">
        <v>0.16900000000000001</v>
      </c>
      <c r="K36" s="182">
        <v>0.3683333333333334</v>
      </c>
      <c r="L36" s="182">
        <v>5.6333333333333339E-2</v>
      </c>
      <c r="M36" s="182">
        <f>K36*('Exposure Factors'!$C$9/'Exposure Factors'!$C$10)</f>
        <v>0.75170068027210901</v>
      </c>
      <c r="N36" s="182">
        <f>L36*('Exposure Factors'!$C$9/'Exposure Factors'!$C$10)</f>
        <v>0.11496598639455784</v>
      </c>
      <c r="O36" s="182">
        <v>2.0182648401826488E-3</v>
      </c>
      <c r="P36" s="182">
        <v>3.0867579908675803E-4</v>
      </c>
      <c r="Q36" s="182">
        <f>O36*('Exposure Factors'!$C$9/'Exposure Factors'!$C$10)</f>
        <v>4.1189078371074465E-3</v>
      </c>
      <c r="R36" s="182">
        <f>P36*('Exposure Factors'!$C$9/'Exposure Factors'!$C$10)</f>
        <v>6.2995061038113886E-4</v>
      </c>
      <c r="S36" s="182">
        <v>1.0350076103500764E-3</v>
      </c>
      <c r="T36" s="182">
        <v>1.2267884322678845E-4</v>
      </c>
      <c r="U36" s="182">
        <f>S36*('Exposure Factors'!$C$9/'Exposure Factors'!$C$10)</f>
        <v>2.1122604292858702E-3</v>
      </c>
      <c r="V36" s="182">
        <f>T36*('Exposure Factors'!$C$9/'Exposure Factors'!$C$10)</f>
        <v>2.5036498617711929E-4</v>
      </c>
      <c r="W36" s="156">
        <v>2</v>
      </c>
      <c r="X36" s="156">
        <v>2</v>
      </c>
      <c r="Y36" s="182">
        <v>2.455555555555556E-2</v>
      </c>
      <c r="Z36" s="182">
        <v>3.7555555555555558E-3</v>
      </c>
      <c r="AA36" s="182">
        <f>Y36*('Exposure Factors'!$C$9/'Exposure Factors'!$C$10)</f>
        <v>5.0113378684807267E-2</v>
      </c>
      <c r="AB36" s="182">
        <f>Z36*('Exposure Factors'!$C$9/'Exposure Factors'!$C$10)</f>
        <v>7.6643990929705225E-3</v>
      </c>
      <c r="AC36" s="37"/>
      <c r="AD36" s="37"/>
      <c r="AE36" s="73" t="s">
        <v>248</v>
      </c>
      <c r="AF36" s="243" t="s">
        <v>244</v>
      </c>
      <c r="AH36" s="32"/>
      <c r="AI36" s="48"/>
      <c r="AJ36" s="48"/>
      <c r="AK36" s="30"/>
      <c r="AL36" s="32"/>
      <c r="AM36" s="36"/>
      <c r="AO36" s="36"/>
      <c r="AP36" s="637"/>
      <c r="AQ36" s="637"/>
      <c r="AR36" s="638"/>
    </row>
    <row r="37" spans="1:44" x14ac:dyDescent="0.3">
      <c r="A37" s="438" t="s">
        <v>245</v>
      </c>
      <c r="B37" s="437" t="s">
        <v>138</v>
      </c>
      <c r="C37" s="135" t="s">
        <v>249</v>
      </c>
      <c r="D37" s="50" t="s">
        <v>298</v>
      </c>
      <c r="E37" s="433" t="s">
        <v>117</v>
      </c>
      <c r="F37" s="135" t="s">
        <v>250</v>
      </c>
      <c r="G37" s="156">
        <v>2</v>
      </c>
      <c r="H37" s="156">
        <v>2</v>
      </c>
      <c r="I37" s="182">
        <v>1.1050000000000002</v>
      </c>
      <c r="J37" s="182">
        <v>0.16900000000000001</v>
      </c>
      <c r="K37" s="182">
        <v>0.3683333333333334</v>
      </c>
      <c r="L37" s="182">
        <v>5.6333333333333339E-2</v>
      </c>
      <c r="M37" s="182">
        <f>K37*('Exposure Factors'!$C$9/'Exposure Factors'!$C$10)</f>
        <v>0.75170068027210901</v>
      </c>
      <c r="N37" s="182">
        <f>L37*('Exposure Factors'!$C$9/'Exposure Factors'!$C$10)</f>
        <v>0.11496598639455784</v>
      </c>
      <c r="O37" s="182">
        <v>2.0182648401826488E-3</v>
      </c>
      <c r="P37" s="182">
        <v>3.0867579908675803E-4</v>
      </c>
      <c r="Q37" s="182">
        <f>O37*('Exposure Factors'!$C$9/'Exposure Factors'!$C$10)</f>
        <v>4.1189078371074465E-3</v>
      </c>
      <c r="R37" s="182">
        <f>P37*('Exposure Factors'!$C$9/'Exposure Factors'!$C$10)</f>
        <v>6.2995061038113886E-4</v>
      </c>
      <c r="S37" s="182">
        <v>1.0350076103500764E-3</v>
      </c>
      <c r="T37" s="182">
        <v>1.2267884322678845E-4</v>
      </c>
      <c r="U37" s="182">
        <f>S37*('Exposure Factors'!$C$9/'Exposure Factors'!$C$10)</f>
        <v>2.1122604292858702E-3</v>
      </c>
      <c r="V37" s="182">
        <f>T37*('Exposure Factors'!$C$9/'Exposure Factors'!$C$10)</f>
        <v>2.5036498617711929E-4</v>
      </c>
      <c r="W37" s="156">
        <v>2</v>
      </c>
      <c r="X37" s="156">
        <v>2</v>
      </c>
      <c r="Y37" s="182">
        <v>2.455555555555556E-2</v>
      </c>
      <c r="Z37" s="182">
        <v>3.7555555555555558E-3</v>
      </c>
      <c r="AA37" s="182">
        <f>Y37*('Exposure Factors'!$C$9/'Exposure Factors'!$C$10)</f>
        <v>5.0113378684807267E-2</v>
      </c>
      <c r="AB37" s="182">
        <f>Z37*('Exposure Factors'!$C$9/'Exposure Factors'!$C$10)</f>
        <v>7.6643990929705225E-3</v>
      </c>
      <c r="AC37" s="37"/>
      <c r="AD37" s="37"/>
      <c r="AE37" s="73" t="s">
        <v>248</v>
      </c>
      <c r="AF37" s="243" t="s">
        <v>244</v>
      </c>
      <c r="AH37" s="32"/>
      <c r="AI37" s="48"/>
      <c r="AJ37" s="48"/>
      <c r="AK37" s="30"/>
      <c r="AL37" s="32"/>
      <c r="AM37" s="36"/>
      <c r="AO37" s="36"/>
      <c r="AP37" s="637"/>
      <c r="AQ37" s="637"/>
      <c r="AR37" s="638"/>
    </row>
    <row r="38" spans="1:44" x14ac:dyDescent="0.3">
      <c r="A38" s="438" t="s">
        <v>245</v>
      </c>
      <c r="B38" s="437" t="s">
        <v>140</v>
      </c>
      <c r="C38" s="135" t="s">
        <v>251</v>
      </c>
      <c r="D38" s="50" t="s">
        <v>25</v>
      </c>
      <c r="E38" s="433" t="s">
        <v>24</v>
      </c>
      <c r="F38" s="135" t="s">
        <v>252</v>
      </c>
      <c r="G38" s="156">
        <v>250</v>
      </c>
      <c r="H38" s="156">
        <v>250</v>
      </c>
      <c r="I38" s="182">
        <v>1.1050000000000002</v>
      </c>
      <c r="J38" s="182">
        <v>0.16900000000000001</v>
      </c>
      <c r="K38" s="182">
        <v>0.3683333333333334</v>
      </c>
      <c r="L38" s="182">
        <v>5.6333333333333339E-2</v>
      </c>
      <c r="M38" s="182">
        <f>K38*('Exposure Factors'!$C$9/'Exposure Factors'!$C$10)</f>
        <v>0.75170068027210901</v>
      </c>
      <c r="N38" s="182">
        <f>L38*('Exposure Factors'!$C$9/'Exposure Factors'!$C$10)</f>
        <v>0.11496598639455784</v>
      </c>
      <c r="O38" s="182">
        <v>0.25228310502283108</v>
      </c>
      <c r="P38" s="182">
        <v>3.8584474885844752E-2</v>
      </c>
      <c r="Q38" s="182">
        <f>O38*('Exposure Factors'!$C$9/'Exposure Factors'!$C$10)</f>
        <v>0.51486347963843082</v>
      </c>
      <c r="R38" s="182">
        <f>P38*('Exposure Factors'!$C$9/'Exposure Factors'!$C$10)</f>
        <v>7.8743826297642358E-2</v>
      </c>
      <c r="S38" s="182">
        <v>0.12937595129375953</v>
      </c>
      <c r="T38" s="182">
        <v>1.5334855403348554E-2</v>
      </c>
      <c r="U38" s="182">
        <f>S38*('Exposure Factors'!$C$9/'Exposure Factors'!$C$10)</f>
        <v>0.26403255366073375</v>
      </c>
      <c r="V38" s="182">
        <f>T38*('Exposure Factors'!$C$9/'Exposure Factors'!$C$10)</f>
        <v>3.1295623272139909E-2</v>
      </c>
      <c r="W38" s="156">
        <v>22</v>
      </c>
      <c r="X38" s="156">
        <v>22</v>
      </c>
      <c r="Y38" s="182">
        <v>0.27011111111111119</v>
      </c>
      <c r="Z38" s="182">
        <v>4.1311111111111118E-2</v>
      </c>
      <c r="AA38" s="182">
        <f>Y38*('Exposure Factors'!$C$9/'Exposure Factors'!$C$10)</f>
        <v>0.55124716553288</v>
      </c>
      <c r="AB38" s="182">
        <f>Z38*('Exposure Factors'!$C$9/'Exposure Factors'!$C$10)</f>
        <v>8.4308390022675747E-2</v>
      </c>
      <c r="AC38" s="37"/>
      <c r="AD38" s="37"/>
      <c r="AE38" s="73" t="s">
        <v>248</v>
      </c>
      <c r="AF38" s="243" t="s">
        <v>244</v>
      </c>
      <c r="AH38" s="32"/>
      <c r="AI38" s="48"/>
      <c r="AJ38" s="48"/>
      <c r="AK38" s="30"/>
      <c r="AL38" s="32"/>
      <c r="AM38" s="36"/>
      <c r="AO38" s="36"/>
      <c r="AP38" s="637"/>
      <c r="AQ38" s="637"/>
      <c r="AR38" s="638"/>
    </row>
    <row r="39" spans="1:44" x14ac:dyDescent="0.3">
      <c r="A39" s="438" t="s">
        <v>245</v>
      </c>
      <c r="B39" s="437" t="s">
        <v>140</v>
      </c>
      <c r="C39" s="135" t="s">
        <v>251</v>
      </c>
      <c r="D39" s="50" t="s">
        <v>298</v>
      </c>
      <c r="E39" s="433" t="s">
        <v>24</v>
      </c>
      <c r="F39" s="135" t="s">
        <v>252</v>
      </c>
      <c r="G39" s="156">
        <v>250</v>
      </c>
      <c r="H39" s="156">
        <v>250</v>
      </c>
      <c r="I39" s="182">
        <v>1.1050000000000002</v>
      </c>
      <c r="J39" s="182">
        <v>0.16900000000000001</v>
      </c>
      <c r="K39" s="182">
        <v>0.3683333333333334</v>
      </c>
      <c r="L39" s="182">
        <v>5.6333333333333339E-2</v>
      </c>
      <c r="M39" s="182">
        <f>K39*('Exposure Factors'!$C$9/'Exposure Factors'!$C$10)</f>
        <v>0.75170068027210901</v>
      </c>
      <c r="N39" s="182">
        <f>L39*('Exposure Factors'!$C$9/'Exposure Factors'!$C$10)</f>
        <v>0.11496598639455784</v>
      </c>
      <c r="O39" s="182">
        <v>0.25228310502283108</v>
      </c>
      <c r="P39" s="182">
        <v>3.8584474885844752E-2</v>
      </c>
      <c r="Q39" s="182">
        <f>O39*('Exposure Factors'!$C$9/'Exposure Factors'!$C$10)</f>
        <v>0.51486347963843082</v>
      </c>
      <c r="R39" s="182">
        <f>P39*('Exposure Factors'!$C$9/'Exposure Factors'!$C$10)</f>
        <v>7.8743826297642358E-2</v>
      </c>
      <c r="S39" s="182">
        <v>0.12937595129375953</v>
      </c>
      <c r="T39" s="182">
        <v>1.5334855403348554E-2</v>
      </c>
      <c r="U39" s="182">
        <f>S39*('Exposure Factors'!$C$9/'Exposure Factors'!$C$10)</f>
        <v>0.26403255366073375</v>
      </c>
      <c r="V39" s="182">
        <f>T39*('Exposure Factors'!$C$9/'Exposure Factors'!$C$10)</f>
        <v>3.1295623272139909E-2</v>
      </c>
      <c r="W39" s="156">
        <v>22</v>
      </c>
      <c r="X39" s="156">
        <v>22</v>
      </c>
      <c r="Y39" s="182">
        <v>0.27011111111111119</v>
      </c>
      <c r="Z39" s="182">
        <v>4.1311111111111118E-2</v>
      </c>
      <c r="AA39" s="182">
        <f>Y39*('Exposure Factors'!$C$9/'Exposure Factors'!$C$10)</f>
        <v>0.55124716553288</v>
      </c>
      <c r="AB39" s="182">
        <f>Z39*('Exposure Factors'!$C$9/'Exposure Factors'!$C$10)</f>
        <v>8.4308390022675747E-2</v>
      </c>
      <c r="AC39" s="37"/>
      <c r="AD39" s="37"/>
      <c r="AE39" s="73" t="s">
        <v>248</v>
      </c>
      <c r="AF39" s="243" t="s">
        <v>244</v>
      </c>
      <c r="AH39" s="32"/>
      <c r="AI39" s="48"/>
      <c r="AJ39" s="48"/>
      <c r="AK39" s="30"/>
      <c r="AL39" s="32"/>
      <c r="AM39" s="36"/>
      <c r="AO39" s="36"/>
      <c r="AP39" s="637"/>
      <c r="AQ39" s="637"/>
      <c r="AR39" s="638"/>
    </row>
    <row r="40" spans="1:44" x14ac:dyDescent="0.3">
      <c r="A40" s="438" t="s">
        <v>245</v>
      </c>
      <c r="B40" s="437" t="s">
        <v>140</v>
      </c>
      <c r="C40" s="135" t="s">
        <v>251</v>
      </c>
      <c r="D40" s="50" t="s">
        <v>25</v>
      </c>
      <c r="E40" s="433" t="s">
        <v>117</v>
      </c>
      <c r="F40" s="135" t="s">
        <v>252</v>
      </c>
      <c r="G40" s="156">
        <v>250</v>
      </c>
      <c r="H40" s="156">
        <v>250</v>
      </c>
      <c r="I40" s="182">
        <v>1.1050000000000002</v>
      </c>
      <c r="J40" s="182">
        <v>0.16900000000000001</v>
      </c>
      <c r="K40" s="182">
        <v>0.3683333333333334</v>
      </c>
      <c r="L40" s="182">
        <v>5.6333333333333339E-2</v>
      </c>
      <c r="M40" s="182">
        <f>K40*('Exposure Factors'!$C$9/'Exposure Factors'!$C$10)</f>
        <v>0.75170068027210901</v>
      </c>
      <c r="N40" s="182">
        <f>L40*('Exposure Factors'!$C$9/'Exposure Factors'!$C$10)</f>
        <v>0.11496598639455784</v>
      </c>
      <c r="O40" s="182">
        <v>0.25228310502283108</v>
      </c>
      <c r="P40" s="182">
        <v>3.8584474885844752E-2</v>
      </c>
      <c r="Q40" s="182">
        <f>O40*('Exposure Factors'!$C$9/'Exposure Factors'!$C$10)</f>
        <v>0.51486347963843082</v>
      </c>
      <c r="R40" s="182">
        <f>P40*('Exposure Factors'!$C$9/'Exposure Factors'!$C$10)</f>
        <v>7.8743826297642358E-2</v>
      </c>
      <c r="S40" s="182">
        <v>0.12937595129375953</v>
      </c>
      <c r="T40" s="182">
        <v>1.5334855403348554E-2</v>
      </c>
      <c r="U40" s="182">
        <f>S40*('Exposure Factors'!$C$9/'Exposure Factors'!$C$10)</f>
        <v>0.26403255366073375</v>
      </c>
      <c r="V40" s="182">
        <f>T40*('Exposure Factors'!$C$9/'Exposure Factors'!$C$10)</f>
        <v>3.1295623272139909E-2</v>
      </c>
      <c r="W40" s="156">
        <v>22</v>
      </c>
      <c r="X40" s="156">
        <v>22</v>
      </c>
      <c r="Y40" s="182">
        <v>0.27011111111111119</v>
      </c>
      <c r="Z40" s="182">
        <v>4.1311111111111118E-2</v>
      </c>
      <c r="AA40" s="182">
        <f>Y40*('Exposure Factors'!$C$9/'Exposure Factors'!$C$10)</f>
        <v>0.55124716553288</v>
      </c>
      <c r="AB40" s="182">
        <f>Z40*('Exposure Factors'!$C$9/'Exposure Factors'!$C$10)</f>
        <v>8.4308390022675747E-2</v>
      </c>
      <c r="AC40" s="37"/>
      <c r="AD40" s="37"/>
      <c r="AE40" s="73" t="s">
        <v>248</v>
      </c>
      <c r="AF40" s="243" t="s">
        <v>244</v>
      </c>
      <c r="AH40" s="32"/>
      <c r="AI40" s="48"/>
      <c r="AJ40" s="48"/>
      <c r="AK40" s="30"/>
      <c r="AL40" s="32"/>
      <c r="AM40" s="36"/>
      <c r="AO40" s="36"/>
      <c r="AP40" s="637"/>
      <c r="AQ40" s="637"/>
      <c r="AR40" s="638"/>
    </row>
    <row r="41" spans="1:44" x14ac:dyDescent="0.3">
      <c r="A41" s="438" t="s">
        <v>245</v>
      </c>
      <c r="B41" s="437" t="s">
        <v>140</v>
      </c>
      <c r="C41" s="135" t="s">
        <v>251</v>
      </c>
      <c r="D41" s="50" t="s">
        <v>298</v>
      </c>
      <c r="E41" s="433" t="s">
        <v>117</v>
      </c>
      <c r="F41" s="135" t="s">
        <v>252</v>
      </c>
      <c r="G41" s="156">
        <v>250</v>
      </c>
      <c r="H41" s="156">
        <v>250</v>
      </c>
      <c r="I41" s="182">
        <v>1.1050000000000002</v>
      </c>
      <c r="J41" s="182">
        <v>0.16900000000000001</v>
      </c>
      <c r="K41" s="182">
        <v>0.3683333333333334</v>
      </c>
      <c r="L41" s="182">
        <v>5.6333333333333339E-2</v>
      </c>
      <c r="M41" s="182">
        <f>K41*('Exposure Factors'!$C$9/'Exposure Factors'!$C$10)</f>
        <v>0.75170068027210901</v>
      </c>
      <c r="N41" s="182">
        <f>L41*('Exposure Factors'!$C$9/'Exposure Factors'!$C$10)</f>
        <v>0.11496598639455784</v>
      </c>
      <c r="O41" s="182">
        <v>0.25228310502283108</v>
      </c>
      <c r="P41" s="182">
        <v>3.8584474885844752E-2</v>
      </c>
      <c r="Q41" s="182">
        <f>O41*('Exposure Factors'!$C$9/'Exposure Factors'!$C$10)</f>
        <v>0.51486347963843082</v>
      </c>
      <c r="R41" s="182">
        <f>P41*('Exposure Factors'!$C$9/'Exposure Factors'!$C$10)</f>
        <v>7.8743826297642358E-2</v>
      </c>
      <c r="S41" s="182">
        <v>0.12937595129375953</v>
      </c>
      <c r="T41" s="182">
        <v>1.5334855403348554E-2</v>
      </c>
      <c r="U41" s="182">
        <f>S41*('Exposure Factors'!$C$9/'Exposure Factors'!$C$10)</f>
        <v>0.26403255366073375</v>
      </c>
      <c r="V41" s="182">
        <f>T41*('Exposure Factors'!$C$9/'Exposure Factors'!$C$10)</f>
        <v>3.1295623272139909E-2</v>
      </c>
      <c r="W41" s="156">
        <v>22</v>
      </c>
      <c r="X41" s="156">
        <v>22</v>
      </c>
      <c r="Y41" s="182">
        <v>0.27011111111111119</v>
      </c>
      <c r="Z41" s="182">
        <v>4.1311111111111118E-2</v>
      </c>
      <c r="AA41" s="182">
        <f>Y41*('Exposure Factors'!$C$9/'Exposure Factors'!$C$10)</f>
        <v>0.55124716553288</v>
      </c>
      <c r="AB41" s="182">
        <f>Z41*('Exposure Factors'!$C$9/'Exposure Factors'!$C$10)</f>
        <v>8.4308390022675747E-2</v>
      </c>
      <c r="AC41" s="37"/>
      <c r="AD41" s="37"/>
      <c r="AE41" s="73" t="s">
        <v>248</v>
      </c>
      <c r="AF41" s="243" t="s">
        <v>244</v>
      </c>
      <c r="AH41" s="32"/>
      <c r="AI41" s="48"/>
      <c r="AJ41" s="48"/>
      <c r="AK41" s="30"/>
      <c r="AL41" s="32"/>
      <c r="AM41" s="36"/>
      <c r="AO41" s="36"/>
      <c r="AP41" s="637"/>
      <c r="AQ41" s="637"/>
      <c r="AR41" s="638"/>
    </row>
    <row r="42" spans="1:44" x14ac:dyDescent="0.3">
      <c r="A42" s="438" t="s">
        <v>245</v>
      </c>
      <c r="B42" s="437" t="s">
        <v>142</v>
      </c>
      <c r="C42" s="135" t="s">
        <v>253</v>
      </c>
      <c r="D42" s="50" t="s">
        <v>25</v>
      </c>
      <c r="E42" s="433" t="s">
        <v>24</v>
      </c>
      <c r="F42" s="135" t="s">
        <v>254</v>
      </c>
      <c r="G42" s="156">
        <v>1</v>
      </c>
      <c r="H42" s="156">
        <v>1</v>
      </c>
      <c r="I42" s="182">
        <v>5.5250000000000004</v>
      </c>
      <c r="J42" s="182">
        <v>0.84499999999999997</v>
      </c>
      <c r="K42" s="182">
        <v>1.8416666666666668</v>
      </c>
      <c r="L42" s="182">
        <v>0.28166666666666668</v>
      </c>
      <c r="M42" s="182">
        <f>K42*('Exposure Factors'!$C$9/'Exposure Factors'!$C$10)</f>
        <v>3.7585034013605445</v>
      </c>
      <c r="N42" s="182">
        <f>L42*('Exposure Factors'!$C$9/'Exposure Factors'!$C$10)</f>
        <v>0.5748299319727892</v>
      </c>
      <c r="O42" s="182">
        <v>5.0456621004566207E-3</v>
      </c>
      <c r="P42" s="182">
        <v>7.7168949771689503E-4</v>
      </c>
      <c r="Q42" s="182">
        <f>O42*('Exposure Factors'!$C$9/'Exposure Factors'!$C$10)</f>
        <v>1.0297269592768613E-2</v>
      </c>
      <c r="R42" s="182">
        <f>P42*('Exposure Factors'!$C$9/'Exposure Factors'!$C$10)</f>
        <v>1.574876525952847E-3</v>
      </c>
      <c r="S42" s="182">
        <v>2.5875190258751904E-3</v>
      </c>
      <c r="T42" s="182">
        <v>3.066971080669711E-4</v>
      </c>
      <c r="U42" s="182">
        <f>S42*('Exposure Factors'!$C$9/'Exposure Factors'!$C$10)</f>
        <v>5.2806510732146747E-3</v>
      </c>
      <c r="V42" s="182">
        <f>T42*('Exposure Factors'!$C$9/'Exposure Factors'!$C$10)</f>
        <v>6.2591246544279819E-4</v>
      </c>
      <c r="W42" s="156">
        <v>1</v>
      </c>
      <c r="X42" s="156">
        <v>1</v>
      </c>
      <c r="Y42" s="182">
        <v>6.1388888888888896E-2</v>
      </c>
      <c r="Z42" s="182">
        <v>9.3888888888888893E-3</v>
      </c>
      <c r="AA42" s="182">
        <f>Y42*('Exposure Factors'!$C$9/'Exposure Factors'!$C$10)</f>
        <v>0.12528344671201816</v>
      </c>
      <c r="AB42" s="182">
        <f>Z42*('Exposure Factors'!$C$9/'Exposure Factors'!$C$10)</f>
        <v>1.9160997732426306E-2</v>
      </c>
      <c r="AC42" s="37"/>
      <c r="AD42" s="37"/>
      <c r="AE42" s="73" t="s">
        <v>248</v>
      </c>
      <c r="AF42" s="243" t="s">
        <v>244</v>
      </c>
      <c r="AH42" s="32"/>
      <c r="AI42" s="48"/>
      <c r="AJ42" s="48"/>
      <c r="AK42" s="30"/>
      <c r="AL42" s="32"/>
      <c r="AM42" s="31"/>
      <c r="AO42" s="36"/>
      <c r="AP42" s="637"/>
      <c r="AQ42" s="637"/>
      <c r="AR42" s="638"/>
    </row>
    <row r="43" spans="1:44" x14ac:dyDescent="0.3">
      <c r="A43" s="438" t="s">
        <v>245</v>
      </c>
      <c r="B43" s="437" t="s">
        <v>142</v>
      </c>
      <c r="C43" s="135" t="s">
        <v>253</v>
      </c>
      <c r="D43" s="50" t="s">
        <v>298</v>
      </c>
      <c r="E43" s="433" t="s">
        <v>24</v>
      </c>
      <c r="F43" s="135" t="s">
        <v>254</v>
      </c>
      <c r="G43" s="156">
        <v>1</v>
      </c>
      <c r="H43" s="156">
        <v>1</v>
      </c>
      <c r="I43" s="182">
        <v>5.5250000000000004</v>
      </c>
      <c r="J43" s="182">
        <v>0.84499999999999997</v>
      </c>
      <c r="K43" s="182">
        <v>1.8416666666666668</v>
      </c>
      <c r="L43" s="182">
        <v>0.28166666666666668</v>
      </c>
      <c r="M43" s="182">
        <f>K43*('Exposure Factors'!$C$9/'Exposure Factors'!$C$10)</f>
        <v>3.7585034013605445</v>
      </c>
      <c r="N43" s="182">
        <f>L43*('Exposure Factors'!$C$9/'Exposure Factors'!$C$10)</f>
        <v>0.5748299319727892</v>
      </c>
      <c r="O43" s="182">
        <v>5.0456621004566207E-3</v>
      </c>
      <c r="P43" s="182">
        <v>7.7168949771689503E-4</v>
      </c>
      <c r="Q43" s="182">
        <f>O43*('Exposure Factors'!$C$9/'Exposure Factors'!$C$10)</f>
        <v>1.0297269592768613E-2</v>
      </c>
      <c r="R43" s="182">
        <f>P43*('Exposure Factors'!$C$9/'Exposure Factors'!$C$10)</f>
        <v>1.574876525952847E-3</v>
      </c>
      <c r="S43" s="182">
        <v>2.5875190258751904E-3</v>
      </c>
      <c r="T43" s="182">
        <v>3.066971080669711E-4</v>
      </c>
      <c r="U43" s="182">
        <f>S43*('Exposure Factors'!$C$9/'Exposure Factors'!$C$10)</f>
        <v>5.2806510732146747E-3</v>
      </c>
      <c r="V43" s="182">
        <f>T43*('Exposure Factors'!$C$9/'Exposure Factors'!$C$10)</f>
        <v>6.2591246544279819E-4</v>
      </c>
      <c r="W43" s="156">
        <v>1</v>
      </c>
      <c r="X43" s="156">
        <v>1</v>
      </c>
      <c r="Y43" s="182">
        <v>6.1388888888888896E-2</v>
      </c>
      <c r="Z43" s="182">
        <v>9.3888888888888893E-3</v>
      </c>
      <c r="AA43" s="182">
        <f>Y43*('Exposure Factors'!$C$9/'Exposure Factors'!$C$10)</f>
        <v>0.12528344671201816</v>
      </c>
      <c r="AB43" s="182">
        <f>Z43*('Exposure Factors'!$C$9/'Exposure Factors'!$C$10)</f>
        <v>1.9160997732426306E-2</v>
      </c>
      <c r="AC43" s="37"/>
      <c r="AD43" s="37"/>
      <c r="AE43" s="73" t="s">
        <v>248</v>
      </c>
      <c r="AF43" s="243" t="s">
        <v>244</v>
      </c>
      <c r="AH43" s="32"/>
      <c r="AI43" s="48"/>
      <c r="AJ43" s="48"/>
      <c r="AK43" s="30"/>
      <c r="AL43" s="32"/>
      <c r="AM43" s="31"/>
      <c r="AO43" s="36"/>
      <c r="AP43" s="329"/>
      <c r="AQ43" s="329"/>
      <c r="AR43" s="330"/>
    </row>
    <row r="44" spans="1:44" x14ac:dyDescent="0.3">
      <c r="A44" s="438" t="s">
        <v>245</v>
      </c>
      <c r="B44" s="437" t="s">
        <v>142</v>
      </c>
      <c r="C44" s="135" t="s">
        <v>253</v>
      </c>
      <c r="D44" s="50" t="s">
        <v>25</v>
      </c>
      <c r="E44" s="433" t="s">
        <v>117</v>
      </c>
      <c r="F44" s="135" t="s">
        <v>254</v>
      </c>
      <c r="G44" s="156">
        <v>1</v>
      </c>
      <c r="H44" s="156">
        <v>1</v>
      </c>
      <c r="I44" s="182">
        <v>5.5250000000000004</v>
      </c>
      <c r="J44" s="182">
        <v>0.84499999999999997</v>
      </c>
      <c r="K44" s="182">
        <v>1.8416666666666668</v>
      </c>
      <c r="L44" s="182">
        <v>0.28166666666666668</v>
      </c>
      <c r="M44" s="182">
        <f>K44*('Exposure Factors'!$C$9/'Exposure Factors'!$C$10)</f>
        <v>3.7585034013605445</v>
      </c>
      <c r="N44" s="182">
        <f>L44*('Exposure Factors'!$C$9/'Exposure Factors'!$C$10)</f>
        <v>0.5748299319727892</v>
      </c>
      <c r="O44" s="182">
        <v>5.0456621004566207E-3</v>
      </c>
      <c r="P44" s="182">
        <v>7.7168949771689503E-4</v>
      </c>
      <c r="Q44" s="182">
        <f>O44*('Exposure Factors'!$C$9/'Exposure Factors'!$C$10)</f>
        <v>1.0297269592768613E-2</v>
      </c>
      <c r="R44" s="182">
        <f>P44*('Exposure Factors'!$C$9/'Exposure Factors'!$C$10)</f>
        <v>1.574876525952847E-3</v>
      </c>
      <c r="S44" s="182">
        <v>2.5875190258751904E-3</v>
      </c>
      <c r="T44" s="182">
        <v>3.066971080669711E-4</v>
      </c>
      <c r="U44" s="182">
        <f>S44*('Exposure Factors'!$C$9/'Exposure Factors'!$C$10)</f>
        <v>5.2806510732146747E-3</v>
      </c>
      <c r="V44" s="182">
        <f>T44*('Exposure Factors'!$C$9/'Exposure Factors'!$C$10)</f>
        <v>6.2591246544279819E-4</v>
      </c>
      <c r="W44" s="156">
        <v>1</v>
      </c>
      <c r="X44" s="156">
        <v>1</v>
      </c>
      <c r="Y44" s="182">
        <v>6.1388888888888896E-2</v>
      </c>
      <c r="Z44" s="182">
        <v>9.3888888888888893E-3</v>
      </c>
      <c r="AA44" s="182">
        <f>Y44*('Exposure Factors'!$C$9/'Exposure Factors'!$C$10)</f>
        <v>0.12528344671201816</v>
      </c>
      <c r="AB44" s="182">
        <f>Z44*('Exposure Factors'!$C$9/'Exposure Factors'!$C$10)</f>
        <v>1.9160997732426306E-2</v>
      </c>
      <c r="AC44" s="37"/>
      <c r="AD44" s="37"/>
      <c r="AE44" s="73" t="s">
        <v>248</v>
      </c>
      <c r="AF44" s="243" t="s">
        <v>244</v>
      </c>
      <c r="AH44" s="32"/>
      <c r="AI44" s="48"/>
      <c r="AJ44" s="48"/>
      <c r="AK44" s="30"/>
      <c r="AL44" s="32"/>
      <c r="AM44" s="31"/>
      <c r="AO44" s="36"/>
      <c r="AP44" s="329"/>
      <c r="AQ44" s="329"/>
      <c r="AR44" s="330"/>
    </row>
    <row r="45" spans="1:44" x14ac:dyDescent="0.3">
      <c r="A45" s="438" t="s">
        <v>245</v>
      </c>
      <c r="B45" s="437" t="s">
        <v>142</v>
      </c>
      <c r="C45" s="135" t="s">
        <v>253</v>
      </c>
      <c r="D45" s="50" t="s">
        <v>298</v>
      </c>
      <c r="E45" s="433" t="s">
        <v>117</v>
      </c>
      <c r="F45" s="135" t="s">
        <v>254</v>
      </c>
      <c r="G45" s="156">
        <v>1</v>
      </c>
      <c r="H45" s="156">
        <v>1</v>
      </c>
      <c r="I45" s="182">
        <v>5.5250000000000004</v>
      </c>
      <c r="J45" s="182">
        <v>0.84499999999999997</v>
      </c>
      <c r="K45" s="182">
        <v>1.8416666666666668</v>
      </c>
      <c r="L45" s="182">
        <v>0.28166666666666668</v>
      </c>
      <c r="M45" s="182">
        <f>K45*('Exposure Factors'!$C$9/'Exposure Factors'!$C$10)</f>
        <v>3.7585034013605445</v>
      </c>
      <c r="N45" s="182">
        <f>L45*('Exposure Factors'!$C$9/'Exposure Factors'!$C$10)</f>
        <v>0.5748299319727892</v>
      </c>
      <c r="O45" s="182">
        <v>5.0456621004566207E-3</v>
      </c>
      <c r="P45" s="182">
        <v>7.7168949771689503E-4</v>
      </c>
      <c r="Q45" s="182">
        <f>O45*('Exposure Factors'!$C$9/'Exposure Factors'!$C$10)</f>
        <v>1.0297269592768613E-2</v>
      </c>
      <c r="R45" s="182">
        <f>P45*('Exposure Factors'!$C$9/'Exposure Factors'!$C$10)</f>
        <v>1.574876525952847E-3</v>
      </c>
      <c r="S45" s="182">
        <v>2.5875190258751904E-3</v>
      </c>
      <c r="T45" s="182">
        <v>3.066971080669711E-4</v>
      </c>
      <c r="U45" s="182">
        <f>S45*('Exposure Factors'!$C$9/'Exposure Factors'!$C$10)</f>
        <v>5.2806510732146747E-3</v>
      </c>
      <c r="V45" s="182">
        <f>T45*('Exposure Factors'!$C$9/'Exposure Factors'!$C$10)</f>
        <v>6.2591246544279819E-4</v>
      </c>
      <c r="W45" s="156">
        <v>1</v>
      </c>
      <c r="X45" s="156">
        <v>1</v>
      </c>
      <c r="Y45" s="182">
        <v>6.1388888888888896E-2</v>
      </c>
      <c r="Z45" s="182">
        <v>9.3888888888888893E-3</v>
      </c>
      <c r="AA45" s="182">
        <f>Y45*('Exposure Factors'!$C$9/'Exposure Factors'!$C$10)</f>
        <v>0.12528344671201816</v>
      </c>
      <c r="AB45" s="182">
        <f>Z45*('Exposure Factors'!$C$9/'Exposure Factors'!$C$10)</f>
        <v>1.9160997732426306E-2</v>
      </c>
      <c r="AC45" s="37"/>
      <c r="AD45" s="37"/>
      <c r="AE45" s="73" t="s">
        <v>248</v>
      </c>
      <c r="AF45" s="243" t="s">
        <v>244</v>
      </c>
      <c r="AH45" s="32"/>
      <c r="AI45" s="48"/>
      <c r="AJ45" s="48"/>
      <c r="AK45" s="30"/>
      <c r="AL45" s="32"/>
      <c r="AM45" s="31"/>
      <c r="AO45" s="36"/>
      <c r="AP45" s="329"/>
      <c r="AQ45" s="329"/>
      <c r="AR45" s="330"/>
    </row>
    <row r="46" spans="1:44" x14ac:dyDescent="0.3">
      <c r="A46" s="438" t="s">
        <v>245</v>
      </c>
      <c r="B46" s="437" t="s">
        <v>144</v>
      </c>
      <c r="C46" s="135" t="s">
        <v>255</v>
      </c>
      <c r="D46" s="50" t="s">
        <v>25</v>
      </c>
      <c r="E46" s="433" t="s">
        <v>24</v>
      </c>
      <c r="F46" s="135" t="s">
        <v>256</v>
      </c>
      <c r="G46" s="156">
        <v>2</v>
      </c>
      <c r="H46" s="156">
        <v>2</v>
      </c>
      <c r="I46" s="182">
        <v>5.5250000000000004</v>
      </c>
      <c r="J46" s="182">
        <v>0.84499999999999997</v>
      </c>
      <c r="K46" s="182">
        <v>1.8416666666666668</v>
      </c>
      <c r="L46" s="182">
        <v>0.28166666666666668</v>
      </c>
      <c r="M46" s="182">
        <f>K46*('Exposure Factors'!$C$9/'Exposure Factors'!$C$10)</f>
        <v>3.7585034013605445</v>
      </c>
      <c r="N46" s="182">
        <f>L46*('Exposure Factors'!$C$9/'Exposure Factors'!$C$10)</f>
        <v>0.5748299319727892</v>
      </c>
      <c r="O46" s="182">
        <v>1.0091324200913241E-2</v>
      </c>
      <c r="P46" s="182">
        <v>1.5433789954337901E-3</v>
      </c>
      <c r="Q46" s="182">
        <f>O46*('Exposure Factors'!$C$9/'Exposure Factors'!$C$10)</f>
        <v>2.0594539185537226E-2</v>
      </c>
      <c r="R46" s="182">
        <f>P46*('Exposure Factors'!$C$9/'Exposure Factors'!$C$10)</f>
        <v>3.1497530519056941E-3</v>
      </c>
      <c r="S46" s="182">
        <v>5.1750380517503808E-3</v>
      </c>
      <c r="T46" s="182">
        <v>6.1339421613394219E-4</v>
      </c>
      <c r="U46" s="182">
        <f>S46*('Exposure Factors'!$C$9/'Exposure Factors'!$C$10)</f>
        <v>1.0561302146429349E-2</v>
      </c>
      <c r="V46" s="182">
        <f>T46*('Exposure Factors'!$C$9/'Exposure Factors'!$C$10)</f>
        <v>1.2518249308855964E-3</v>
      </c>
      <c r="W46" s="156">
        <v>2</v>
      </c>
      <c r="X46" s="156">
        <v>2</v>
      </c>
      <c r="Y46" s="182">
        <v>0.12277777777777779</v>
      </c>
      <c r="Z46" s="182">
        <v>1.8777777777777779E-2</v>
      </c>
      <c r="AA46" s="182">
        <f>Y46*('Exposure Factors'!$C$9/'Exposure Factors'!$C$10)</f>
        <v>0.25056689342403632</v>
      </c>
      <c r="AB46" s="182">
        <f>Z46*('Exposure Factors'!$C$9/'Exposure Factors'!$C$10)</f>
        <v>3.8321995464852612E-2</v>
      </c>
      <c r="AC46" s="37"/>
      <c r="AD46" s="37"/>
      <c r="AE46" s="73" t="s">
        <v>248</v>
      </c>
      <c r="AF46" s="243" t="s">
        <v>244</v>
      </c>
      <c r="AH46" s="32"/>
      <c r="AI46" s="32"/>
      <c r="AJ46" s="32"/>
      <c r="AK46" s="30"/>
      <c r="AL46" s="32"/>
      <c r="AM46" s="33"/>
      <c r="AO46" s="33"/>
      <c r="AP46" s="32"/>
      <c r="AQ46" s="34"/>
      <c r="AR46" s="32"/>
    </row>
    <row r="47" spans="1:44" x14ac:dyDescent="0.3">
      <c r="A47" s="438" t="s">
        <v>245</v>
      </c>
      <c r="B47" s="437" t="s">
        <v>144</v>
      </c>
      <c r="C47" s="135" t="s">
        <v>255</v>
      </c>
      <c r="D47" s="50" t="s">
        <v>298</v>
      </c>
      <c r="E47" s="433" t="s">
        <v>24</v>
      </c>
      <c r="F47" s="135" t="s">
        <v>256</v>
      </c>
      <c r="G47" s="156">
        <v>2</v>
      </c>
      <c r="H47" s="156">
        <v>2</v>
      </c>
      <c r="I47" s="182">
        <v>5.5250000000000004</v>
      </c>
      <c r="J47" s="182">
        <v>0.84499999999999997</v>
      </c>
      <c r="K47" s="182">
        <v>1.8416666666666668</v>
      </c>
      <c r="L47" s="182">
        <v>0.28166666666666668</v>
      </c>
      <c r="M47" s="182">
        <f>K47*('Exposure Factors'!$C$9/'Exposure Factors'!$C$10)</f>
        <v>3.7585034013605445</v>
      </c>
      <c r="N47" s="182">
        <f>L47*('Exposure Factors'!$C$9/'Exposure Factors'!$C$10)</f>
        <v>0.5748299319727892</v>
      </c>
      <c r="O47" s="182">
        <v>1.0091324200913241E-2</v>
      </c>
      <c r="P47" s="182">
        <v>1.5433789954337901E-3</v>
      </c>
      <c r="Q47" s="182">
        <f>O47*('Exposure Factors'!$C$9/'Exposure Factors'!$C$10)</f>
        <v>2.0594539185537226E-2</v>
      </c>
      <c r="R47" s="182">
        <f>P47*('Exposure Factors'!$C$9/'Exposure Factors'!$C$10)</f>
        <v>3.1497530519056941E-3</v>
      </c>
      <c r="S47" s="182">
        <v>5.1750380517503808E-3</v>
      </c>
      <c r="T47" s="182">
        <v>6.1339421613394219E-4</v>
      </c>
      <c r="U47" s="182">
        <f>S47*('Exposure Factors'!$C$9/'Exposure Factors'!$C$10)</f>
        <v>1.0561302146429349E-2</v>
      </c>
      <c r="V47" s="182">
        <f>T47*('Exposure Factors'!$C$9/'Exposure Factors'!$C$10)</f>
        <v>1.2518249308855964E-3</v>
      </c>
      <c r="W47" s="156">
        <v>2</v>
      </c>
      <c r="X47" s="156">
        <v>2</v>
      </c>
      <c r="Y47" s="182">
        <v>0.12277777777777779</v>
      </c>
      <c r="Z47" s="182">
        <v>1.8777777777777779E-2</v>
      </c>
      <c r="AA47" s="182">
        <f>Y47*('Exposure Factors'!$C$9/'Exposure Factors'!$C$10)</f>
        <v>0.25056689342403632</v>
      </c>
      <c r="AB47" s="182">
        <f>Z47*('Exposure Factors'!$C$9/'Exposure Factors'!$C$10)</f>
        <v>3.8321995464852612E-2</v>
      </c>
      <c r="AC47" s="37"/>
      <c r="AD47" s="37"/>
      <c r="AE47" s="73" t="s">
        <v>248</v>
      </c>
      <c r="AF47" s="243" t="s">
        <v>244</v>
      </c>
      <c r="AH47" s="32"/>
      <c r="AI47" s="32"/>
      <c r="AJ47" s="32"/>
      <c r="AK47" s="30"/>
      <c r="AL47" s="32"/>
      <c r="AM47" s="33"/>
      <c r="AO47" s="33"/>
      <c r="AP47" s="32"/>
      <c r="AQ47" s="34"/>
      <c r="AR47" s="32"/>
    </row>
    <row r="48" spans="1:44" x14ac:dyDescent="0.3">
      <c r="A48" s="438" t="s">
        <v>245</v>
      </c>
      <c r="B48" s="437" t="s">
        <v>144</v>
      </c>
      <c r="C48" s="135" t="s">
        <v>255</v>
      </c>
      <c r="D48" s="50" t="s">
        <v>25</v>
      </c>
      <c r="E48" s="433" t="s">
        <v>117</v>
      </c>
      <c r="F48" s="135" t="s">
        <v>256</v>
      </c>
      <c r="G48" s="156">
        <v>2</v>
      </c>
      <c r="H48" s="156">
        <v>2</v>
      </c>
      <c r="I48" s="182">
        <v>5.5250000000000004</v>
      </c>
      <c r="J48" s="182">
        <v>0.84499999999999997</v>
      </c>
      <c r="K48" s="182">
        <v>1.8416666666666668</v>
      </c>
      <c r="L48" s="182">
        <v>0.28166666666666668</v>
      </c>
      <c r="M48" s="182">
        <f>K48*('Exposure Factors'!$C$9/'Exposure Factors'!$C$10)</f>
        <v>3.7585034013605445</v>
      </c>
      <c r="N48" s="182">
        <f>L48*('Exposure Factors'!$C$9/'Exposure Factors'!$C$10)</f>
        <v>0.5748299319727892</v>
      </c>
      <c r="O48" s="182">
        <v>1.0091324200913241E-2</v>
      </c>
      <c r="P48" s="182">
        <v>1.5433789954337901E-3</v>
      </c>
      <c r="Q48" s="182">
        <f>O48*('Exposure Factors'!$C$9/'Exposure Factors'!$C$10)</f>
        <v>2.0594539185537226E-2</v>
      </c>
      <c r="R48" s="182">
        <f>P48*('Exposure Factors'!$C$9/'Exposure Factors'!$C$10)</f>
        <v>3.1497530519056941E-3</v>
      </c>
      <c r="S48" s="182">
        <v>5.1750380517503808E-3</v>
      </c>
      <c r="T48" s="182">
        <v>6.1339421613394219E-4</v>
      </c>
      <c r="U48" s="182">
        <f>S48*('Exposure Factors'!$C$9/'Exposure Factors'!$C$10)</f>
        <v>1.0561302146429349E-2</v>
      </c>
      <c r="V48" s="182">
        <f>T48*('Exposure Factors'!$C$9/'Exposure Factors'!$C$10)</f>
        <v>1.2518249308855964E-3</v>
      </c>
      <c r="W48" s="156">
        <v>2</v>
      </c>
      <c r="X48" s="156">
        <v>2</v>
      </c>
      <c r="Y48" s="182">
        <v>0.12277777777777779</v>
      </c>
      <c r="Z48" s="182">
        <v>1.8777777777777779E-2</v>
      </c>
      <c r="AA48" s="182">
        <f>Y48*('Exposure Factors'!$C$9/'Exposure Factors'!$C$10)</f>
        <v>0.25056689342403632</v>
      </c>
      <c r="AB48" s="182">
        <f>Z48*('Exposure Factors'!$C$9/'Exposure Factors'!$C$10)</f>
        <v>3.8321995464852612E-2</v>
      </c>
      <c r="AC48" s="37"/>
      <c r="AD48" s="37"/>
      <c r="AE48" s="73" t="s">
        <v>248</v>
      </c>
      <c r="AF48" s="243" t="s">
        <v>244</v>
      </c>
      <c r="AH48" s="32"/>
      <c r="AI48" s="32"/>
      <c r="AJ48" s="32"/>
      <c r="AK48" s="30"/>
      <c r="AL48" s="32"/>
      <c r="AM48" s="33"/>
      <c r="AO48" s="33"/>
      <c r="AP48" s="32"/>
      <c r="AQ48" s="34"/>
      <c r="AR48" s="32"/>
    </row>
    <row r="49" spans="1:44" x14ac:dyDescent="0.3">
      <c r="A49" s="438" t="s">
        <v>245</v>
      </c>
      <c r="B49" s="437" t="s">
        <v>144</v>
      </c>
      <c r="C49" s="135" t="s">
        <v>255</v>
      </c>
      <c r="D49" s="50" t="s">
        <v>298</v>
      </c>
      <c r="E49" s="433" t="s">
        <v>117</v>
      </c>
      <c r="F49" s="135" t="s">
        <v>256</v>
      </c>
      <c r="G49" s="156">
        <v>2</v>
      </c>
      <c r="H49" s="156">
        <v>2</v>
      </c>
      <c r="I49" s="182">
        <v>5.5250000000000004</v>
      </c>
      <c r="J49" s="182">
        <v>0.84499999999999997</v>
      </c>
      <c r="K49" s="182">
        <v>1.8416666666666668</v>
      </c>
      <c r="L49" s="182">
        <v>0.28166666666666668</v>
      </c>
      <c r="M49" s="182">
        <f>K49*('Exposure Factors'!$C$9/'Exposure Factors'!$C$10)</f>
        <v>3.7585034013605445</v>
      </c>
      <c r="N49" s="182">
        <f>L49*('Exposure Factors'!$C$9/'Exposure Factors'!$C$10)</f>
        <v>0.5748299319727892</v>
      </c>
      <c r="O49" s="182">
        <v>1.0091324200913241E-2</v>
      </c>
      <c r="P49" s="182">
        <v>1.5433789954337901E-3</v>
      </c>
      <c r="Q49" s="182">
        <f>O49*('Exposure Factors'!$C$9/'Exposure Factors'!$C$10)</f>
        <v>2.0594539185537226E-2</v>
      </c>
      <c r="R49" s="182">
        <f>P49*('Exposure Factors'!$C$9/'Exposure Factors'!$C$10)</f>
        <v>3.1497530519056941E-3</v>
      </c>
      <c r="S49" s="182">
        <v>5.1750380517503808E-3</v>
      </c>
      <c r="T49" s="182">
        <v>6.1339421613394219E-4</v>
      </c>
      <c r="U49" s="182">
        <f>S49*('Exposure Factors'!$C$9/'Exposure Factors'!$C$10)</f>
        <v>1.0561302146429349E-2</v>
      </c>
      <c r="V49" s="182">
        <f>T49*('Exposure Factors'!$C$9/'Exposure Factors'!$C$10)</f>
        <v>1.2518249308855964E-3</v>
      </c>
      <c r="W49" s="156">
        <v>2</v>
      </c>
      <c r="X49" s="156">
        <v>2</v>
      </c>
      <c r="Y49" s="182">
        <v>0.12277777777777779</v>
      </c>
      <c r="Z49" s="182">
        <v>1.8777777777777779E-2</v>
      </c>
      <c r="AA49" s="182">
        <f>Y49*('Exposure Factors'!$C$9/'Exposure Factors'!$C$10)</f>
        <v>0.25056689342403632</v>
      </c>
      <c r="AB49" s="182">
        <f>Z49*('Exposure Factors'!$C$9/'Exposure Factors'!$C$10)</f>
        <v>3.8321995464852612E-2</v>
      </c>
      <c r="AC49" s="37"/>
      <c r="AD49" s="37"/>
      <c r="AE49" s="73" t="s">
        <v>248</v>
      </c>
      <c r="AF49" s="243" t="s">
        <v>244</v>
      </c>
      <c r="AH49" s="32"/>
      <c r="AI49" s="32"/>
      <c r="AJ49" s="32"/>
      <c r="AK49" s="30"/>
      <c r="AL49" s="32"/>
      <c r="AM49" s="33"/>
      <c r="AO49" s="33"/>
      <c r="AP49" s="32"/>
      <c r="AQ49" s="34"/>
      <c r="AR49" s="32"/>
    </row>
    <row r="50" spans="1:44" x14ac:dyDescent="0.3">
      <c r="A50" s="438" t="s">
        <v>245</v>
      </c>
      <c r="B50" s="437" t="s">
        <v>146</v>
      </c>
      <c r="C50" s="135" t="s">
        <v>257</v>
      </c>
      <c r="D50" s="50" t="s">
        <v>25</v>
      </c>
      <c r="E50" s="433" t="s">
        <v>24</v>
      </c>
      <c r="F50" s="135" t="s">
        <v>258</v>
      </c>
      <c r="G50" s="156">
        <v>250</v>
      </c>
      <c r="H50" s="156">
        <v>250</v>
      </c>
      <c r="I50" s="182">
        <v>5.5250000000000004</v>
      </c>
      <c r="J50" s="182">
        <v>0.84499999999999997</v>
      </c>
      <c r="K50" s="182">
        <v>1.8416666666666668</v>
      </c>
      <c r="L50" s="182">
        <v>0.28166666666666668</v>
      </c>
      <c r="M50" s="182">
        <f>K50*('Exposure Factors'!$C$9/'Exposure Factors'!$C$10)</f>
        <v>3.7585034013605445</v>
      </c>
      <c r="N50" s="182">
        <f>L50*('Exposure Factors'!$C$9/'Exposure Factors'!$C$10)</f>
        <v>0.5748299319727892</v>
      </c>
      <c r="O50" s="182">
        <v>1.2614155251141552</v>
      </c>
      <c r="P50" s="182">
        <v>0.19292237442922375</v>
      </c>
      <c r="Q50" s="182">
        <f>O50*('Exposure Factors'!$C$9/'Exposure Factors'!$C$10)</f>
        <v>2.5743173981921537</v>
      </c>
      <c r="R50" s="182">
        <f>P50*('Exposure Factors'!$C$9/'Exposure Factors'!$C$10)</f>
        <v>0.39371913148821175</v>
      </c>
      <c r="S50" s="182">
        <v>0.64687975646879758</v>
      </c>
      <c r="T50" s="182">
        <v>7.6674277016742773E-2</v>
      </c>
      <c r="U50" s="182">
        <f>S50*('Exposure Factors'!$C$9/'Exposure Factors'!$C$10)</f>
        <v>1.3201627683036685</v>
      </c>
      <c r="V50" s="182">
        <f>T50*('Exposure Factors'!$C$9/'Exposure Factors'!$C$10)</f>
        <v>0.15647811636069953</v>
      </c>
      <c r="W50" s="156">
        <v>22</v>
      </c>
      <c r="X50" s="156">
        <v>22</v>
      </c>
      <c r="Y50" s="182">
        <v>1.3505555555555557</v>
      </c>
      <c r="Z50" s="182">
        <v>0.20655555555555555</v>
      </c>
      <c r="AA50" s="182">
        <f>Y50*('Exposure Factors'!$C$9/'Exposure Factors'!$C$10)</f>
        <v>2.7562358276643995</v>
      </c>
      <c r="AB50" s="182">
        <f>Z50*('Exposure Factors'!$C$9/'Exposure Factors'!$C$10)</f>
        <v>0.42154195011337869</v>
      </c>
      <c r="AC50" s="37"/>
      <c r="AD50" s="37"/>
      <c r="AE50" s="73" t="s">
        <v>248</v>
      </c>
      <c r="AF50" s="243" t="s">
        <v>244</v>
      </c>
      <c r="AL50" s="32"/>
      <c r="AM50" s="32"/>
      <c r="AN50" s="30"/>
      <c r="AO50" s="32"/>
    </row>
    <row r="51" spans="1:44" x14ac:dyDescent="0.3">
      <c r="A51" s="438" t="s">
        <v>245</v>
      </c>
      <c r="B51" s="437" t="s">
        <v>146</v>
      </c>
      <c r="C51" s="135" t="s">
        <v>257</v>
      </c>
      <c r="D51" s="50" t="s">
        <v>298</v>
      </c>
      <c r="E51" s="433" t="s">
        <v>24</v>
      </c>
      <c r="F51" s="135" t="s">
        <v>258</v>
      </c>
      <c r="G51" s="156">
        <v>250</v>
      </c>
      <c r="H51" s="156">
        <v>250</v>
      </c>
      <c r="I51" s="182">
        <v>5.5250000000000004</v>
      </c>
      <c r="J51" s="182">
        <v>0.84499999999999997</v>
      </c>
      <c r="K51" s="182">
        <v>1.8416666666666668</v>
      </c>
      <c r="L51" s="182">
        <v>0.28166666666666668</v>
      </c>
      <c r="M51" s="182">
        <f>K51*('Exposure Factors'!$C$9/'Exposure Factors'!$C$10)</f>
        <v>3.7585034013605445</v>
      </c>
      <c r="N51" s="182">
        <f>L51*('Exposure Factors'!$C$9/'Exposure Factors'!$C$10)</f>
        <v>0.5748299319727892</v>
      </c>
      <c r="O51" s="182">
        <v>1.2614155251141552</v>
      </c>
      <c r="P51" s="182">
        <v>0.19292237442922375</v>
      </c>
      <c r="Q51" s="182">
        <f>O51*('Exposure Factors'!$C$9/'Exposure Factors'!$C$10)</f>
        <v>2.5743173981921537</v>
      </c>
      <c r="R51" s="182">
        <f>P51*('Exposure Factors'!$C$9/'Exposure Factors'!$C$10)</f>
        <v>0.39371913148821175</v>
      </c>
      <c r="S51" s="182">
        <v>0.64687975646879758</v>
      </c>
      <c r="T51" s="182">
        <v>7.6674277016742773E-2</v>
      </c>
      <c r="U51" s="182">
        <f>S51*('Exposure Factors'!$C$9/'Exposure Factors'!$C$10)</f>
        <v>1.3201627683036685</v>
      </c>
      <c r="V51" s="182">
        <f>T51*('Exposure Factors'!$C$9/'Exposure Factors'!$C$10)</f>
        <v>0.15647811636069953</v>
      </c>
      <c r="W51" s="156">
        <v>22</v>
      </c>
      <c r="X51" s="156">
        <v>22</v>
      </c>
      <c r="Y51" s="182">
        <v>1.3505555555555557</v>
      </c>
      <c r="Z51" s="182">
        <v>0.20655555555555555</v>
      </c>
      <c r="AA51" s="182">
        <f>Y51*('Exposure Factors'!$C$9/'Exposure Factors'!$C$10)</f>
        <v>2.7562358276643995</v>
      </c>
      <c r="AB51" s="182">
        <f>Z51*('Exposure Factors'!$C$9/'Exposure Factors'!$C$10)</f>
        <v>0.42154195011337869</v>
      </c>
      <c r="AC51" s="37"/>
      <c r="AD51" s="37"/>
      <c r="AE51" s="73" t="s">
        <v>248</v>
      </c>
      <c r="AF51" s="243" t="s">
        <v>244</v>
      </c>
      <c r="AL51" s="32"/>
      <c r="AM51" s="32"/>
      <c r="AN51" s="30"/>
      <c r="AO51" s="32"/>
    </row>
    <row r="52" spans="1:44" x14ac:dyDescent="0.3">
      <c r="A52" s="438" t="s">
        <v>245</v>
      </c>
      <c r="B52" s="437" t="s">
        <v>146</v>
      </c>
      <c r="C52" s="135" t="s">
        <v>257</v>
      </c>
      <c r="D52" s="50" t="s">
        <v>25</v>
      </c>
      <c r="E52" s="433" t="s">
        <v>117</v>
      </c>
      <c r="F52" s="135" t="s">
        <v>258</v>
      </c>
      <c r="G52" s="156">
        <v>250</v>
      </c>
      <c r="H52" s="156">
        <v>250</v>
      </c>
      <c r="I52" s="182">
        <v>5.5250000000000004</v>
      </c>
      <c r="J52" s="182">
        <v>0.84499999999999997</v>
      </c>
      <c r="K52" s="182">
        <v>1.8416666666666668</v>
      </c>
      <c r="L52" s="182">
        <v>0.28166666666666668</v>
      </c>
      <c r="M52" s="182">
        <f>K52*('Exposure Factors'!$C$9/'Exposure Factors'!$C$10)</f>
        <v>3.7585034013605445</v>
      </c>
      <c r="N52" s="182">
        <f>L52*('Exposure Factors'!$C$9/'Exposure Factors'!$C$10)</f>
        <v>0.5748299319727892</v>
      </c>
      <c r="O52" s="182">
        <v>1.2614155251141552</v>
      </c>
      <c r="P52" s="182">
        <v>0.19292237442922375</v>
      </c>
      <c r="Q52" s="182">
        <f>O52*('Exposure Factors'!$C$9/'Exposure Factors'!$C$10)</f>
        <v>2.5743173981921537</v>
      </c>
      <c r="R52" s="182">
        <f>P52*('Exposure Factors'!$C$9/'Exposure Factors'!$C$10)</f>
        <v>0.39371913148821175</v>
      </c>
      <c r="S52" s="182">
        <v>0.64687975646879758</v>
      </c>
      <c r="T52" s="182">
        <v>7.6674277016742773E-2</v>
      </c>
      <c r="U52" s="182">
        <f>S52*('Exposure Factors'!$C$9/'Exposure Factors'!$C$10)</f>
        <v>1.3201627683036685</v>
      </c>
      <c r="V52" s="182">
        <f>T52*('Exposure Factors'!$C$9/'Exposure Factors'!$C$10)</f>
        <v>0.15647811636069953</v>
      </c>
      <c r="W52" s="156">
        <v>22</v>
      </c>
      <c r="X52" s="156">
        <v>22</v>
      </c>
      <c r="Y52" s="182">
        <v>1.3505555555555557</v>
      </c>
      <c r="Z52" s="182">
        <v>0.20655555555555555</v>
      </c>
      <c r="AA52" s="182">
        <f>Y52*('Exposure Factors'!$C$9/'Exposure Factors'!$C$10)</f>
        <v>2.7562358276643995</v>
      </c>
      <c r="AB52" s="182">
        <f>Z52*('Exposure Factors'!$C$9/'Exposure Factors'!$C$10)</f>
        <v>0.42154195011337869</v>
      </c>
      <c r="AC52" s="37"/>
      <c r="AD52" s="37"/>
      <c r="AE52" s="73" t="s">
        <v>248</v>
      </c>
      <c r="AF52" s="243" t="s">
        <v>244</v>
      </c>
      <c r="AL52" s="32"/>
      <c r="AM52" s="32"/>
      <c r="AN52" s="30"/>
      <c r="AO52" s="32"/>
    </row>
    <row r="53" spans="1:44" x14ac:dyDescent="0.3">
      <c r="A53" s="438" t="s">
        <v>245</v>
      </c>
      <c r="B53" s="437" t="s">
        <v>146</v>
      </c>
      <c r="C53" s="135" t="s">
        <v>257</v>
      </c>
      <c r="D53" s="50" t="s">
        <v>298</v>
      </c>
      <c r="E53" s="433" t="s">
        <v>117</v>
      </c>
      <c r="F53" s="135" t="s">
        <v>258</v>
      </c>
      <c r="G53" s="156">
        <v>250</v>
      </c>
      <c r="H53" s="156">
        <v>250</v>
      </c>
      <c r="I53" s="182">
        <v>5.5250000000000004</v>
      </c>
      <c r="J53" s="182">
        <v>0.84499999999999997</v>
      </c>
      <c r="K53" s="182">
        <v>1.8416666666666668</v>
      </c>
      <c r="L53" s="182">
        <v>0.28166666666666668</v>
      </c>
      <c r="M53" s="182">
        <f>K53*('Exposure Factors'!$C$9/'Exposure Factors'!$C$10)</f>
        <v>3.7585034013605445</v>
      </c>
      <c r="N53" s="182">
        <f>L53*('Exposure Factors'!$C$9/'Exposure Factors'!$C$10)</f>
        <v>0.5748299319727892</v>
      </c>
      <c r="O53" s="182">
        <v>1.2614155251141552</v>
      </c>
      <c r="P53" s="182">
        <v>0.19292237442922375</v>
      </c>
      <c r="Q53" s="182">
        <f>O53*('Exposure Factors'!$C$9/'Exposure Factors'!$C$10)</f>
        <v>2.5743173981921537</v>
      </c>
      <c r="R53" s="182">
        <f>P53*('Exposure Factors'!$C$9/'Exposure Factors'!$C$10)</f>
        <v>0.39371913148821175</v>
      </c>
      <c r="S53" s="182">
        <v>0.64687975646879758</v>
      </c>
      <c r="T53" s="182">
        <v>7.6674277016742773E-2</v>
      </c>
      <c r="U53" s="182">
        <f>S53*('Exposure Factors'!$C$9/'Exposure Factors'!$C$10)</f>
        <v>1.3201627683036685</v>
      </c>
      <c r="V53" s="182">
        <f>T53*('Exposure Factors'!$C$9/'Exposure Factors'!$C$10)</f>
        <v>0.15647811636069953</v>
      </c>
      <c r="W53" s="156">
        <v>22</v>
      </c>
      <c r="X53" s="156">
        <v>22</v>
      </c>
      <c r="Y53" s="182">
        <v>1.3505555555555557</v>
      </c>
      <c r="Z53" s="182">
        <v>0.20655555555555555</v>
      </c>
      <c r="AA53" s="182">
        <f>Y53*('Exposure Factors'!$C$9/'Exposure Factors'!$C$10)</f>
        <v>2.7562358276643995</v>
      </c>
      <c r="AB53" s="182">
        <f>Z53*('Exposure Factors'!$C$9/'Exposure Factors'!$C$10)</f>
        <v>0.42154195011337869</v>
      </c>
      <c r="AC53" s="37"/>
      <c r="AD53" s="37"/>
      <c r="AE53" s="73" t="s">
        <v>248</v>
      </c>
      <c r="AF53" s="243" t="s">
        <v>244</v>
      </c>
      <c r="AL53" s="32"/>
      <c r="AM53" s="32"/>
      <c r="AN53" s="30"/>
      <c r="AO53" s="32"/>
    </row>
    <row r="54" spans="1:44" ht="27.6" x14ac:dyDescent="0.3">
      <c r="A54" s="439" t="s">
        <v>259</v>
      </c>
      <c r="B54" s="437">
        <v>7</v>
      </c>
      <c r="C54" s="135" t="s">
        <v>260</v>
      </c>
      <c r="D54" s="50" t="s">
        <v>25</v>
      </c>
      <c r="E54" s="433" t="s">
        <v>24</v>
      </c>
      <c r="F54" s="135" t="s">
        <v>242</v>
      </c>
      <c r="G54" s="156">
        <v>250</v>
      </c>
      <c r="H54" s="156">
        <v>250</v>
      </c>
      <c r="I54" s="182">
        <v>1.2999999999999999E-5</v>
      </c>
      <c r="J54" s="182">
        <v>1.2999999999999999E-5</v>
      </c>
      <c r="K54" s="182">
        <v>4.3333333333333331E-6</v>
      </c>
      <c r="L54" s="182">
        <v>4.3333333333333331E-6</v>
      </c>
      <c r="M54" s="182">
        <f>K54*('Exposure Factors'!$C$9/'Exposure Factors'!$C$10)</f>
        <v>8.8435374149659865E-6</v>
      </c>
      <c r="N54" s="182">
        <f>L54*('Exposure Factors'!$C$9/'Exposure Factors'!$C$10)</f>
        <v>8.8435374149659865E-6</v>
      </c>
      <c r="O54" s="182">
        <v>2.9680365296803653E-6</v>
      </c>
      <c r="P54" s="182">
        <v>2.9680365296803649E-6</v>
      </c>
      <c r="Q54" s="182">
        <f>O54*('Exposure Factors'!$C$9/'Exposure Factors'!$C$10)</f>
        <v>6.0572174075109501E-6</v>
      </c>
      <c r="R54" s="182">
        <f>P54*('Exposure Factors'!$C$9/'Exposure Factors'!$C$10)</f>
        <v>6.0572174075109493E-6</v>
      </c>
      <c r="S54" s="182">
        <v>1.5220700152207001E-6</v>
      </c>
      <c r="T54" s="182">
        <v>1.1796042617960426E-6</v>
      </c>
      <c r="U54" s="182">
        <f>S54*('Exposure Factors'!$C$9/'Exposure Factors'!$C$10)</f>
        <v>3.1062653371851023E-6</v>
      </c>
      <c r="V54" s="182">
        <f>T54*('Exposure Factors'!$C$9/'Exposure Factors'!$C$10)</f>
        <v>2.4073556363184543E-6</v>
      </c>
      <c r="W54" s="156">
        <v>22</v>
      </c>
      <c r="X54" s="156">
        <v>22</v>
      </c>
      <c r="Y54" s="182">
        <v>3.1777777777777775E-6</v>
      </c>
      <c r="Z54" s="182">
        <v>3.1777777777777775E-6</v>
      </c>
      <c r="AA54" s="182">
        <f>Y54*('Exposure Factors'!$C$9/'Exposure Factors'!$C$10)</f>
        <v>6.4852607709750562E-6</v>
      </c>
      <c r="AB54" s="182">
        <f>Z54*('Exposure Factors'!$C$9/'Exposure Factors'!$C$10)</f>
        <v>6.4852607709750562E-6</v>
      </c>
      <c r="AC54" s="37">
        <v>1</v>
      </c>
      <c r="AD54" s="37">
        <v>1</v>
      </c>
      <c r="AE54" s="73" t="s">
        <v>261</v>
      </c>
      <c r="AF54" s="243" t="s">
        <v>244</v>
      </c>
      <c r="AI54" s="16"/>
      <c r="AJ54" s="16"/>
      <c r="AK54" s="16"/>
      <c r="AL54" s="32"/>
      <c r="AM54" s="32"/>
      <c r="AN54" s="30"/>
      <c r="AO54" s="32"/>
    </row>
    <row r="55" spans="1:44" ht="27.6" x14ac:dyDescent="0.3">
      <c r="A55" s="439" t="s">
        <v>259</v>
      </c>
      <c r="B55" s="437">
        <v>7</v>
      </c>
      <c r="C55" s="135" t="s">
        <v>260</v>
      </c>
      <c r="D55" s="50" t="s">
        <v>298</v>
      </c>
      <c r="E55" s="433" t="s">
        <v>24</v>
      </c>
      <c r="F55" s="135" t="s">
        <v>242</v>
      </c>
      <c r="G55" s="156">
        <v>250</v>
      </c>
      <c r="H55" s="156">
        <v>250</v>
      </c>
      <c r="I55" s="182">
        <v>1.2999999999999999E-5</v>
      </c>
      <c r="J55" s="182">
        <v>1.2999999999999999E-5</v>
      </c>
      <c r="K55" s="182">
        <v>4.3333333333333331E-6</v>
      </c>
      <c r="L55" s="182">
        <v>4.3333333333333331E-6</v>
      </c>
      <c r="M55" s="182">
        <f>K55*('Exposure Factors'!$C$9/'Exposure Factors'!$C$10)</f>
        <v>8.8435374149659865E-6</v>
      </c>
      <c r="N55" s="182">
        <f>L55*('Exposure Factors'!$C$9/'Exposure Factors'!$C$10)</f>
        <v>8.8435374149659865E-6</v>
      </c>
      <c r="O55" s="182">
        <v>2.9680365296803653E-6</v>
      </c>
      <c r="P55" s="182">
        <v>2.9680365296803649E-6</v>
      </c>
      <c r="Q55" s="182">
        <f>O55*('Exposure Factors'!$C$9/'Exposure Factors'!$C$10)</f>
        <v>6.0572174075109501E-6</v>
      </c>
      <c r="R55" s="182">
        <f>P55*('Exposure Factors'!$C$9/'Exposure Factors'!$C$10)</f>
        <v>6.0572174075109493E-6</v>
      </c>
      <c r="S55" s="182">
        <v>1.5220700152207001E-6</v>
      </c>
      <c r="T55" s="182">
        <v>1.1796042617960426E-6</v>
      </c>
      <c r="U55" s="182">
        <f>S55*('Exposure Factors'!$C$9/'Exposure Factors'!$C$10)</f>
        <v>3.1062653371851023E-6</v>
      </c>
      <c r="V55" s="182">
        <f>T55*('Exposure Factors'!$C$9/'Exposure Factors'!$C$10)</f>
        <v>2.4073556363184543E-6</v>
      </c>
      <c r="W55" s="156">
        <v>22</v>
      </c>
      <c r="X55" s="156">
        <v>22</v>
      </c>
      <c r="Y55" s="182">
        <v>3.1777777777777775E-6</v>
      </c>
      <c r="Z55" s="182">
        <v>3.1777777777777775E-6</v>
      </c>
      <c r="AA55" s="182">
        <f>Y55*('Exposure Factors'!$C$9/'Exposure Factors'!$C$10)</f>
        <v>6.4852607709750562E-6</v>
      </c>
      <c r="AB55" s="182">
        <f>Z55*('Exposure Factors'!$C$9/'Exposure Factors'!$C$10)</f>
        <v>6.4852607709750562E-6</v>
      </c>
      <c r="AC55" s="37">
        <v>1</v>
      </c>
      <c r="AD55" s="37">
        <v>1</v>
      </c>
      <c r="AE55" s="73" t="s">
        <v>261</v>
      </c>
      <c r="AF55" s="243" t="s">
        <v>244</v>
      </c>
      <c r="AI55" s="16"/>
      <c r="AJ55" s="16"/>
      <c r="AK55" s="16"/>
      <c r="AL55" s="32"/>
      <c r="AM55" s="32"/>
      <c r="AN55" s="30"/>
      <c r="AO55" s="32"/>
    </row>
    <row r="56" spans="1:44" ht="27.6" x14ac:dyDescent="0.3">
      <c r="A56" s="439" t="s">
        <v>259</v>
      </c>
      <c r="B56" s="437">
        <v>7</v>
      </c>
      <c r="C56" s="135" t="s">
        <v>260</v>
      </c>
      <c r="D56" s="50" t="s">
        <v>25</v>
      </c>
      <c r="E56" s="433" t="s">
        <v>117</v>
      </c>
      <c r="F56" s="135" t="s">
        <v>242</v>
      </c>
      <c r="G56" s="156">
        <v>250</v>
      </c>
      <c r="H56" s="156">
        <v>250</v>
      </c>
      <c r="I56" s="182">
        <v>1.2999999999999999E-5</v>
      </c>
      <c r="J56" s="182">
        <v>1.2999999999999999E-5</v>
      </c>
      <c r="K56" s="182">
        <v>4.3333333333333331E-6</v>
      </c>
      <c r="L56" s="182">
        <v>4.3333333333333331E-6</v>
      </c>
      <c r="M56" s="182">
        <f>K56*('Exposure Factors'!$C$9/'Exposure Factors'!$C$10)</f>
        <v>8.8435374149659865E-6</v>
      </c>
      <c r="N56" s="182">
        <f>L56*('Exposure Factors'!$C$9/'Exposure Factors'!$C$10)</f>
        <v>8.8435374149659865E-6</v>
      </c>
      <c r="O56" s="182">
        <v>2.9680365296803653E-6</v>
      </c>
      <c r="P56" s="182">
        <v>2.9680365296803649E-6</v>
      </c>
      <c r="Q56" s="182">
        <f>O56*('Exposure Factors'!$C$9/'Exposure Factors'!$C$10)</f>
        <v>6.0572174075109501E-6</v>
      </c>
      <c r="R56" s="182">
        <f>P56*('Exposure Factors'!$C$9/'Exposure Factors'!$C$10)</f>
        <v>6.0572174075109493E-6</v>
      </c>
      <c r="S56" s="182">
        <v>1.5220700152207001E-6</v>
      </c>
      <c r="T56" s="182">
        <v>1.1796042617960426E-6</v>
      </c>
      <c r="U56" s="182">
        <f>S56*('Exposure Factors'!$C$9/'Exposure Factors'!$C$10)</f>
        <v>3.1062653371851023E-6</v>
      </c>
      <c r="V56" s="182">
        <f>T56*('Exposure Factors'!$C$9/'Exposure Factors'!$C$10)</f>
        <v>2.4073556363184543E-6</v>
      </c>
      <c r="W56" s="156">
        <v>22</v>
      </c>
      <c r="X56" s="156">
        <v>22</v>
      </c>
      <c r="Y56" s="182">
        <v>3.1777777777777775E-6</v>
      </c>
      <c r="Z56" s="182">
        <v>3.1777777777777775E-6</v>
      </c>
      <c r="AA56" s="182">
        <f>Y56*('Exposure Factors'!$C$9/'Exposure Factors'!$C$10)</f>
        <v>6.4852607709750562E-6</v>
      </c>
      <c r="AB56" s="182">
        <f>Z56*('Exposure Factors'!$C$9/'Exposure Factors'!$C$10)</f>
        <v>6.4852607709750562E-6</v>
      </c>
      <c r="AC56" s="37">
        <v>1</v>
      </c>
      <c r="AD56" s="37">
        <v>1</v>
      </c>
      <c r="AE56" s="73" t="s">
        <v>261</v>
      </c>
      <c r="AF56" s="243" t="s">
        <v>244</v>
      </c>
      <c r="AI56" s="16"/>
      <c r="AJ56" s="16"/>
      <c r="AK56" s="16"/>
      <c r="AL56" s="32"/>
      <c r="AM56" s="32"/>
      <c r="AN56" s="30"/>
      <c r="AO56" s="32"/>
    </row>
    <row r="57" spans="1:44" ht="27.6" x14ac:dyDescent="0.3">
      <c r="A57" s="439" t="s">
        <v>259</v>
      </c>
      <c r="B57" s="437">
        <v>7</v>
      </c>
      <c r="C57" s="135" t="s">
        <v>260</v>
      </c>
      <c r="D57" s="50" t="s">
        <v>298</v>
      </c>
      <c r="E57" s="433" t="s">
        <v>117</v>
      </c>
      <c r="F57" s="135" t="s">
        <v>242</v>
      </c>
      <c r="G57" s="156">
        <v>250</v>
      </c>
      <c r="H57" s="156">
        <v>250</v>
      </c>
      <c r="I57" s="182">
        <v>1.2999999999999999E-5</v>
      </c>
      <c r="J57" s="182">
        <v>1.2999999999999999E-5</v>
      </c>
      <c r="K57" s="182">
        <v>4.3333333333333331E-6</v>
      </c>
      <c r="L57" s="182">
        <v>4.3333333333333331E-6</v>
      </c>
      <c r="M57" s="182">
        <f>K57*('Exposure Factors'!$C$9/'Exposure Factors'!$C$10)</f>
        <v>8.8435374149659865E-6</v>
      </c>
      <c r="N57" s="182">
        <f>L57*('Exposure Factors'!$C$9/'Exposure Factors'!$C$10)</f>
        <v>8.8435374149659865E-6</v>
      </c>
      <c r="O57" s="182">
        <v>2.9680365296803653E-6</v>
      </c>
      <c r="P57" s="182">
        <v>2.9680365296803649E-6</v>
      </c>
      <c r="Q57" s="182">
        <f>O57*('Exposure Factors'!$C$9/'Exposure Factors'!$C$10)</f>
        <v>6.0572174075109501E-6</v>
      </c>
      <c r="R57" s="182">
        <f>P57*('Exposure Factors'!$C$9/'Exposure Factors'!$C$10)</f>
        <v>6.0572174075109493E-6</v>
      </c>
      <c r="S57" s="182">
        <v>1.5220700152207001E-6</v>
      </c>
      <c r="T57" s="182">
        <v>1.1796042617960426E-6</v>
      </c>
      <c r="U57" s="182">
        <f>S57*('Exposure Factors'!$C$9/'Exposure Factors'!$C$10)</f>
        <v>3.1062653371851023E-6</v>
      </c>
      <c r="V57" s="182">
        <f>T57*('Exposure Factors'!$C$9/'Exposure Factors'!$C$10)</f>
        <v>2.4073556363184543E-6</v>
      </c>
      <c r="W57" s="156">
        <v>22</v>
      </c>
      <c r="X57" s="156">
        <v>22</v>
      </c>
      <c r="Y57" s="182">
        <v>3.1777777777777775E-6</v>
      </c>
      <c r="Z57" s="182">
        <v>3.1777777777777775E-6</v>
      </c>
      <c r="AA57" s="182">
        <f>Y57*('Exposure Factors'!$C$9/'Exposure Factors'!$C$10)</f>
        <v>6.4852607709750562E-6</v>
      </c>
      <c r="AB57" s="182">
        <f>Z57*('Exposure Factors'!$C$9/'Exposure Factors'!$C$10)</f>
        <v>6.4852607709750562E-6</v>
      </c>
      <c r="AC57" s="37">
        <v>1</v>
      </c>
      <c r="AD57" s="37">
        <v>1</v>
      </c>
      <c r="AE57" s="73" t="s">
        <v>261</v>
      </c>
      <c r="AF57" s="243" t="s">
        <v>244</v>
      </c>
      <c r="AI57" s="16"/>
      <c r="AJ57" s="16"/>
      <c r="AK57" s="16"/>
      <c r="AL57" s="32"/>
      <c r="AM57" s="32"/>
      <c r="AN57" s="30"/>
      <c r="AO57" s="32"/>
    </row>
    <row r="58" spans="1:44" x14ac:dyDescent="0.3">
      <c r="A58" s="439" t="s">
        <v>262</v>
      </c>
      <c r="B58" s="437">
        <v>8</v>
      </c>
      <c r="C58" s="135" t="s">
        <v>263</v>
      </c>
      <c r="D58" s="50" t="s">
        <v>25</v>
      </c>
      <c r="E58" s="433" t="s">
        <v>24</v>
      </c>
      <c r="F58" s="135" t="s">
        <v>320</v>
      </c>
      <c r="G58" s="156">
        <v>200</v>
      </c>
      <c r="H58" s="170">
        <v>167</v>
      </c>
      <c r="I58" s="182">
        <v>9.2522250263374296E-4</v>
      </c>
      <c r="J58" s="182">
        <v>5.8348759300837704E-4</v>
      </c>
      <c r="K58" s="182">
        <v>3.8919872751741702E-4</v>
      </c>
      <c r="L58" s="182">
        <v>2.4827090989891102E-4</v>
      </c>
      <c r="M58" s="182">
        <f>K58*('Exposure Factors'!$C$9/'Exposure Factors'!$C$10)</f>
        <v>7.9428311738248374E-4</v>
      </c>
      <c r="N58" s="182">
        <f>L58*('Exposure Factors'!$C$9/'Exposure Factors'!$C$10)</f>
        <v>5.0667532632430823E-4</v>
      </c>
      <c r="O58" s="182">
        <v>2.1123801429994099E-4</v>
      </c>
      <c r="P58" s="182">
        <v>1.3321634543570301E-4</v>
      </c>
      <c r="Q58" s="182">
        <f>O58*('Exposure Factors'!$C$9/'Exposure Factors'!$C$10)</f>
        <v>4.3109798836722652E-4</v>
      </c>
      <c r="R58" s="182">
        <f>P58*('Exposure Factors'!$C$9/'Exposure Factors'!$C$10)</f>
        <v>2.718700927259245E-4</v>
      </c>
      <c r="S58" s="182">
        <v>7.3345893605312193E-5</v>
      </c>
      <c r="T58" s="182">
        <v>4.3326232230304998E-5</v>
      </c>
      <c r="U58" s="182">
        <f>S58*('Exposure Factors'!$C$9/'Exposure Factors'!$C$10)</f>
        <v>1.4968549715369835E-4</v>
      </c>
      <c r="V58" s="182">
        <f>T58*('Exposure Factors'!$C$9/'Exposure Factors'!$C$10)</f>
        <v>8.8420882102663263E-5</v>
      </c>
      <c r="W58" s="156">
        <v>22</v>
      </c>
      <c r="X58" s="156">
        <v>22</v>
      </c>
      <c r="Y58" s="182">
        <v>2.2616550064380399E-4</v>
      </c>
      <c r="Z58" s="182">
        <v>1.4263030051315899E-4</v>
      </c>
      <c r="AA58" s="182">
        <f>Y58*('Exposure Factors'!$C$9/'Exposure Factors'!$C$10)</f>
        <v>4.6156224621184491E-4</v>
      </c>
      <c r="AB58" s="182">
        <f>Z58*('Exposure Factors'!$C$9/'Exposure Factors'!$C$10)</f>
        <v>2.9108224594522243E-4</v>
      </c>
      <c r="AC58" s="170" t="s">
        <v>230</v>
      </c>
      <c r="AD58" s="170" t="s">
        <v>230</v>
      </c>
      <c r="AE58" s="169" t="s">
        <v>231</v>
      </c>
      <c r="AF58" s="171" t="s">
        <v>232</v>
      </c>
      <c r="AI58" s="16"/>
      <c r="AJ58" s="16"/>
      <c r="AK58" s="16"/>
      <c r="AL58" s="32"/>
      <c r="AM58" s="32"/>
      <c r="AN58" s="30"/>
      <c r="AO58" s="32"/>
    </row>
    <row r="59" spans="1:44" x14ac:dyDescent="0.3">
      <c r="A59" s="439" t="s">
        <v>262</v>
      </c>
      <c r="B59" s="437">
        <v>8</v>
      </c>
      <c r="C59" s="135" t="s">
        <v>263</v>
      </c>
      <c r="D59" s="50" t="s">
        <v>298</v>
      </c>
      <c r="E59" s="433" t="s">
        <v>24</v>
      </c>
      <c r="F59" s="135" t="s">
        <v>320</v>
      </c>
      <c r="G59" s="156">
        <v>200</v>
      </c>
      <c r="H59" s="170">
        <v>167</v>
      </c>
      <c r="I59" s="182">
        <v>9.2522250263374296E-4</v>
      </c>
      <c r="J59" s="182">
        <v>5.8348759300837704E-4</v>
      </c>
      <c r="K59" s="182">
        <v>3.8919872751741702E-4</v>
      </c>
      <c r="L59" s="182">
        <v>2.4827090989891102E-4</v>
      </c>
      <c r="M59" s="182">
        <f>K59*('Exposure Factors'!$C$9/'Exposure Factors'!$C$10)</f>
        <v>7.9428311738248374E-4</v>
      </c>
      <c r="N59" s="182">
        <f>L59*('Exposure Factors'!$C$9/'Exposure Factors'!$C$10)</f>
        <v>5.0667532632430823E-4</v>
      </c>
      <c r="O59" s="182">
        <v>2.1123801429994099E-4</v>
      </c>
      <c r="P59" s="182">
        <v>1.3321634543570301E-4</v>
      </c>
      <c r="Q59" s="182">
        <f>O59*('Exposure Factors'!$C$9/'Exposure Factors'!$C$10)</f>
        <v>4.3109798836722652E-4</v>
      </c>
      <c r="R59" s="182">
        <f>P59*('Exposure Factors'!$C$9/'Exposure Factors'!$C$10)</f>
        <v>2.718700927259245E-4</v>
      </c>
      <c r="S59" s="182">
        <v>7.3345893605312193E-5</v>
      </c>
      <c r="T59" s="182">
        <v>4.3326232230304998E-5</v>
      </c>
      <c r="U59" s="182">
        <f>S59*('Exposure Factors'!$C$9/'Exposure Factors'!$C$10)</f>
        <v>1.4968549715369835E-4</v>
      </c>
      <c r="V59" s="182">
        <f>T59*('Exposure Factors'!$C$9/'Exposure Factors'!$C$10)</f>
        <v>8.8420882102663263E-5</v>
      </c>
      <c r="W59" s="156">
        <v>22</v>
      </c>
      <c r="X59" s="156">
        <v>22</v>
      </c>
      <c r="Y59" s="182">
        <v>2.2616550064380399E-4</v>
      </c>
      <c r="Z59" s="182">
        <v>1.4263030051315899E-4</v>
      </c>
      <c r="AA59" s="182">
        <f>Y59*('Exposure Factors'!$C$9/'Exposure Factors'!$C$10)</f>
        <v>4.6156224621184491E-4</v>
      </c>
      <c r="AB59" s="182">
        <f>Z59*('Exposure Factors'!$C$9/'Exposure Factors'!$C$10)</f>
        <v>2.9108224594522243E-4</v>
      </c>
      <c r="AC59" s="170" t="s">
        <v>230</v>
      </c>
      <c r="AD59" s="170" t="s">
        <v>230</v>
      </c>
      <c r="AE59" s="169" t="s">
        <v>231</v>
      </c>
      <c r="AF59" s="171" t="s">
        <v>232</v>
      </c>
      <c r="AI59" s="16"/>
      <c r="AJ59" s="16"/>
      <c r="AK59" s="16"/>
      <c r="AL59" s="32"/>
      <c r="AM59" s="32"/>
      <c r="AN59" s="30"/>
      <c r="AO59" s="32"/>
    </row>
    <row r="60" spans="1:44" x14ac:dyDescent="0.3">
      <c r="A60" s="439" t="s">
        <v>262</v>
      </c>
      <c r="B60" s="437">
        <v>8</v>
      </c>
      <c r="C60" s="135" t="s">
        <v>263</v>
      </c>
      <c r="D60" s="50" t="s">
        <v>25</v>
      </c>
      <c r="E60" s="433" t="s">
        <v>117</v>
      </c>
      <c r="F60" s="135" t="s">
        <v>320</v>
      </c>
      <c r="G60" s="156">
        <v>200</v>
      </c>
      <c r="H60" s="170">
        <v>167</v>
      </c>
      <c r="I60" s="182">
        <v>9.1896650619979303E-4</v>
      </c>
      <c r="J60" s="182">
        <v>5.8148946453401296E-4</v>
      </c>
      <c r="K60" s="182">
        <v>3.8606330798015599E-4</v>
      </c>
      <c r="L60" s="182">
        <v>2.4743773912678298E-4</v>
      </c>
      <c r="M60" s="182">
        <f>K60*('Exposure Factors'!$C$9/'Exposure Factors'!$C$10)</f>
        <v>7.878843020003184E-4</v>
      </c>
      <c r="N60" s="182">
        <f>L60*('Exposure Factors'!$C$9/'Exposure Factors'!$C$10)</f>
        <v>5.0497497780976116E-4</v>
      </c>
      <c r="O60" s="182">
        <v>2.0980970461182501E-4</v>
      </c>
      <c r="P60" s="182">
        <v>1.32760151720094E-4</v>
      </c>
      <c r="Q60" s="182">
        <f>O60*('Exposure Factors'!$C$9/'Exposure Factors'!$C$10)</f>
        <v>4.2818307063637756E-4</v>
      </c>
      <c r="R60" s="182">
        <f>P60*('Exposure Factors'!$C$9/'Exposure Factors'!$C$10)</f>
        <v>2.7093908514304901E-4</v>
      </c>
      <c r="S60" s="182">
        <v>7.2454910736147705E-5</v>
      </c>
      <c r="T60" s="182">
        <v>4.2852050723568001E-5</v>
      </c>
      <c r="U60" s="182">
        <f>S60*('Exposure Factors'!$C$9/'Exposure Factors'!$C$10)</f>
        <v>1.4786716476764838E-4</v>
      </c>
      <c r="V60" s="182">
        <f>T60*('Exposure Factors'!$C$9/'Exposure Factors'!$C$10)</f>
        <v>8.7453164741975518E-5</v>
      </c>
      <c r="W60" s="156">
        <v>22</v>
      </c>
      <c r="X60" s="156">
        <v>22</v>
      </c>
      <c r="Y60" s="182">
        <v>2.2463625707106E-4</v>
      </c>
      <c r="Z60" s="182">
        <v>1.42141869108314E-4</v>
      </c>
      <c r="AA60" s="182">
        <f>Y60*('Exposure Factors'!$C$9/'Exposure Factors'!$C$10)</f>
        <v>4.5844134096134696E-4</v>
      </c>
      <c r="AB60" s="182">
        <f>Z60*('Exposure Factors'!$C$9/'Exposure Factors'!$C$10)</f>
        <v>2.9008544715982451E-4</v>
      </c>
      <c r="AC60" s="170" t="s">
        <v>230</v>
      </c>
      <c r="AD60" s="170" t="s">
        <v>230</v>
      </c>
      <c r="AE60" s="169" t="s">
        <v>231</v>
      </c>
      <c r="AF60" s="171" t="s">
        <v>232</v>
      </c>
      <c r="AI60" s="16"/>
      <c r="AJ60" s="16"/>
      <c r="AK60" s="16"/>
      <c r="AL60" s="32"/>
      <c r="AM60" s="32"/>
      <c r="AN60" s="30"/>
      <c r="AO60" s="32"/>
    </row>
    <row r="61" spans="1:44" x14ac:dyDescent="0.3">
      <c r="A61" s="439" t="s">
        <v>262</v>
      </c>
      <c r="B61" s="437">
        <v>8</v>
      </c>
      <c r="C61" s="135" t="s">
        <v>263</v>
      </c>
      <c r="D61" s="50" t="s">
        <v>298</v>
      </c>
      <c r="E61" s="433" t="s">
        <v>117</v>
      </c>
      <c r="F61" s="135" t="s">
        <v>320</v>
      </c>
      <c r="G61" s="156">
        <v>200</v>
      </c>
      <c r="H61" s="170">
        <v>167</v>
      </c>
      <c r="I61" s="182">
        <v>9.1896650619979303E-4</v>
      </c>
      <c r="J61" s="182">
        <v>5.8148946453401296E-4</v>
      </c>
      <c r="K61" s="182">
        <v>3.8606330798015599E-4</v>
      </c>
      <c r="L61" s="182">
        <v>2.4743773912678298E-4</v>
      </c>
      <c r="M61" s="182">
        <f>K61*('Exposure Factors'!$C$9/'Exposure Factors'!$C$10)</f>
        <v>7.878843020003184E-4</v>
      </c>
      <c r="N61" s="182">
        <f>L61*('Exposure Factors'!$C$9/'Exposure Factors'!$C$10)</f>
        <v>5.0497497780976116E-4</v>
      </c>
      <c r="O61" s="182">
        <v>2.0980970461182501E-4</v>
      </c>
      <c r="P61" s="182">
        <v>1.32760151720094E-4</v>
      </c>
      <c r="Q61" s="182">
        <f>O61*('Exposure Factors'!$C$9/'Exposure Factors'!$C$10)</f>
        <v>4.2818307063637756E-4</v>
      </c>
      <c r="R61" s="182">
        <f>P61*('Exposure Factors'!$C$9/'Exposure Factors'!$C$10)</f>
        <v>2.7093908514304901E-4</v>
      </c>
      <c r="S61" s="182">
        <v>7.2454910736147705E-5</v>
      </c>
      <c r="T61" s="182">
        <v>4.2852050723568001E-5</v>
      </c>
      <c r="U61" s="182">
        <f>S61*('Exposure Factors'!$C$9/'Exposure Factors'!$C$10)</f>
        <v>1.4786716476764838E-4</v>
      </c>
      <c r="V61" s="182">
        <f>T61*('Exposure Factors'!$C$9/'Exposure Factors'!$C$10)</f>
        <v>8.7453164741975518E-5</v>
      </c>
      <c r="W61" s="156">
        <v>22</v>
      </c>
      <c r="X61" s="156">
        <v>22</v>
      </c>
      <c r="Y61" s="182">
        <v>2.2463625707106E-4</v>
      </c>
      <c r="Z61" s="182">
        <v>1.42141869108314E-4</v>
      </c>
      <c r="AA61" s="182">
        <f>Y61*('Exposure Factors'!$C$9/'Exposure Factors'!$C$10)</f>
        <v>4.5844134096134696E-4</v>
      </c>
      <c r="AB61" s="182">
        <f>Z61*('Exposure Factors'!$C$9/'Exposure Factors'!$C$10)</f>
        <v>2.9008544715982451E-4</v>
      </c>
      <c r="AC61" s="170" t="s">
        <v>230</v>
      </c>
      <c r="AD61" s="170" t="s">
        <v>230</v>
      </c>
      <c r="AE61" s="169" t="s">
        <v>231</v>
      </c>
      <c r="AF61" s="171" t="s">
        <v>232</v>
      </c>
      <c r="AI61" s="16"/>
      <c r="AJ61" s="16"/>
      <c r="AK61" s="16"/>
      <c r="AL61" s="32"/>
      <c r="AM61" s="32"/>
      <c r="AN61" s="30"/>
      <c r="AO61" s="32"/>
    </row>
    <row r="62" spans="1:44" ht="14.4" x14ac:dyDescent="0.3">
      <c r="A62" s="15"/>
      <c r="C62" s="32"/>
      <c r="D62" s="79"/>
      <c r="F62" s="15"/>
      <c r="G62" s="15"/>
      <c r="H62" s="15"/>
      <c r="I62" s="15"/>
      <c r="AD62" s="18"/>
    </row>
    <row r="63" spans="1:44" ht="14.4" x14ac:dyDescent="0.3">
      <c r="A63" s="15"/>
      <c r="C63" s="32"/>
      <c r="D63" s="79"/>
      <c r="F63" s="15"/>
      <c r="G63" s="15"/>
      <c r="H63" s="15"/>
      <c r="I63" s="15"/>
    </row>
    <row r="64" spans="1:44" x14ac:dyDescent="0.3">
      <c r="C64" s="32"/>
      <c r="F64" s="15"/>
      <c r="G64" s="15"/>
      <c r="H64" s="15"/>
      <c r="I64" s="15"/>
    </row>
    <row r="65" spans="3:30" x14ac:dyDescent="0.3">
      <c r="C65" s="18"/>
      <c r="F65" s="15"/>
      <c r="G65" s="15"/>
      <c r="H65" s="15"/>
      <c r="I65" s="15"/>
      <c r="AD65" s="18"/>
    </row>
    <row r="66" spans="3:30" x14ac:dyDescent="0.3">
      <c r="C66" s="18"/>
      <c r="F66" s="15"/>
      <c r="G66" s="15"/>
      <c r="H66" s="15"/>
      <c r="I66" s="15"/>
      <c r="AD66" s="18"/>
    </row>
    <row r="67" spans="3:30" x14ac:dyDescent="0.3">
      <c r="C67" s="18"/>
      <c r="F67" s="15"/>
      <c r="G67" s="15"/>
      <c r="H67" s="15"/>
      <c r="I67" s="15"/>
      <c r="AD67" s="18"/>
    </row>
    <row r="68" spans="3:30" x14ac:dyDescent="0.3">
      <c r="C68" s="18"/>
      <c r="AD68" s="18"/>
    </row>
    <row r="69" spans="3:30" x14ac:dyDescent="0.3">
      <c r="C69" s="18"/>
      <c r="AD69" s="18"/>
    </row>
    <row r="70" spans="3:30" x14ac:dyDescent="0.3">
      <c r="C70" s="18"/>
      <c r="AD70" s="18"/>
    </row>
    <row r="71" spans="3:30" x14ac:dyDescent="0.3">
      <c r="C71" s="18"/>
      <c r="AD71" s="18"/>
    </row>
    <row r="72" spans="3:30" x14ac:dyDescent="0.3">
      <c r="AD72" s="18"/>
    </row>
    <row r="73" spans="3:30" x14ac:dyDescent="0.3">
      <c r="AC73" s="18"/>
      <c r="AD73" s="18"/>
    </row>
    <row r="74" spans="3:30" x14ac:dyDescent="0.3">
      <c r="AC74" s="18"/>
      <c r="AD74" s="18"/>
    </row>
    <row r="75" spans="3:30" x14ac:dyDescent="0.3">
      <c r="AC75" s="18"/>
      <c r="AD75" s="18"/>
    </row>
    <row r="76" spans="3:30" x14ac:dyDescent="0.3">
      <c r="AC76" s="18"/>
      <c r="AD76" s="18"/>
    </row>
    <row r="77" spans="3:30" x14ac:dyDescent="0.3">
      <c r="AC77" s="18"/>
      <c r="AD77" s="18"/>
    </row>
    <row r="78" spans="3:30" x14ac:dyDescent="0.3">
      <c r="AC78" s="18"/>
      <c r="AD78" s="18"/>
    </row>
    <row r="79" spans="3:30" x14ac:dyDescent="0.3">
      <c r="AC79" s="18"/>
      <c r="AD79" s="18"/>
    </row>
  </sheetData>
  <sheetProtection algorithmName="SHA-512" hashValue="vjwuveZ4WfyD9GlZ1U0LFVcYFoTPoJsE4cLdQqPNihP01vAjKbhXgya8oPf4KrKWqJbWXhWbBxhmcZ2c+0ywsQ==" saltValue="QH0GTVCN7Gz/b9v4zqKr5w==" spinCount="100000" sheet="1" objects="1" scenarios="1" autoFilter="0"/>
  <mergeCells count="23">
    <mergeCell ref="AA2:AB2"/>
    <mergeCell ref="AQ2:AQ4"/>
    <mergeCell ref="AR2:AR4"/>
    <mergeCell ref="AP2:AP4"/>
    <mergeCell ref="AR30:AR42"/>
    <mergeCell ref="AP30:AP42"/>
    <mergeCell ref="AQ30:AQ42"/>
    <mergeCell ref="A2:A3"/>
    <mergeCell ref="Y2:Z2"/>
    <mergeCell ref="G1:H1"/>
    <mergeCell ref="G2:H2"/>
    <mergeCell ref="I1:J1"/>
    <mergeCell ref="K1:L1"/>
    <mergeCell ref="O1:P1"/>
    <mergeCell ref="S1:T1"/>
    <mergeCell ref="I2:J2"/>
    <mergeCell ref="K2:L2"/>
    <mergeCell ref="O2:P2"/>
    <mergeCell ref="S2:T2"/>
    <mergeCell ref="Q2:R2"/>
    <mergeCell ref="W2:X2"/>
    <mergeCell ref="U2:V2"/>
    <mergeCell ref="M2:N2"/>
  </mergeCells>
  <conditionalFormatting sqref="G4:AB61">
    <cfRule type="cellIs" dxfId="19" priority="1" operator="between">
      <formula>1</formula>
      <formula>9.999</formula>
    </cfRule>
    <cfRule type="cellIs" dxfId="18" priority="2" operator="lessThan">
      <formula>0.1</formula>
    </cfRule>
    <cfRule type="cellIs" dxfId="17" priority="3" operator="between">
      <formula>0.1</formula>
      <formula>0.999</formula>
    </cfRule>
    <cfRule type="cellIs" dxfId="16" priority="4" operator="between">
      <formula>10</formula>
      <formula>9999.999</formula>
    </cfRule>
    <cfRule type="cellIs" dxfId="15" priority="5" operator="greaterThan">
      <formula>10000</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FF9B1E06-CCC7-4DB1-A618-DD0150BCE249}">
          <x14:formula1>
            <xm:f>'List Values'!$E$2:$E$3</xm:f>
          </x14:formula1>
          <xm:sqref>AF4:AF61</xm:sqref>
        </x14:dataValidation>
        <x14:dataValidation type="list" allowBlank="1" showInputMessage="1" showErrorMessage="1" xr:uid="{EB454A24-E85F-4F8B-9EF3-4243CAB0D60E}">
          <x14:formula1>
            <xm:f>'List Values'!$B$19:$B$21</xm:f>
          </x14:formula1>
          <xm:sqref>E4:E61</xm:sqref>
        </x14:dataValidation>
        <x14:dataValidation type="list" allowBlank="1" showInputMessage="1" showErrorMessage="1" xr:uid="{DEB0167D-F28D-438E-BBA3-8394E247ABC6}">
          <x14:formula1>
            <xm:f>'List Values'!$B$2:$B$15</xm:f>
          </x14:formula1>
          <xm:sqref>C4:C61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F4444-C7B1-4192-AF1B-B95A8F842D74}">
  <sheetPr>
    <tabColor theme="0" tint="-0.499984740745262"/>
  </sheetPr>
  <dimension ref="A1:S32"/>
  <sheetViews>
    <sheetView workbookViewId="0">
      <selection activeCell="B14" sqref="B14"/>
    </sheetView>
  </sheetViews>
  <sheetFormatPr defaultRowHeight="14.4" x14ac:dyDescent="0.3"/>
  <cols>
    <col min="1" max="1" width="11.5546875" customWidth="1"/>
    <col min="2" max="2" width="82.6640625" bestFit="1" customWidth="1"/>
    <col min="3" max="3" width="18" bestFit="1" customWidth="1"/>
    <col min="4" max="4" width="10.5546875" style="440" bestFit="1" customWidth="1"/>
    <col min="5" max="5" width="16.88671875" style="440" bestFit="1" customWidth="1"/>
    <col min="6" max="6" width="17.77734375" style="440" customWidth="1"/>
    <col min="7" max="7" width="21.21875" style="440" customWidth="1"/>
    <col min="8" max="8" width="16.109375" style="440" bestFit="1" customWidth="1"/>
    <col min="9" max="9" width="16.109375" style="440" customWidth="1"/>
    <col min="10" max="19" width="18.6640625" style="440" customWidth="1"/>
  </cols>
  <sheetData>
    <row r="1" spans="1:19" ht="15" thickBot="1" x14ac:dyDescent="0.35">
      <c r="J1" s="655" t="s">
        <v>264</v>
      </c>
      <c r="K1" s="656"/>
      <c r="L1" s="656"/>
      <c r="M1" s="656"/>
      <c r="N1" s="657"/>
      <c r="O1" s="655" t="s">
        <v>265</v>
      </c>
      <c r="P1" s="656"/>
      <c r="Q1" s="656"/>
      <c r="R1" s="656"/>
      <c r="S1" s="657"/>
    </row>
    <row r="2" spans="1:19" ht="14.4" customHeight="1" thickBot="1" x14ac:dyDescent="0.35">
      <c r="J2" s="649" t="s">
        <v>266</v>
      </c>
      <c r="K2" s="651" t="s">
        <v>36</v>
      </c>
      <c r="L2" s="651" t="s">
        <v>38</v>
      </c>
      <c r="M2" s="651" t="s">
        <v>39</v>
      </c>
      <c r="N2" s="653" t="s">
        <v>267</v>
      </c>
      <c r="O2" s="649" t="s">
        <v>266</v>
      </c>
      <c r="P2" s="651" t="s">
        <v>36</v>
      </c>
      <c r="Q2" s="651" t="s">
        <v>38</v>
      </c>
      <c r="R2" s="651" t="s">
        <v>39</v>
      </c>
      <c r="S2" s="658" t="s">
        <v>267</v>
      </c>
    </row>
    <row r="3" spans="1:19" ht="14.4" customHeight="1" x14ac:dyDescent="0.3">
      <c r="A3" s="639" t="s">
        <v>223</v>
      </c>
      <c r="B3" s="641" t="s">
        <v>12</v>
      </c>
      <c r="C3" s="641" t="s">
        <v>13</v>
      </c>
      <c r="D3" s="643" t="s">
        <v>268</v>
      </c>
      <c r="E3" s="643" t="s">
        <v>269</v>
      </c>
      <c r="F3" s="645" t="s">
        <v>270</v>
      </c>
      <c r="G3" s="646"/>
      <c r="H3" s="647" t="s">
        <v>271</v>
      </c>
      <c r="I3" s="648"/>
      <c r="J3" s="650"/>
      <c r="K3" s="652"/>
      <c r="L3" s="652"/>
      <c r="M3" s="652"/>
      <c r="N3" s="654"/>
      <c r="O3" s="650"/>
      <c r="P3" s="652"/>
      <c r="Q3" s="652"/>
      <c r="R3" s="652"/>
      <c r="S3" s="659"/>
    </row>
    <row r="4" spans="1:19" ht="14.4" customHeight="1" thickBot="1" x14ac:dyDescent="0.35">
      <c r="A4" s="640"/>
      <c r="B4" s="642"/>
      <c r="C4" s="642"/>
      <c r="D4" s="644"/>
      <c r="E4" s="644"/>
      <c r="F4" s="308" t="s">
        <v>88</v>
      </c>
      <c r="G4" s="308" t="s">
        <v>54</v>
      </c>
      <c r="H4" s="308" t="s">
        <v>88</v>
      </c>
      <c r="I4" s="309" t="s">
        <v>54</v>
      </c>
      <c r="J4" s="310" t="s">
        <v>272</v>
      </c>
      <c r="K4" s="192" t="s">
        <v>273</v>
      </c>
      <c r="L4" s="192" t="s">
        <v>274</v>
      </c>
      <c r="M4" s="192" t="s">
        <v>274</v>
      </c>
      <c r="N4" s="217" t="s">
        <v>275</v>
      </c>
      <c r="O4" s="192" t="s">
        <v>272</v>
      </c>
      <c r="P4" s="192" t="s">
        <v>273</v>
      </c>
      <c r="Q4" s="192" t="s">
        <v>274</v>
      </c>
      <c r="R4" s="192" t="s">
        <v>274</v>
      </c>
      <c r="S4" s="217" t="s">
        <v>275</v>
      </c>
    </row>
    <row r="5" spans="1:19" ht="14.4" customHeight="1" x14ac:dyDescent="0.3">
      <c r="A5" s="305">
        <v>1</v>
      </c>
      <c r="B5" s="306" t="s">
        <v>23</v>
      </c>
      <c r="C5" s="307" t="s">
        <v>24</v>
      </c>
      <c r="D5" s="193">
        <v>1</v>
      </c>
      <c r="E5" s="193">
        <v>0.23300000000000001</v>
      </c>
      <c r="F5" s="305">
        <v>2.1</v>
      </c>
      <c r="G5" s="305">
        <v>1.4</v>
      </c>
      <c r="H5" s="441">
        <v>1070</v>
      </c>
      <c r="I5" s="193">
        <v>535</v>
      </c>
      <c r="J5" s="305">
        <v>523.55100000000004</v>
      </c>
      <c r="K5" s="305">
        <v>6.5443875000000009</v>
      </c>
      <c r="L5" s="305">
        <v>0.12550880136986303</v>
      </c>
      <c r="M5" s="305">
        <v>6.4363487881981055E-2</v>
      </c>
      <c r="N5" s="305">
        <v>1.5270237500000003</v>
      </c>
      <c r="O5" s="305">
        <v>174.517</v>
      </c>
      <c r="P5" s="305">
        <v>2.1814624999999999</v>
      </c>
      <c r="Q5" s="305">
        <v>2.3906438356164385E-2</v>
      </c>
      <c r="R5" s="305">
        <v>9.5012767825781528E-3</v>
      </c>
      <c r="S5" s="305">
        <v>0.29086166666666663</v>
      </c>
    </row>
    <row r="6" spans="1:19" ht="14.4" customHeight="1" x14ac:dyDescent="0.3">
      <c r="A6" s="230">
        <v>1</v>
      </c>
      <c r="B6" s="187" t="s">
        <v>23</v>
      </c>
      <c r="C6" s="53" t="s">
        <v>117</v>
      </c>
      <c r="D6" s="196">
        <v>1</v>
      </c>
      <c r="E6" s="196">
        <v>0.23300000000000001</v>
      </c>
      <c r="F6" s="230">
        <v>2.1</v>
      </c>
      <c r="G6" s="230">
        <v>1.4</v>
      </c>
      <c r="H6" s="442">
        <v>1070</v>
      </c>
      <c r="I6" s="196">
        <v>535</v>
      </c>
      <c r="J6" s="230">
        <v>523.55100000000004</v>
      </c>
      <c r="K6" s="230">
        <v>6.5443875000000009</v>
      </c>
      <c r="L6" s="230">
        <v>1.2192283561643837</v>
      </c>
      <c r="M6" s="230">
        <v>0.62524531085353019</v>
      </c>
      <c r="N6" s="230">
        <v>4.7992175000000001</v>
      </c>
      <c r="O6" s="230">
        <v>174.517</v>
      </c>
      <c r="P6" s="230">
        <v>2.1814624999999999</v>
      </c>
      <c r="Q6" s="230">
        <v>0.22711116438356163</v>
      </c>
      <c r="R6" s="230">
        <v>9.0262129434492439E-2</v>
      </c>
      <c r="S6" s="230">
        <v>1.5997391666666665</v>
      </c>
    </row>
    <row r="7" spans="1:19" ht="14.4" customHeight="1" x14ac:dyDescent="0.3">
      <c r="A7" s="230" t="s">
        <v>120</v>
      </c>
      <c r="B7" s="187" t="s">
        <v>234</v>
      </c>
      <c r="C7" s="53" t="s">
        <v>24</v>
      </c>
      <c r="D7" s="196">
        <v>1</v>
      </c>
      <c r="E7" s="196">
        <v>0.23300000000000001</v>
      </c>
      <c r="F7" s="230">
        <v>2.1</v>
      </c>
      <c r="G7" s="230">
        <v>1.4</v>
      </c>
      <c r="H7" s="442">
        <v>1070</v>
      </c>
      <c r="I7" s="196">
        <v>535</v>
      </c>
      <c r="J7" s="230">
        <v>523.55100000000004</v>
      </c>
      <c r="K7" s="230">
        <v>6.5443875000000009</v>
      </c>
      <c r="L7" s="230">
        <v>0.68133349315068503</v>
      </c>
      <c r="M7" s="230">
        <v>0.34940179135932564</v>
      </c>
      <c r="N7" s="230">
        <v>4.7992175000000001</v>
      </c>
      <c r="O7" s="230">
        <v>174.517</v>
      </c>
      <c r="P7" s="230">
        <v>2.1814624999999999</v>
      </c>
      <c r="Q7" s="230">
        <v>3.5859657534246574E-2</v>
      </c>
      <c r="R7" s="230">
        <v>1.4251915173867227E-2</v>
      </c>
      <c r="S7" s="230">
        <v>0.43629249999999992</v>
      </c>
    </row>
    <row r="8" spans="1:19" ht="14.4" customHeight="1" x14ac:dyDescent="0.3">
      <c r="A8" s="230" t="s">
        <v>120</v>
      </c>
      <c r="B8" s="187" t="s">
        <v>234</v>
      </c>
      <c r="C8" s="53" t="s">
        <v>117</v>
      </c>
      <c r="D8" s="196">
        <v>1</v>
      </c>
      <c r="E8" s="196">
        <v>0.23300000000000001</v>
      </c>
      <c r="F8" s="230">
        <v>2.1</v>
      </c>
      <c r="G8" s="230">
        <v>1.4</v>
      </c>
      <c r="H8" s="442">
        <v>1070</v>
      </c>
      <c r="I8" s="196">
        <v>535</v>
      </c>
      <c r="J8" s="230">
        <v>523.55100000000004</v>
      </c>
      <c r="K8" s="230">
        <v>6.5443875000000009</v>
      </c>
      <c r="L8" s="230">
        <v>4.4824571917808225</v>
      </c>
      <c r="M8" s="230">
        <v>2.298695995785037</v>
      </c>
      <c r="N8" s="230">
        <v>4.7992175000000001</v>
      </c>
      <c r="O8" s="230">
        <v>174.517</v>
      </c>
      <c r="P8" s="230">
        <v>2.1814624999999999</v>
      </c>
      <c r="Q8" s="230">
        <v>0.34066674657534246</v>
      </c>
      <c r="R8" s="230">
        <v>0.13539319415173867</v>
      </c>
      <c r="S8" s="230">
        <v>1.5997391666666665</v>
      </c>
    </row>
    <row r="9" spans="1:19" ht="14.4" customHeight="1" x14ac:dyDescent="0.3">
      <c r="A9" s="230" t="s">
        <v>124</v>
      </c>
      <c r="B9" s="187" t="s">
        <v>235</v>
      </c>
      <c r="C9" s="53" t="s">
        <v>24</v>
      </c>
      <c r="D9" s="196">
        <v>1</v>
      </c>
      <c r="E9" s="196">
        <v>0.23300000000000001</v>
      </c>
      <c r="F9" s="230">
        <v>2.1</v>
      </c>
      <c r="G9" s="230">
        <v>1.4</v>
      </c>
      <c r="H9" s="442">
        <v>1070</v>
      </c>
      <c r="I9" s="196">
        <v>535</v>
      </c>
      <c r="J9" s="230">
        <v>523.55100000000004</v>
      </c>
      <c r="K9" s="230">
        <v>6.5443875000000009</v>
      </c>
      <c r="L9" s="230">
        <v>3.5859657534246581E-2</v>
      </c>
      <c r="M9" s="230">
        <v>1.8389567966280298E-2</v>
      </c>
      <c r="N9" s="230">
        <v>0.43629250000000008</v>
      </c>
      <c r="O9" s="230">
        <v>174.517</v>
      </c>
      <c r="P9" s="230">
        <v>2.1814624999999999</v>
      </c>
      <c r="Q9" s="230">
        <v>5.9766095890410962E-3</v>
      </c>
      <c r="R9" s="230">
        <v>2.3753191956445382E-3</v>
      </c>
      <c r="S9" s="230">
        <v>7.2715416666666657E-2</v>
      </c>
    </row>
    <row r="10" spans="1:19" ht="14.4" customHeight="1" x14ac:dyDescent="0.3">
      <c r="A10" s="230" t="s">
        <v>124</v>
      </c>
      <c r="B10" s="187" t="s">
        <v>235</v>
      </c>
      <c r="C10" s="53" t="s">
        <v>117</v>
      </c>
      <c r="D10" s="196">
        <v>1</v>
      </c>
      <c r="E10" s="196">
        <v>0.23300000000000001</v>
      </c>
      <c r="F10" s="230">
        <v>2.1</v>
      </c>
      <c r="G10" s="230">
        <v>1.4</v>
      </c>
      <c r="H10" s="442">
        <v>1070</v>
      </c>
      <c r="I10" s="196">
        <v>535</v>
      </c>
      <c r="J10" s="230">
        <v>523.55100000000004</v>
      </c>
      <c r="K10" s="230">
        <v>6.5443875000000009</v>
      </c>
      <c r="L10" s="230">
        <v>0.21515794520547948</v>
      </c>
      <c r="M10" s="230">
        <v>0.11033740779768179</v>
      </c>
      <c r="N10" s="230">
        <v>2.6177550000000007</v>
      </c>
      <c r="O10" s="230">
        <v>174.517</v>
      </c>
      <c r="P10" s="230">
        <v>2.1814624999999999</v>
      </c>
      <c r="Q10" s="230">
        <v>2.3906438356164385E-2</v>
      </c>
      <c r="R10" s="230">
        <v>9.5012767825781528E-3</v>
      </c>
      <c r="S10" s="230">
        <v>0.29086166666666663</v>
      </c>
    </row>
    <row r="11" spans="1:19" ht="14.4" customHeight="1" x14ac:dyDescent="0.3">
      <c r="A11" s="230">
        <v>3</v>
      </c>
      <c r="B11" s="187" t="s">
        <v>237</v>
      </c>
      <c r="C11" s="53" t="s">
        <v>24</v>
      </c>
      <c r="D11" s="196">
        <v>1</v>
      </c>
      <c r="E11" s="196">
        <v>0.23300000000000001</v>
      </c>
      <c r="F11" s="230">
        <v>2.1</v>
      </c>
      <c r="G11" s="230">
        <v>1.4</v>
      </c>
      <c r="H11" s="442">
        <v>1070</v>
      </c>
      <c r="I11" s="196">
        <v>535</v>
      </c>
      <c r="J11" s="230">
        <v>523.55100000000004</v>
      </c>
      <c r="K11" s="230">
        <v>6.5443875000000009</v>
      </c>
      <c r="L11" s="230">
        <v>0.10757897260273974</v>
      </c>
      <c r="M11" s="230">
        <v>5.5168703898840897E-2</v>
      </c>
      <c r="N11" s="230">
        <v>1.3088775000000004</v>
      </c>
      <c r="O11" s="230">
        <v>174.517</v>
      </c>
      <c r="P11" s="230">
        <v>2.1814624999999999</v>
      </c>
      <c r="Q11" s="230">
        <v>5.9766095890410962E-3</v>
      </c>
      <c r="R11" s="230">
        <v>2.3753191956445382E-3</v>
      </c>
      <c r="S11" s="230">
        <v>7.2715416666666657E-2</v>
      </c>
    </row>
    <row r="12" spans="1:19" ht="14.4" customHeight="1" x14ac:dyDescent="0.3">
      <c r="A12" s="230">
        <v>3</v>
      </c>
      <c r="B12" s="187" t="s">
        <v>237</v>
      </c>
      <c r="C12" s="53" t="s">
        <v>117</v>
      </c>
      <c r="D12" s="196">
        <v>1</v>
      </c>
      <c r="E12" s="196">
        <v>0.23300000000000001</v>
      </c>
      <c r="F12" s="230">
        <v>2.1</v>
      </c>
      <c r="G12" s="230">
        <v>1.4</v>
      </c>
      <c r="H12" s="442">
        <v>1070</v>
      </c>
      <c r="I12" s="196">
        <v>535</v>
      </c>
      <c r="J12" s="230">
        <v>523.55100000000004</v>
      </c>
      <c r="K12" s="230">
        <v>6.5443875000000009</v>
      </c>
      <c r="L12" s="230">
        <v>1.0040704109589043</v>
      </c>
      <c r="M12" s="230">
        <v>0.51490790305584844</v>
      </c>
      <c r="N12" s="230">
        <v>4.7992175000000001</v>
      </c>
      <c r="O12" s="230">
        <v>174.517</v>
      </c>
      <c r="P12" s="230">
        <v>2.1814624999999999</v>
      </c>
      <c r="Q12" s="230">
        <v>3.5859657534246574E-2</v>
      </c>
      <c r="R12" s="230">
        <v>1.4251915173867227E-2</v>
      </c>
      <c r="S12" s="230">
        <v>0.43629249999999992</v>
      </c>
    </row>
    <row r="13" spans="1:19" ht="14.4" customHeight="1" x14ac:dyDescent="0.3">
      <c r="A13" s="230">
        <v>4</v>
      </c>
      <c r="B13" s="187" t="s">
        <v>239</v>
      </c>
      <c r="C13" s="53" t="s">
        <v>24</v>
      </c>
      <c r="D13" s="196">
        <v>0.4</v>
      </c>
      <c r="E13" s="196">
        <v>0.23300000000000001</v>
      </c>
      <c r="F13" s="230">
        <v>2.1</v>
      </c>
      <c r="G13" s="230">
        <v>1.4</v>
      </c>
      <c r="H13" s="442">
        <v>1070</v>
      </c>
      <c r="I13" s="196">
        <v>535</v>
      </c>
      <c r="J13" s="230">
        <v>209.42040000000003</v>
      </c>
      <c r="K13" s="230">
        <v>2.6177550000000003</v>
      </c>
      <c r="L13" s="230">
        <v>1.792982876712329</v>
      </c>
      <c r="M13" s="230">
        <v>0.9194783983140149</v>
      </c>
      <c r="N13" s="230">
        <v>1.9196870000000001</v>
      </c>
      <c r="O13" s="230">
        <v>69.806799999999996</v>
      </c>
      <c r="P13" s="230">
        <v>0.87258499999999994</v>
      </c>
      <c r="Q13" s="230">
        <v>0.17212635616438354</v>
      </c>
      <c r="R13" s="230">
        <v>6.840919283456269E-2</v>
      </c>
      <c r="S13" s="230">
        <v>0.63989566666666653</v>
      </c>
    </row>
    <row r="14" spans="1:19" ht="14.4" customHeight="1" x14ac:dyDescent="0.3">
      <c r="A14" s="230">
        <v>4</v>
      </c>
      <c r="B14" s="187" t="s">
        <v>239</v>
      </c>
      <c r="C14" s="53" t="s">
        <v>117</v>
      </c>
      <c r="D14" s="196">
        <v>0.4</v>
      </c>
      <c r="E14" s="196">
        <v>0.23300000000000001</v>
      </c>
      <c r="F14" s="230">
        <v>2.1</v>
      </c>
      <c r="G14" s="230">
        <v>1.4</v>
      </c>
      <c r="H14" s="442">
        <v>1070</v>
      </c>
      <c r="I14" s="196">
        <v>535</v>
      </c>
      <c r="J14" s="230">
        <v>209.42040000000003</v>
      </c>
      <c r="K14" s="230">
        <v>2.6177550000000003</v>
      </c>
      <c r="L14" s="230">
        <v>1.792982876712329</v>
      </c>
      <c r="M14" s="230">
        <v>0.9194783983140149</v>
      </c>
      <c r="N14" s="230">
        <v>1.9196870000000001</v>
      </c>
      <c r="O14" s="230">
        <v>69.806799999999996</v>
      </c>
      <c r="P14" s="230">
        <v>0.87258499999999994</v>
      </c>
      <c r="Q14" s="230">
        <v>0.59766095890410953</v>
      </c>
      <c r="R14" s="230">
        <v>0.2375319195644538</v>
      </c>
      <c r="S14" s="230">
        <v>0.63989566666666653</v>
      </c>
    </row>
    <row r="15" spans="1:19" ht="14.4" customHeight="1" x14ac:dyDescent="0.3">
      <c r="A15" s="230">
        <v>5</v>
      </c>
      <c r="B15" s="187" t="s">
        <v>241</v>
      </c>
      <c r="C15" s="53" t="s">
        <v>24</v>
      </c>
      <c r="D15" s="196">
        <v>1.4E-5</v>
      </c>
      <c r="E15" s="196">
        <v>0.23300000000000001</v>
      </c>
      <c r="F15" s="443">
        <v>1</v>
      </c>
      <c r="G15" s="444">
        <v>0.84</v>
      </c>
      <c r="H15" s="442">
        <v>1070</v>
      </c>
      <c r="I15" s="196">
        <v>535</v>
      </c>
      <c r="J15" s="230">
        <v>3.4903400000000002E-3</v>
      </c>
      <c r="K15" s="230">
        <v>4.3629250000000002E-5</v>
      </c>
      <c r="L15" s="230">
        <v>2.9883047945205482E-5</v>
      </c>
      <c r="M15" s="230">
        <v>1.5324639971900246E-5</v>
      </c>
      <c r="N15" s="230">
        <v>3.1994783333333337E-5</v>
      </c>
      <c r="O15" s="230">
        <v>1.4659428000000001E-3</v>
      </c>
      <c r="P15" s="230">
        <v>1.8324285000000002E-5</v>
      </c>
      <c r="Q15" s="230">
        <v>1.2550880136986302E-5</v>
      </c>
      <c r="R15" s="230">
        <v>4.9881703108535306E-6</v>
      </c>
      <c r="S15" s="230">
        <v>1.3437809000000002E-5</v>
      </c>
    </row>
    <row r="16" spans="1:19" ht="14.4" customHeight="1" x14ac:dyDescent="0.3">
      <c r="A16" s="230">
        <v>5</v>
      </c>
      <c r="B16" s="187" t="s">
        <v>241</v>
      </c>
      <c r="C16" s="53" t="s">
        <v>117</v>
      </c>
      <c r="D16" s="196">
        <v>1.4E-5</v>
      </c>
      <c r="E16" s="196">
        <v>0.23300000000000001</v>
      </c>
      <c r="F16" s="443">
        <v>1</v>
      </c>
      <c r="G16" s="444">
        <v>0.84</v>
      </c>
      <c r="H16" s="442">
        <v>1070</v>
      </c>
      <c r="I16" s="196">
        <v>535</v>
      </c>
      <c r="J16" s="230">
        <v>3.4903400000000002E-3</v>
      </c>
      <c r="K16" s="230">
        <v>4.3629250000000002E-5</v>
      </c>
      <c r="L16" s="230">
        <v>2.9883047945205482E-5</v>
      </c>
      <c r="M16" s="230">
        <v>1.5324639971900246E-5</v>
      </c>
      <c r="N16" s="230">
        <v>3.1994783333333337E-5</v>
      </c>
      <c r="O16" s="230">
        <v>1.4659428000000001E-3</v>
      </c>
      <c r="P16" s="230">
        <v>1.8324285000000002E-5</v>
      </c>
      <c r="Q16" s="230">
        <v>1.2550880136986302E-5</v>
      </c>
      <c r="R16" s="230">
        <v>4.9881703108535306E-6</v>
      </c>
      <c r="S16" s="230">
        <v>1.3437809000000002E-5</v>
      </c>
    </row>
    <row r="17" spans="1:19" ht="14.4" customHeight="1" x14ac:dyDescent="0.3">
      <c r="A17" s="230" t="s">
        <v>134</v>
      </c>
      <c r="B17" s="187" t="s">
        <v>246</v>
      </c>
      <c r="C17" s="53" t="s">
        <v>24</v>
      </c>
      <c r="D17" s="196">
        <v>0.05</v>
      </c>
      <c r="E17" s="196">
        <v>0.23300000000000001</v>
      </c>
      <c r="F17" s="230">
        <v>10.3</v>
      </c>
      <c r="G17" s="230">
        <v>3.8</v>
      </c>
      <c r="H17" s="442">
        <v>1070</v>
      </c>
      <c r="I17" s="196">
        <v>535</v>
      </c>
      <c r="J17" s="230">
        <v>128.39465000000001</v>
      </c>
      <c r="K17" s="230">
        <v>1.6049331250000001</v>
      </c>
      <c r="L17" s="230">
        <v>4.3970770547945206E-3</v>
      </c>
      <c r="M17" s="230">
        <v>2.2549113101510364E-3</v>
      </c>
      <c r="N17" s="230">
        <v>5.3497770833333333E-2</v>
      </c>
      <c r="O17" s="230">
        <v>23.684450000000002</v>
      </c>
      <c r="P17" s="230">
        <v>0.29605562500000004</v>
      </c>
      <c r="Q17" s="230">
        <v>8.1111130136986319E-4</v>
      </c>
      <c r="R17" s="230">
        <v>3.2236474798033024E-4</v>
      </c>
      <c r="S17" s="230">
        <v>9.868520833333335E-3</v>
      </c>
    </row>
    <row r="18" spans="1:19" ht="14.4" customHeight="1" x14ac:dyDescent="0.3">
      <c r="A18" s="230" t="s">
        <v>134</v>
      </c>
      <c r="B18" s="187" t="s">
        <v>246</v>
      </c>
      <c r="C18" s="53" t="s">
        <v>117</v>
      </c>
      <c r="D18" s="196">
        <v>0.05</v>
      </c>
      <c r="E18" s="196">
        <v>0.23300000000000001</v>
      </c>
      <c r="F18" s="230">
        <v>10.3</v>
      </c>
      <c r="G18" s="230">
        <v>3.8</v>
      </c>
      <c r="H18" s="442">
        <v>1070</v>
      </c>
      <c r="I18" s="196">
        <v>535</v>
      </c>
      <c r="J18" s="230">
        <v>128.39465000000001</v>
      </c>
      <c r="K18" s="230">
        <v>1.6049331250000001</v>
      </c>
      <c r="L18" s="230">
        <v>4.3970770547945206E-3</v>
      </c>
      <c r="M18" s="230">
        <v>2.2549113101510364E-3</v>
      </c>
      <c r="N18" s="230">
        <v>5.3497770833333333E-2</v>
      </c>
      <c r="O18" s="230">
        <v>23.684450000000002</v>
      </c>
      <c r="P18" s="230">
        <v>0.29605562500000004</v>
      </c>
      <c r="Q18" s="230">
        <v>8.1111130136986319E-4</v>
      </c>
      <c r="R18" s="230">
        <v>3.2236474798033024E-4</v>
      </c>
      <c r="S18" s="230">
        <v>9.868520833333335E-3</v>
      </c>
    </row>
    <row r="19" spans="1:19" ht="14.4" customHeight="1" x14ac:dyDescent="0.3">
      <c r="A19" s="230" t="s">
        <v>138</v>
      </c>
      <c r="B19" s="187" t="s">
        <v>249</v>
      </c>
      <c r="C19" s="53" t="s">
        <v>24</v>
      </c>
      <c r="D19" s="196">
        <v>0.05</v>
      </c>
      <c r="E19" s="196">
        <v>0.23300000000000001</v>
      </c>
      <c r="F19" s="230">
        <v>10.3</v>
      </c>
      <c r="G19" s="230">
        <v>3.8</v>
      </c>
      <c r="H19" s="442">
        <v>1070</v>
      </c>
      <c r="I19" s="196">
        <v>535</v>
      </c>
      <c r="J19" s="230">
        <v>128.39465000000001</v>
      </c>
      <c r="K19" s="230">
        <v>1.6049331250000001</v>
      </c>
      <c r="L19" s="230">
        <v>8.7941541095890412E-3</v>
      </c>
      <c r="M19" s="230">
        <v>4.5098226203020729E-3</v>
      </c>
      <c r="N19" s="230">
        <v>0.10699554166666667</v>
      </c>
      <c r="O19" s="230">
        <v>23.684450000000002</v>
      </c>
      <c r="P19" s="230">
        <v>0.29605562500000004</v>
      </c>
      <c r="Q19" s="230">
        <v>1.6222226027397264E-3</v>
      </c>
      <c r="R19" s="230">
        <v>6.4472949596066048E-4</v>
      </c>
      <c r="S19" s="230">
        <v>1.973704166666667E-2</v>
      </c>
    </row>
    <row r="20" spans="1:19" ht="14.4" customHeight="1" x14ac:dyDescent="0.3">
      <c r="A20" s="230" t="s">
        <v>138</v>
      </c>
      <c r="B20" s="187" t="s">
        <v>249</v>
      </c>
      <c r="C20" s="53" t="s">
        <v>117</v>
      </c>
      <c r="D20" s="196">
        <v>0.05</v>
      </c>
      <c r="E20" s="196">
        <v>0.23300000000000001</v>
      </c>
      <c r="F20" s="230">
        <v>10.3</v>
      </c>
      <c r="G20" s="230">
        <v>3.8</v>
      </c>
      <c r="H20" s="442">
        <v>1070</v>
      </c>
      <c r="I20" s="196">
        <v>535</v>
      </c>
      <c r="J20" s="230">
        <v>128.39465000000001</v>
      </c>
      <c r="K20" s="230">
        <v>1.6049331250000001</v>
      </c>
      <c r="L20" s="230">
        <v>8.7941541095890412E-3</v>
      </c>
      <c r="M20" s="230">
        <v>4.5098226203020729E-3</v>
      </c>
      <c r="N20" s="230">
        <v>0.10699554166666667</v>
      </c>
      <c r="O20" s="230">
        <v>23.684450000000002</v>
      </c>
      <c r="P20" s="230">
        <v>0.29605562500000004</v>
      </c>
      <c r="Q20" s="230">
        <v>1.6222226027397264E-3</v>
      </c>
      <c r="R20" s="230">
        <v>6.4472949596066048E-4</v>
      </c>
      <c r="S20" s="230">
        <v>1.973704166666667E-2</v>
      </c>
    </row>
    <row r="21" spans="1:19" ht="14.4" customHeight="1" x14ac:dyDescent="0.3">
      <c r="A21" s="230" t="s">
        <v>140</v>
      </c>
      <c r="B21" s="187" t="s">
        <v>251</v>
      </c>
      <c r="C21" s="53" t="s">
        <v>24</v>
      </c>
      <c r="D21" s="196">
        <v>0.05</v>
      </c>
      <c r="E21" s="196">
        <v>0.23300000000000001</v>
      </c>
      <c r="F21" s="230">
        <v>10.3</v>
      </c>
      <c r="G21" s="230">
        <v>3.8</v>
      </c>
      <c r="H21" s="442">
        <v>1070</v>
      </c>
      <c r="I21" s="196">
        <v>535</v>
      </c>
      <c r="J21" s="230">
        <v>128.39465000000001</v>
      </c>
      <c r="K21" s="230">
        <v>1.6049331250000001</v>
      </c>
      <c r="L21" s="230">
        <v>1.0992692636986301</v>
      </c>
      <c r="M21" s="230">
        <v>0.56372782753775907</v>
      </c>
      <c r="N21" s="230">
        <v>1.1769509583333333</v>
      </c>
      <c r="O21" s="230">
        <v>23.684450000000002</v>
      </c>
      <c r="P21" s="230">
        <v>0.29605562500000004</v>
      </c>
      <c r="Q21" s="230">
        <v>0.20277782534246575</v>
      </c>
      <c r="R21" s="230">
        <v>8.0591186995082539E-2</v>
      </c>
      <c r="S21" s="230">
        <v>0.21710745833333336</v>
      </c>
    </row>
    <row r="22" spans="1:19" ht="14.4" customHeight="1" x14ac:dyDescent="0.3">
      <c r="A22" s="230" t="s">
        <v>140</v>
      </c>
      <c r="B22" s="187" t="s">
        <v>251</v>
      </c>
      <c r="C22" s="53" t="s">
        <v>117</v>
      </c>
      <c r="D22" s="196">
        <v>0.05</v>
      </c>
      <c r="E22" s="196">
        <v>0.23300000000000001</v>
      </c>
      <c r="F22" s="230">
        <v>10.3</v>
      </c>
      <c r="G22" s="230">
        <v>3.8</v>
      </c>
      <c r="H22" s="442">
        <v>1070</v>
      </c>
      <c r="I22" s="196">
        <v>535</v>
      </c>
      <c r="J22" s="230">
        <v>128.39465000000001</v>
      </c>
      <c r="K22" s="230">
        <v>1.6049331250000001</v>
      </c>
      <c r="L22" s="230">
        <v>1.0992692636986301</v>
      </c>
      <c r="M22" s="230">
        <v>0.56372782753775907</v>
      </c>
      <c r="N22" s="230">
        <v>1.1769509583333333</v>
      </c>
      <c r="O22" s="230">
        <v>23.684450000000002</v>
      </c>
      <c r="P22" s="230">
        <v>0.29605562500000004</v>
      </c>
      <c r="Q22" s="230">
        <v>0.20277782534246575</v>
      </c>
      <c r="R22" s="230">
        <v>8.0591186995082539E-2</v>
      </c>
      <c r="S22" s="230">
        <v>0.21710745833333336</v>
      </c>
    </row>
    <row r="23" spans="1:19" ht="14.4" customHeight="1" x14ac:dyDescent="0.3">
      <c r="A23" s="230" t="s">
        <v>142</v>
      </c>
      <c r="B23" s="187" t="s">
        <v>253</v>
      </c>
      <c r="C23" s="53" t="s">
        <v>24</v>
      </c>
      <c r="D23" s="196">
        <v>0.25</v>
      </c>
      <c r="E23" s="196">
        <v>0.23300000000000001</v>
      </c>
      <c r="F23" s="230">
        <v>10.3</v>
      </c>
      <c r="G23" s="230">
        <v>3.8</v>
      </c>
      <c r="H23" s="442">
        <v>1070</v>
      </c>
      <c r="I23" s="196">
        <v>535</v>
      </c>
      <c r="J23" s="230">
        <v>641.97325000000001</v>
      </c>
      <c r="K23" s="230">
        <v>8.0246656250000008</v>
      </c>
      <c r="L23" s="230">
        <v>2.1985385273972605E-2</v>
      </c>
      <c r="M23" s="230">
        <v>1.1274556550755181E-2</v>
      </c>
      <c r="N23" s="230">
        <v>0.26748885416666668</v>
      </c>
      <c r="O23" s="230">
        <v>118.42225000000001</v>
      </c>
      <c r="P23" s="230">
        <v>1.4802781250000001</v>
      </c>
      <c r="Q23" s="230">
        <v>4.0555565068493152E-3</v>
      </c>
      <c r="R23" s="230">
        <v>1.6118237399016511E-3</v>
      </c>
      <c r="S23" s="230">
        <v>4.9342604166666672E-2</v>
      </c>
    </row>
    <row r="24" spans="1:19" ht="14.4" customHeight="1" x14ac:dyDescent="0.3">
      <c r="A24" s="230" t="s">
        <v>142</v>
      </c>
      <c r="B24" s="187" t="s">
        <v>253</v>
      </c>
      <c r="C24" s="53" t="s">
        <v>117</v>
      </c>
      <c r="D24" s="196">
        <v>0.25</v>
      </c>
      <c r="E24" s="196">
        <v>0.23300000000000001</v>
      </c>
      <c r="F24" s="230">
        <v>10.3</v>
      </c>
      <c r="G24" s="230">
        <v>3.8</v>
      </c>
      <c r="H24" s="442">
        <v>1070</v>
      </c>
      <c r="I24" s="196">
        <v>535</v>
      </c>
      <c r="J24" s="230">
        <v>641.97325000000001</v>
      </c>
      <c r="K24" s="230">
        <v>8.0246656250000008</v>
      </c>
      <c r="L24" s="230">
        <v>2.1985385273972605E-2</v>
      </c>
      <c r="M24" s="230">
        <v>1.1274556550755181E-2</v>
      </c>
      <c r="N24" s="230">
        <v>0.26748885416666668</v>
      </c>
      <c r="O24" s="230">
        <v>118.42225000000001</v>
      </c>
      <c r="P24" s="230">
        <v>1.4802781250000001</v>
      </c>
      <c r="Q24" s="230">
        <v>4.0555565068493152E-3</v>
      </c>
      <c r="R24" s="230">
        <v>1.6118237399016511E-3</v>
      </c>
      <c r="S24" s="230">
        <v>4.9342604166666672E-2</v>
      </c>
    </row>
    <row r="25" spans="1:19" ht="14.4" customHeight="1" x14ac:dyDescent="0.3">
      <c r="A25" s="230" t="s">
        <v>144</v>
      </c>
      <c r="B25" s="187" t="s">
        <v>255</v>
      </c>
      <c r="C25" s="53" t="s">
        <v>24</v>
      </c>
      <c r="D25" s="196">
        <v>0.25</v>
      </c>
      <c r="E25" s="196">
        <v>0.23300000000000001</v>
      </c>
      <c r="F25" s="230">
        <v>10.3</v>
      </c>
      <c r="G25" s="230">
        <v>3.8</v>
      </c>
      <c r="H25" s="442">
        <v>1070</v>
      </c>
      <c r="I25" s="196">
        <v>535</v>
      </c>
      <c r="J25" s="230">
        <v>641.97325000000001</v>
      </c>
      <c r="K25" s="230">
        <v>8.0246656250000008</v>
      </c>
      <c r="L25" s="230">
        <v>4.3970770547945209E-2</v>
      </c>
      <c r="M25" s="230">
        <v>2.2549113101510362E-2</v>
      </c>
      <c r="N25" s="230">
        <v>0.53497770833333336</v>
      </c>
      <c r="O25" s="230">
        <v>118.42225000000001</v>
      </c>
      <c r="P25" s="230">
        <v>1.4802781250000001</v>
      </c>
      <c r="Q25" s="230">
        <v>8.1111130136986304E-3</v>
      </c>
      <c r="R25" s="230">
        <v>3.2236474798033022E-3</v>
      </c>
      <c r="S25" s="230">
        <v>9.8685208333333344E-2</v>
      </c>
    </row>
    <row r="26" spans="1:19" ht="14.4" customHeight="1" x14ac:dyDescent="0.3">
      <c r="A26" s="230" t="s">
        <v>144</v>
      </c>
      <c r="B26" s="187" t="s">
        <v>255</v>
      </c>
      <c r="C26" s="53" t="s">
        <v>117</v>
      </c>
      <c r="D26" s="196">
        <v>0.25</v>
      </c>
      <c r="E26" s="196">
        <v>0.23300000000000001</v>
      </c>
      <c r="F26" s="230">
        <v>10.3</v>
      </c>
      <c r="G26" s="230">
        <v>3.8</v>
      </c>
      <c r="H26" s="442">
        <v>1070</v>
      </c>
      <c r="I26" s="196">
        <v>535</v>
      </c>
      <c r="J26" s="230">
        <v>641.97325000000001</v>
      </c>
      <c r="K26" s="230">
        <v>8.0246656250000008</v>
      </c>
      <c r="L26" s="230">
        <v>4.3970770547945209E-2</v>
      </c>
      <c r="M26" s="230">
        <v>2.2549113101510362E-2</v>
      </c>
      <c r="N26" s="230">
        <v>0.53497770833333336</v>
      </c>
      <c r="O26" s="230">
        <v>118.42225000000001</v>
      </c>
      <c r="P26" s="230">
        <v>1.4802781250000001</v>
      </c>
      <c r="Q26" s="230">
        <v>8.1111130136986304E-3</v>
      </c>
      <c r="R26" s="230">
        <v>3.2236474798033022E-3</v>
      </c>
      <c r="S26" s="230">
        <v>9.8685208333333344E-2</v>
      </c>
    </row>
    <row r="27" spans="1:19" ht="15.6" customHeight="1" x14ac:dyDescent="0.3">
      <c r="A27" s="230" t="s">
        <v>146</v>
      </c>
      <c r="B27" s="187" t="s">
        <v>257</v>
      </c>
      <c r="C27" s="53" t="s">
        <v>24</v>
      </c>
      <c r="D27" s="196">
        <v>0.25</v>
      </c>
      <c r="E27" s="196">
        <v>0.23300000000000001</v>
      </c>
      <c r="F27" s="230">
        <v>10.3</v>
      </c>
      <c r="G27" s="230">
        <v>3.8</v>
      </c>
      <c r="H27" s="442">
        <v>1070</v>
      </c>
      <c r="I27" s="196">
        <v>535</v>
      </c>
      <c r="J27" s="230">
        <v>641.97325000000001</v>
      </c>
      <c r="K27" s="230">
        <v>8.0246656250000008</v>
      </c>
      <c r="L27" s="230">
        <v>5.4963463184931509</v>
      </c>
      <c r="M27" s="230">
        <v>2.8186391376887951</v>
      </c>
      <c r="N27" s="230">
        <v>5.8847547916666674</v>
      </c>
      <c r="O27" s="230">
        <v>118.42225000000001</v>
      </c>
      <c r="P27" s="230">
        <v>1.4802781250000001</v>
      </c>
      <c r="Q27" s="230">
        <v>1.0138891267123289</v>
      </c>
      <c r="R27" s="230">
        <v>0.40295593497541277</v>
      </c>
      <c r="S27" s="230">
        <v>1.0855372916666668</v>
      </c>
    </row>
    <row r="28" spans="1:19" ht="15.6" customHeight="1" x14ac:dyDescent="0.3">
      <c r="A28" s="230" t="s">
        <v>146</v>
      </c>
      <c r="B28" s="187" t="s">
        <v>257</v>
      </c>
      <c r="C28" s="53" t="s">
        <v>117</v>
      </c>
      <c r="D28" s="196">
        <v>0.25</v>
      </c>
      <c r="E28" s="196">
        <v>0.23300000000000001</v>
      </c>
      <c r="F28" s="230">
        <v>10.3</v>
      </c>
      <c r="G28" s="230">
        <v>3.8</v>
      </c>
      <c r="H28" s="442">
        <v>1070</v>
      </c>
      <c r="I28" s="196">
        <v>535</v>
      </c>
      <c r="J28" s="230">
        <v>641.97325000000001</v>
      </c>
      <c r="K28" s="230">
        <v>8.0246656250000008</v>
      </c>
      <c r="L28" s="230">
        <v>5.4963463184931509</v>
      </c>
      <c r="M28" s="230">
        <v>2.8186391376887951</v>
      </c>
      <c r="N28" s="230">
        <v>5.8847547916666674</v>
      </c>
      <c r="O28" s="230">
        <v>118.42225000000001</v>
      </c>
      <c r="P28" s="230">
        <v>1.4802781250000001</v>
      </c>
      <c r="Q28" s="230">
        <v>1.0138891267123289</v>
      </c>
      <c r="R28" s="230">
        <v>0.40295593497541277</v>
      </c>
      <c r="S28" s="230">
        <v>1.0855372916666668</v>
      </c>
    </row>
    <row r="29" spans="1:19" x14ac:dyDescent="0.3">
      <c r="A29" s="230">
        <v>7</v>
      </c>
      <c r="B29" s="187" t="s">
        <v>260</v>
      </c>
      <c r="C29" s="53" t="s">
        <v>24</v>
      </c>
      <c r="D29" s="196" t="s">
        <v>118</v>
      </c>
      <c r="E29" s="196" t="s">
        <v>118</v>
      </c>
      <c r="F29" s="230" t="s">
        <v>118</v>
      </c>
      <c r="G29" s="230" t="s">
        <v>118</v>
      </c>
      <c r="H29" s="442" t="s">
        <v>118</v>
      </c>
      <c r="I29" s="196" t="s">
        <v>118</v>
      </c>
      <c r="J29" s="230" t="s">
        <v>118</v>
      </c>
      <c r="K29" s="230" t="s">
        <v>118</v>
      </c>
      <c r="L29" s="230" t="s">
        <v>118</v>
      </c>
      <c r="M29" s="230" t="s">
        <v>118</v>
      </c>
      <c r="N29" s="230" t="s">
        <v>118</v>
      </c>
      <c r="O29" s="230" t="s">
        <v>118</v>
      </c>
      <c r="P29" s="230" t="s">
        <v>118</v>
      </c>
      <c r="Q29" s="230" t="s">
        <v>118</v>
      </c>
      <c r="R29" s="230" t="s">
        <v>118</v>
      </c>
      <c r="S29" s="230" t="s">
        <v>118</v>
      </c>
    </row>
    <row r="30" spans="1:19" x14ac:dyDescent="0.3">
      <c r="A30" s="230">
        <v>7</v>
      </c>
      <c r="B30" s="187" t="s">
        <v>260</v>
      </c>
      <c r="C30" s="53" t="s">
        <v>117</v>
      </c>
      <c r="D30" s="196" t="s">
        <v>118</v>
      </c>
      <c r="E30" s="196" t="s">
        <v>118</v>
      </c>
      <c r="F30" s="230" t="s">
        <v>118</v>
      </c>
      <c r="G30" s="230" t="s">
        <v>118</v>
      </c>
      <c r="H30" s="442" t="s">
        <v>118</v>
      </c>
      <c r="I30" s="196" t="s">
        <v>118</v>
      </c>
      <c r="J30" s="230" t="s">
        <v>118</v>
      </c>
      <c r="K30" s="230" t="s">
        <v>118</v>
      </c>
      <c r="L30" s="230" t="s">
        <v>118</v>
      </c>
      <c r="M30" s="230" t="s">
        <v>118</v>
      </c>
      <c r="N30" s="230" t="s">
        <v>118</v>
      </c>
      <c r="O30" s="230" t="s">
        <v>118</v>
      </c>
      <c r="P30" s="230" t="s">
        <v>118</v>
      </c>
      <c r="Q30" s="230" t="s">
        <v>118</v>
      </c>
      <c r="R30" s="230" t="s">
        <v>118</v>
      </c>
      <c r="S30" s="230" t="s">
        <v>118</v>
      </c>
    </row>
    <row r="31" spans="1:19" x14ac:dyDescent="0.3">
      <c r="A31" s="230">
        <v>8</v>
      </c>
      <c r="B31" s="187" t="s">
        <v>263</v>
      </c>
      <c r="C31" s="53" t="s">
        <v>24</v>
      </c>
      <c r="D31" s="196">
        <v>1</v>
      </c>
      <c r="E31" s="196">
        <v>0.23300000000000001</v>
      </c>
      <c r="F31" s="230">
        <v>2.1</v>
      </c>
      <c r="G31" s="230">
        <v>1.4</v>
      </c>
      <c r="H31" s="442">
        <v>1070</v>
      </c>
      <c r="I31" s="196">
        <v>535</v>
      </c>
      <c r="J31" s="230">
        <v>523.55100000000004</v>
      </c>
      <c r="K31" s="230">
        <v>6.5443875000000009</v>
      </c>
      <c r="L31" s="230">
        <v>3.5859657534246585</v>
      </c>
      <c r="M31" s="230">
        <v>1.83895679662803</v>
      </c>
      <c r="N31" s="230">
        <v>4.7992175000000001</v>
      </c>
      <c r="O31" s="230">
        <v>174.517</v>
      </c>
      <c r="P31" s="230">
        <v>2.1814624999999999</v>
      </c>
      <c r="Q31" s="230">
        <v>0.99809380136986292</v>
      </c>
      <c r="R31" s="230">
        <v>0.39667830567263784</v>
      </c>
      <c r="S31" s="230">
        <v>1.5997391666666665</v>
      </c>
    </row>
    <row r="32" spans="1:19" x14ac:dyDescent="0.3">
      <c r="A32" s="230">
        <v>8</v>
      </c>
      <c r="B32" s="187" t="s">
        <v>263</v>
      </c>
      <c r="C32" s="53" t="s">
        <v>117</v>
      </c>
      <c r="D32" s="196">
        <v>1</v>
      </c>
      <c r="E32" s="196">
        <v>0.23300000000000001</v>
      </c>
      <c r="F32" s="230">
        <v>2.1</v>
      </c>
      <c r="G32" s="230">
        <v>1.4</v>
      </c>
      <c r="H32" s="442">
        <v>1070</v>
      </c>
      <c r="I32" s="196">
        <v>535</v>
      </c>
      <c r="J32" s="230">
        <v>523.55100000000004</v>
      </c>
      <c r="K32" s="230">
        <v>6.5443875000000009</v>
      </c>
      <c r="L32" s="230">
        <v>3.5859657534246585</v>
      </c>
      <c r="M32" s="230">
        <v>1.83895679662803</v>
      </c>
      <c r="N32" s="230">
        <v>4.7992175000000001</v>
      </c>
      <c r="O32" s="230">
        <v>174.517</v>
      </c>
      <c r="P32" s="230">
        <v>2.1814624999999999</v>
      </c>
      <c r="Q32" s="230">
        <v>0.99809380136986292</v>
      </c>
      <c r="R32" s="230">
        <v>0.39667830567263784</v>
      </c>
      <c r="S32" s="230">
        <v>1.5997391666666665</v>
      </c>
    </row>
  </sheetData>
  <sheetProtection algorithmName="SHA-512" hashValue="6HfWRZzYdo4WyN/Hy+S8DuaP2hTxxkjbFh+sND8uMx8o2G3vnzTcui+jRgMkWN3CTswGRLEE7vwns/AF83I1uw==" saltValue="plQVqRoonxUNdseEreNmCg==" spinCount="100000" sheet="1" objects="1" scenarios="1" autoFilter="0"/>
  <mergeCells count="19">
    <mergeCell ref="M2:M3"/>
    <mergeCell ref="N2:N3"/>
    <mergeCell ref="J1:N1"/>
    <mergeCell ref="O1:S1"/>
    <mergeCell ref="O2:O3"/>
    <mergeCell ref="P2:P3"/>
    <mergeCell ref="Q2:Q3"/>
    <mergeCell ref="R2:R3"/>
    <mergeCell ref="S2:S3"/>
    <mergeCell ref="H3:I3"/>
    <mergeCell ref="C3:C4"/>
    <mergeCell ref="J2:J3"/>
    <mergeCell ref="K2:K3"/>
    <mergeCell ref="L2:L3"/>
    <mergeCell ref="A3:A4"/>
    <mergeCell ref="B3:B4"/>
    <mergeCell ref="D3:D4"/>
    <mergeCell ref="E3:E4"/>
    <mergeCell ref="F3:G3"/>
  </mergeCells>
  <conditionalFormatting sqref="D5:S32">
    <cfRule type="cellIs" dxfId="14" priority="11" operator="greaterThanOrEqual">
      <formula>10000</formula>
    </cfRule>
    <cfRule type="cellIs" dxfId="13" priority="12" operator="between">
      <formula>10</formula>
      <formula>9999.999</formula>
    </cfRule>
    <cfRule type="cellIs" dxfId="12" priority="13" operator="between">
      <formula>1</formula>
      <formula>9.999</formula>
    </cfRule>
    <cfRule type="cellIs" dxfId="11" priority="14" operator="between">
      <formula>0.1</formula>
      <formula>0.999</formula>
    </cfRule>
    <cfRule type="cellIs" dxfId="10" priority="15" operator="lessThan">
      <formula>0.1</formula>
    </cfRule>
  </conditionalFormatting>
  <conditionalFormatting sqref="T29:T30">
    <cfRule type="cellIs" dxfId="9" priority="6" operator="greaterThanOrEqual">
      <formula>10000</formula>
    </cfRule>
    <cfRule type="cellIs" dxfId="8" priority="7" operator="between">
      <formula>10</formula>
      <formula>9999.999</formula>
    </cfRule>
    <cfRule type="cellIs" dxfId="7" priority="8" operator="between">
      <formula>1</formula>
      <formula>9.999</formula>
    </cfRule>
    <cfRule type="cellIs" dxfId="6" priority="9" operator="between">
      <formula>0.1</formula>
      <formula>0.999</formula>
    </cfRule>
    <cfRule type="cellIs" dxfId="5" priority="10" operator="lessThan">
      <formula>0.1</formula>
    </cfRule>
  </conditionalFormatting>
  <dataValidations count="1">
    <dataValidation allowBlank="1" showErrorMessage="1" sqref="J2 J4 O2 O4" xr:uid="{38C5D7E5-6386-4D66-AFD1-23EB410C0893}"/>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1503C860-AC3D-41AE-8057-6CC9D7548DAD}">
          <x14:formula1>
            <xm:f>'List Values'!$B$19:$B$21</xm:f>
          </x14:formula1>
          <xm:sqref>C5:C32</xm:sqref>
        </x14:dataValidation>
        <x14:dataValidation type="list" allowBlank="1" showInputMessage="1" showErrorMessage="1" xr:uid="{1FBBCDE7-8927-4688-9CCE-F7E5745A35C6}">
          <x14:formula1>
            <xm:f>'List Values'!$B$2:$B$15</xm:f>
          </x14:formula1>
          <xm:sqref>B5:B32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00108-5C21-4CD7-8D59-91B883914311}">
  <sheetPr>
    <tabColor theme="0" tint="-0.499984740745262"/>
  </sheetPr>
  <dimension ref="A1:Q14"/>
  <sheetViews>
    <sheetView zoomScaleNormal="100" workbookViewId="0">
      <selection activeCell="P12" sqref="P12"/>
    </sheetView>
  </sheetViews>
  <sheetFormatPr defaultRowHeight="14.4" x14ac:dyDescent="0.3"/>
  <cols>
    <col min="1" max="1" width="35.6640625" bestFit="1" customWidth="1"/>
    <col min="2" max="2" width="35.6640625" customWidth="1"/>
    <col min="3" max="3" width="16" customWidth="1"/>
    <col min="4" max="4" width="15.5546875" customWidth="1"/>
    <col min="5" max="5" width="12.33203125" customWidth="1"/>
    <col min="7" max="7" width="18.33203125" customWidth="1"/>
    <col min="8" max="8" width="35.6640625" bestFit="1" customWidth="1"/>
    <col min="9" max="9" width="15.6640625" customWidth="1"/>
    <col min="10" max="10" width="12.5546875" customWidth="1"/>
    <col min="11" max="11" width="12.33203125" customWidth="1"/>
    <col min="12" max="12" width="19.33203125" customWidth="1"/>
    <col min="13" max="13" width="19.44140625" customWidth="1"/>
    <col min="14" max="14" width="21.6640625" customWidth="1"/>
    <col min="15" max="15" width="19.5546875" customWidth="1"/>
    <col min="16" max="17" width="18.88671875" customWidth="1"/>
  </cols>
  <sheetData>
    <row r="1" spans="1:17" ht="15" thickBot="1" x14ac:dyDescent="0.35">
      <c r="A1" s="672" t="s">
        <v>276</v>
      </c>
      <c r="B1" s="673"/>
      <c r="C1" s="673"/>
      <c r="D1" s="673"/>
      <c r="E1" s="673"/>
      <c r="F1" s="674" t="s">
        <v>277</v>
      </c>
      <c r="G1" s="675"/>
      <c r="H1" s="675"/>
      <c r="I1" s="675"/>
      <c r="J1" s="675"/>
      <c r="K1" s="675"/>
      <c r="L1" s="675"/>
      <c r="M1" s="655" t="s">
        <v>278</v>
      </c>
      <c r="N1" s="656"/>
      <c r="O1" s="656"/>
      <c r="P1" s="656"/>
      <c r="Q1" s="657"/>
    </row>
    <row r="2" spans="1:17" ht="14.4" customHeight="1" x14ac:dyDescent="0.3">
      <c r="A2" s="188"/>
      <c r="B2" s="188"/>
      <c r="C2" s="189"/>
      <c r="D2" s="676" t="s">
        <v>279</v>
      </c>
      <c r="E2" s="676" t="s">
        <v>29</v>
      </c>
      <c r="F2" s="645" t="s">
        <v>280</v>
      </c>
      <c r="G2" s="681" t="s">
        <v>281</v>
      </c>
      <c r="H2" s="667" t="s">
        <v>282</v>
      </c>
      <c r="I2" s="683" t="s">
        <v>283</v>
      </c>
      <c r="J2" s="664" t="s">
        <v>284</v>
      </c>
      <c r="K2" s="664" t="s">
        <v>285</v>
      </c>
      <c r="L2" s="667" t="s">
        <v>286</v>
      </c>
      <c r="M2" s="653" t="s">
        <v>266</v>
      </c>
      <c r="N2" s="670" t="s">
        <v>36</v>
      </c>
      <c r="O2" s="670" t="s">
        <v>38</v>
      </c>
      <c r="P2" s="670" t="s">
        <v>39</v>
      </c>
      <c r="Q2" s="663" t="s">
        <v>267</v>
      </c>
    </row>
    <row r="3" spans="1:17" x14ac:dyDescent="0.3">
      <c r="A3" s="190"/>
      <c r="B3" s="190"/>
      <c r="C3" s="191"/>
      <c r="D3" s="677"/>
      <c r="E3" s="677"/>
      <c r="F3" s="679"/>
      <c r="G3" s="677"/>
      <c r="H3" s="668"/>
      <c r="I3" s="665"/>
      <c r="J3" s="665"/>
      <c r="K3" s="665"/>
      <c r="L3" s="668"/>
      <c r="M3" s="654"/>
      <c r="N3" s="671"/>
      <c r="O3" s="671"/>
      <c r="P3" s="671"/>
      <c r="Q3" s="659"/>
    </row>
    <row r="4" spans="1:17" ht="30.6" thickBot="1" x14ac:dyDescent="0.35">
      <c r="A4" s="210" t="s">
        <v>12</v>
      </c>
      <c r="B4" s="210" t="s">
        <v>13</v>
      </c>
      <c r="C4" s="211" t="s">
        <v>287</v>
      </c>
      <c r="D4" s="678"/>
      <c r="E4" s="678"/>
      <c r="F4" s="680"/>
      <c r="G4" s="682"/>
      <c r="H4" s="669"/>
      <c r="I4" s="684"/>
      <c r="J4" s="666"/>
      <c r="K4" s="666"/>
      <c r="L4" s="669"/>
      <c r="M4" s="192" t="s">
        <v>272</v>
      </c>
      <c r="N4" s="192" t="s">
        <v>273</v>
      </c>
      <c r="O4" s="192" t="s">
        <v>274</v>
      </c>
      <c r="P4" s="192" t="s">
        <v>274</v>
      </c>
      <c r="Q4" s="217" t="s">
        <v>275</v>
      </c>
    </row>
    <row r="5" spans="1:17" ht="43.2" x14ac:dyDescent="0.3">
      <c r="A5" s="186" t="str">
        <f>Dashboard!$C$4</f>
        <v>6f - Commercial Use - Paints &amp; Coatings - Spray (2-part reactive coatings, 250-day application)</v>
      </c>
      <c r="B5" s="186" t="str">
        <f>Dashboard!$D$4</f>
        <v>2,500-lb throughput</v>
      </c>
      <c r="C5" s="203" t="str">
        <f>Dashboard!$M$4</f>
        <v>Average Adult Worker</v>
      </c>
      <c r="D5" s="203" t="s">
        <v>176</v>
      </c>
      <c r="E5" s="203" t="s">
        <v>51</v>
      </c>
      <c r="F5" s="204">
        <f>VLOOKUP(Dashboard!$C$4,'Dermal Crosswalk'!$B$5:$G$32,3,FALSE)</f>
        <v>0.25</v>
      </c>
      <c r="G5" s="205">
        <f>VLOOKUP(Dashboard!$C$4,'Dermal Crosswalk'!$B$5:$G$32,4,FALSE)</f>
        <v>0.23300000000000001</v>
      </c>
      <c r="H5" s="206">
        <f>SUMIFS('Inhalation Exposure'!$G$4:$G$60,'Inhalation Exposure'!$C$4:$C$60,'Dermal Exposure'!$A5,'Inhalation Exposure'!$E$4:$E$60,'Dermal Exposure'!$B5,'Inhalation Exposure'!D4:D60,'Dermal Exposure'!C5)</f>
        <v>250</v>
      </c>
      <c r="I5" s="193">
        <v>1</v>
      </c>
      <c r="J5" s="207">
        <f>HLOOKUP($C5,'Exposure Factors'!$C$2:$D$8,MATCH($E5,'Exposure Factors'!$E$4:$E$5,0)+2,FALSE)</f>
        <v>1070</v>
      </c>
      <c r="K5" s="207">
        <f>HLOOKUP($C5,'Exposure Factors'!$C$2:$D$8,2,FALSE)</f>
        <v>80</v>
      </c>
      <c r="L5" s="208">
        <f>VLOOKUP(Dashboard!$C$4,'Dermal Crosswalk'!$B$5:$G$32,5,FALSE)</f>
        <v>10.3</v>
      </c>
      <c r="M5" s="224">
        <f>IFERROR(J5*L5*G5*F5*I5,"Not Assessed")</f>
        <v>641.97325000000001</v>
      </c>
      <c r="N5" s="224">
        <f>IFERROR($M5/K5,"Not Assessed")</f>
        <v>8.0246656250000008</v>
      </c>
      <c r="O5" s="225">
        <f>IFERROR($N5*$H5*HLOOKUP($C5,'Exposure Factors'!$C$2:$D$8,MATCH($E5,'Exposure Factors'!$E$6:$E$7,0)+4,FALSE)/(365*HLOOKUP($C5,'Exposure Factors'!$C$2:$D$8,MATCH($E5,'Exposure Factors'!$E$6:$E$7,0)+4,FALSE)),"Not Assessed")</f>
        <v>5.4963463184931509</v>
      </c>
      <c r="P5" s="225">
        <f>IFERROR($N5*$H5*HLOOKUP($C5,'Exposure Factors'!$C$2:$D$8,MATCH($E5,'Exposure Factors'!$E$6:$E$7,0)+4,FALSE)/(365*HLOOKUP($C5,'Exposure Factors'!$C$2:$D$8,7,FALSE)),"Not Assessed")</f>
        <v>2.8186391376887951</v>
      </c>
      <c r="Q5" s="225">
        <f>IFERROR($N5*IF($H5&gt;22,22,$H5)/30,"Not Assessed")</f>
        <v>5.8847547916666674</v>
      </c>
    </row>
    <row r="6" spans="1:17" ht="43.8" thickBot="1" x14ac:dyDescent="0.35">
      <c r="A6" s="199" t="str">
        <f>Dashboard!$C$4</f>
        <v>6f - Commercial Use - Paints &amp; Coatings - Spray (2-part reactive coatings, 250-day application)</v>
      </c>
      <c r="B6" s="186" t="str">
        <f>Dashboard!$D$4</f>
        <v>2,500-lb throughput</v>
      </c>
      <c r="C6" s="212" t="str">
        <f>Dashboard!$M$4</f>
        <v>Average Adult Worker</v>
      </c>
      <c r="D6" s="212" t="s">
        <v>176</v>
      </c>
      <c r="E6" s="212" t="s">
        <v>54</v>
      </c>
      <c r="F6" s="204">
        <f>VLOOKUP(Dashboard!$C$4,'Dermal Crosswalk'!$B$5:$G$32,3,FALSE)</f>
        <v>0.25</v>
      </c>
      <c r="G6" s="213">
        <f>VLOOKUP(Dashboard!$C$4,'Dermal Crosswalk'!$B$5:$G$32,4,FALSE)</f>
        <v>0.23300000000000001</v>
      </c>
      <c r="H6" s="206">
        <f>SUMIFS('Inhalation Exposure'!$H$4:$H$60,'Inhalation Exposure'!$C$4:$C$60,'Dermal Exposure'!$A6,'Inhalation Exposure'!$E$4:$E$60,'Dermal Exposure'!$B6,'Inhalation Exposure'!D4:D60,'Dermal Exposure'!C6)</f>
        <v>250</v>
      </c>
      <c r="I6" s="214">
        <v>1</v>
      </c>
      <c r="J6" s="207">
        <f>HLOOKUP($C6,'Exposure Factors'!$C$2:$D$8,MATCH($E6,'Exposure Factors'!$E$4:$E$5,0)+2,FALSE)</f>
        <v>535</v>
      </c>
      <c r="K6" s="207">
        <f>HLOOKUP($C6,'Exposure Factors'!$C$2:$D$8,2,FALSE)</f>
        <v>80</v>
      </c>
      <c r="L6" s="208">
        <f>VLOOKUP(Dashboard!$C$4,'Dermal Crosswalk'!$B$5:$G$32,6,FALSE)</f>
        <v>3.8</v>
      </c>
      <c r="M6" s="226">
        <f t="shared" ref="M6" si="0">IFERROR(J6*L6*G6*F6*I6,"Not Assessed")</f>
        <v>118.42225000000001</v>
      </c>
      <c r="N6" s="226">
        <f t="shared" ref="N6" si="1">IFERROR($M6/K6,"Not Assessed")</f>
        <v>1.4802781250000001</v>
      </c>
      <c r="O6" s="227">
        <f>IFERROR($N6*$H6*HLOOKUP($C6,'Exposure Factors'!$C$2:$D$8,MATCH($E6,'Exposure Factors'!$E$6:$E$7,0)+4,FALSE)/(365*HLOOKUP($C6,'Exposure Factors'!$C$2:$D$8,MATCH($E6,'Exposure Factors'!$E$6:$E$7,0)+4,FALSE)),"Not Assessed")</f>
        <v>1.0138891267123289</v>
      </c>
      <c r="P6" s="227">
        <f>IFERROR($N6*$H6*HLOOKUP($C6,'Exposure Factors'!$C$2:$D$8,MATCH($E6,'Exposure Factors'!$E$6:$E$7,0)+4,FALSE)/(365*HLOOKUP($C6,'Exposure Factors'!$C$2:$D$8,7,FALSE)),"Not Assessed")</f>
        <v>0.40295593497541277</v>
      </c>
      <c r="Q6" s="227">
        <f>IFERROR($N6*IF($H6&gt;22,22,$H6)/30,"Not Assessed")</f>
        <v>1.0855372916666668</v>
      </c>
    </row>
    <row r="7" spans="1:17" ht="15" thickBot="1" x14ac:dyDescent="0.35">
      <c r="A7" s="660" t="s">
        <v>288</v>
      </c>
      <c r="B7" s="661"/>
      <c r="C7" s="661"/>
      <c r="D7" s="661"/>
      <c r="E7" s="662"/>
      <c r="F7" s="215"/>
      <c r="G7" s="215"/>
      <c r="H7" s="215"/>
      <c r="I7" s="215"/>
      <c r="J7" s="215"/>
      <c r="K7" s="215"/>
      <c r="L7" s="215"/>
      <c r="M7" s="215"/>
      <c r="N7" s="215"/>
      <c r="O7" s="215"/>
      <c r="P7" s="215"/>
      <c r="Q7" s="216"/>
    </row>
    <row r="8" spans="1:17" ht="28.8" x14ac:dyDescent="0.3">
      <c r="A8" s="186" t="str">
        <f>RR!$J$4</f>
        <v>1 - Manufacturing - Import - Repackaging</v>
      </c>
      <c r="B8" s="186" t="str">
        <f>RR!$K$4</f>
        <v>2,500-lb throughput</v>
      </c>
      <c r="C8" s="203" t="str">
        <f>RR!$R$4</f>
        <v>Average Adult Worker</v>
      </c>
      <c r="D8" s="203" t="s">
        <v>176</v>
      </c>
      <c r="E8" s="203" t="s">
        <v>51</v>
      </c>
      <c r="F8" s="204">
        <f>VLOOKUP(RR!$J$4,'Dermal Crosswalk'!$B$5:$G$32,3,FALSE)</f>
        <v>1</v>
      </c>
      <c r="G8" s="205">
        <f>VLOOKUP(RR!$J$4,'Dermal Crosswalk'!$B$5:$G$32,4,FALSE)</f>
        <v>0.23300000000000001</v>
      </c>
      <c r="H8" s="206">
        <f>SUMIFS('Inhalation Exposure'!$G$4:$G$60,'Inhalation Exposure'!$C$4:$C$60,'Dermal Exposure'!$A8,'Inhalation Exposure'!$E$4:$E$60,'Dermal Exposure'!$B8,'Inhalation Exposure'!D4:D60,'Dermal Exposure'!C8)</f>
        <v>7</v>
      </c>
      <c r="I8" s="193">
        <v>1</v>
      </c>
      <c r="J8" s="207">
        <f>HLOOKUP($C8,'Exposure Factors'!$C$2:$D$8,MATCH($E8,'Exposure Factors'!$E$4:$E$5,0)+2,FALSE)</f>
        <v>1070</v>
      </c>
      <c r="K8" s="207">
        <f>HLOOKUP($C8,'Exposure Factors'!$C$2:$D$8,2,FALSE)</f>
        <v>80</v>
      </c>
      <c r="L8" s="301">
        <f>VLOOKUP(RR!$J$4,'Dermal Crosswalk'!$B$5:$G$32,5,FALSE)</f>
        <v>2.1</v>
      </c>
      <c r="M8" s="209">
        <f>IFERROR(J8*L8*G8*F8*I8,"Not Assessed")</f>
        <v>523.55100000000004</v>
      </c>
      <c r="N8" s="209">
        <f>IFERROR($M8/K8,"Not Assessed")</f>
        <v>6.5443875000000009</v>
      </c>
      <c r="O8" s="198">
        <f>IFERROR($N8*$H8*HLOOKUP($C8,'Exposure Factors'!$C$2:$D$8,MATCH($E8,'Exposure Factors'!$E$6:$E$7,0)+4,FALSE)/(365*HLOOKUP($C8,'Exposure Factors'!$C$2:$D$8,MATCH($E8,'Exposure Factors'!$E$6:$E$7,0)+4,FALSE)),"Not Assessed")</f>
        <v>0.12550880136986303</v>
      </c>
      <c r="P8" s="198">
        <f>IFERROR($N8*$H8*HLOOKUP($C8,'Exposure Factors'!$C$2:$D$8,MATCH($E8,'Exposure Factors'!$E$6:$E$7,0)+4,FALSE)/(365*HLOOKUP($C8,'Exposure Factors'!$C$2:$D$8,7,FALSE)),"Not Assessed")</f>
        <v>6.4363487881981055E-2</v>
      </c>
      <c r="Q8" s="198">
        <f>IFERROR($N8*IF($H8&gt;22,22,$H8)/30,"Not Assessed")</f>
        <v>1.5270237500000003</v>
      </c>
    </row>
    <row r="9" spans="1:17" ht="28.8" x14ac:dyDescent="0.3">
      <c r="A9" s="201" t="str">
        <f>RR!$J$4</f>
        <v>1 - Manufacturing - Import - Repackaging</v>
      </c>
      <c r="B9" s="186" t="str">
        <f>RR!$K$4</f>
        <v>2,500-lb throughput</v>
      </c>
      <c r="C9" s="203" t="str">
        <f>RR!$R$4</f>
        <v>Average Adult Worker</v>
      </c>
      <c r="D9" s="194" t="s">
        <v>176</v>
      </c>
      <c r="E9" s="194" t="s">
        <v>54</v>
      </c>
      <c r="F9" s="195">
        <f>VLOOKUP(RR!$J$4,'Dermal Crosswalk'!$B$5:$G$32,3,FALSE)</f>
        <v>1</v>
      </c>
      <c r="G9" s="200">
        <f>VLOOKUP(RR!$J$4,'Dermal Crosswalk'!$B$5:$G$32,4,FALSE)</f>
        <v>0.23300000000000001</v>
      </c>
      <c r="H9" s="206">
        <f>SUMIFS('Inhalation Exposure'!$H$4:$H$60,'Inhalation Exposure'!$C$4:$C$60,'Dermal Exposure'!$A9,'Inhalation Exposure'!$E$4:$E$60,'Dermal Exposure'!$B9,'Inhalation Exposure'!D4:D60,'Dermal Exposure'!C9)</f>
        <v>4</v>
      </c>
      <c r="I9" s="196">
        <v>1</v>
      </c>
      <c r="J9" s="207">
        <f>HLOOKUP($C9,'Exposure Factors'!$C$2:$D$8,MATCH($E9,'Exposure Factors'!$E$4:$E$5,0)+2,FALSE)</f>
        <v>535</v>
      </c>
      <c r="K9" s="207">
        <f>HLOOKUP($C9,'Exposure Factors'!$C$2:$D$8,2,FALSE)</f>
        <v>80</v>
      </c>
      <c r="L9" s="301">
        <f>VLOOKUP(RR!$J$4,'Dermal Crosswalk'!$B$5:$G$32,6,FALSE)</f>
        <v>1.4</v>
      </c>
      <c r="M9" s="197">
        <f t="shared" ref="M9" si="2">IFERROR(J9*L9*G9*F9*I9,"Not Assessed")</f>
        <v>174.517</v>
      </c>
      <c r="N9" s="197">
        <f t="shared" ref="N9" si="3">IFERROR($M9/K9,"Not Assessed")</f>
        <v>2.1814624999999999</v>
      </c>
      <c r="O9" s="202">
        <f>IFERROR($N9*$H9*HLOOKUP($C9,'Exposure Factors'!$C$2:$D$8,MATCH($E9,'Exposure Factors'!$E$6:$E$7,0)+4,FALSE)/(365*HLOOKUP($C9,'Exposure Factors'!$C$2:$D$8,MATCH($E9,'Exposure Factors'!$E$6:$E$7,0)+4,FALSE)),"Not Assessed")</f>
        <v>2.3906438356164385E-2</v>
      </c>
      <c r="P9" s="202">
        <f>IFERROR($N9*$H9*HLOOKUP($C9,'Exposure Factors'!$C$2:$D$8,MATCH($E9,'Exposure Factors'!$E$6:$E$7,0)+4,FALSE)/(365*HLOOKUP($C9,'Exposure Factors'!$C$2:$D$8,7,FALSE)),"Not Assessed")</f>
        <v>9.5012767825781528E-3</v>
      </c>
      <c r="Q9" s="202">
        <f>IFERROR($N9*IF($H9&gt;22,22,$H9)/30,"Not Assessed")</f>
        <v>0.29086166666666663</v>
      </c>
    </row>
    <row r="12" spans="1:17" x14ac:dyDescent="0.3">
      <c r="P12" s="223"/>
      <c r="Q12" s="223"/>
    </row>
    <row r="13" spans="1:17" x14ac:dyDescent="0.3">
      <c r="M13" s="223"/>
      <c r="N13" s="223"/>
      <c r="O13" s="223"/>
      <c r="P13" s="223"/>
      <c r="Q13" s="223"/>
    </row>
    <row r="14" spans="1:17" x14ac:dyDescent="0.3">
      <c r="L14" s="223"/>
      <c r="M14" s="302"/>
    </row>
  </sheetData>
  <sheetProtection algorithmName="SHA-512" hashValue="pqeX8vYrjIpUPKZkxfCwXLZMM8EHO/e6GhvaB4RTtPddRvGTqqX94H/y4zySF47JqEH3WfJJpXvICMUkAEqYpw==" saltValue="cA6/Dor7pQl1Mi8VGNJUTQ==" spinCount="100000" sheet="1" objects="1" scenarios="1" autoFilter="0"/>
  <mergeCells count="18">
    <mergeCell ref="I2:I4"/>
    <mergeCell ref="J2:J4"/>
    <mergeCell ref="A7:E7"/>
    <mergeCell ref="Q2:Q3"/>
    <mergeCell ref="M1:Q1"/>
    <mergeCell ref="K2:K4"/>
    <mergeCell ref="L2:L4"/>
    <mergeCell ref="M2:M3"/>
    <mergeCell ref="N2:N3"/>
    <mergeCell ref="O2:O3"/>
    <mergeCell ref="P2:P3"/>
    <mergeCell ref="A1:E1"/>
    <mergeCell ref="F1:L1"/>
    <mergeCell ref="D2:D4"/>
    <mergeCell ref="E2:E4"/>
    <mergeCell ref="F2:F4"/>
    <mergeCell ref="G2:G4"/>
    <mergeCell ref="H2:H4"/>
  </mergeCells>
  <conditionalFormatting sqref="F5:Q6 F8:Q9">
    <cfRule type="cellIs" dxfId="4" priority="1" operator="greaterThanOrEqual">
      <formula>10000</formula>
    </cfRule>
    <cfRule type="cellIs" dxfId="3" priority="2" operator="lessThan">
      <formula>0.1</formula>
    </cfRule>
    <cfRule type="cellIs" dxfId="2" priority="3" operator="between">
      <formula>0.1</formula>
      <formula>0.999</formula>
    </cfRule>
    <cfRule type="cellIs" dxfId="1" priority="6" operator="between">
      <formula>1</formula>
      <formula>9.999</formula>
    </cfRule>
    <cfRule type="cellIs" dxfId="0" priority="7" operator="between">
      <formula>10</formula>
      <formula>9999.999</formula>
    </cfRule>
  </conditionalFormatting>
  <dataValidations count="1">
    <dataValidation allowBlank="1" showErrorMessage="1" sqref="M2 M4" xr:uid="{C7488958-FD8F-4B17-9884-3432B488BBEE}"/>
  </dataValidation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EE2DC-4EE0-4CF0-B381-0DF510B873A9}">
  <sheetPr>
    <tabColor theme="0" tint="-0.499984740745262"/>
  </sheetPr>
  <dimension ref="A1:L24"/>
  <sheetViews>
    <sheetView workbookViewId="0">
      <selection activeCell="B7" sqref="B7"/>
    </sheetView>
  </sheetViews>
  <sheetFormatPr defaultRowHeight="14.4" x14ac:dyDescent="0.3"/>
  <cols>
    <col min="2" max="2" width="75.33203125" bestFit="1" customWidth="1"/>
    <col min="5" max="5" width="26.77734375" customWidth="1"/>
    <col min="8" max="8" width="32.88671875" customWidth="1"/>
    <col min="9" max="9" width="22.88671875" customWidth="1"/>
    <col min="12" max="12" width="48.44140625" customWidth="1"/>
  </cols>
  <sheetData>
    <row r="1" spans="1:12" s="461" customFormat="1" ht="29.4" thickBot="1" x14ac:dyDescent="0.35">
      <c r="B1" s="462" t="s">
        <v>289</v>
      </c>
      <c r="E1" s="463" t="s">
        <v>290</v>
      </c>
      <c r="H1" s="464" t="s">
        <v>291</v>
      </c>
      <c r="I1" s="465"/>
    </row>
    <row r="2" spans="1:12" x14ac:dyDescent="0.3">
      <c r="A2" s="29"/>
      <c r="B2" s="80" t="s">
        <v>23</v>
      </c>
      <c r="E2" s="450" t="s">
        <v>244</v>
      </c>
      <c r="H2" s="455">
        <v>1</v>
      </c>
      <c r="I2" s="460" t="s">
        <v>292</v>
      </c>
    </row>
    <row r="3" spans="1:12" ht="15" thickBot="1" x14ac:dyDescent="0.35">
      <c r="A3" s="29"/>
      <c r="B3" s="81" t="s">
        <v>234</v>
      </c>
      <c r="E3" s="451" t="s">
        <v>232</v>
      </c>
      <c r="H3" s="456">
        <v>5</v>
      </c>
      <c r="I3" s="460" t="s">
        <v>293</v>
      </c>
    </row>
    <row r="4" spans="1:12" x14ac:dyDescent="0.3">
      <c r="A4" s="29"/>
      <c r="B4" s="81" t="s">
        <v>235</v>
      </c>
      <c r="H4" s="456">
        <v>10</v>
      </c>
      <c r="I4" s="460" t="s">
        <v>294</v>
      </c>
    </row>
    <row r="5" spans="1:12" ht="15" thickBot="1" x14ac:dyDescent="0.35">
      <c r="A5" s="29"/>
      <c r="B5" s="81" t="s">
        <v>237</v>
      </c>
      <c r="H5" s="457">
        <v>20</v>
      </c>
      <c r="I5" s="460" t="s">
        <v>295</v>
      </c>
    </row>
    <row r="6" spans="1:12" ht="15" thickBot="1" x14ac:dyDescent="0.35">
      <c r="A6" s="29"/>
      <c r="B6" s="81" t="s">
        <v>239</v>
      </c>
      <c r="E6" s="447" t="s">
        <v>296</v>
      </c>
      <c r="H6" s="458"/>
    </row>
    <row r="7" spans="1:12" x14ac:dyDescent="0.3">
      <c r="A7" s="29"/>
      <c r="B7" s="81" t="s">
        <v>241</v>
      </c>
      <c r="E7" s="452" t="s">
        <v>50</v>
      </c>
      <c r="H7" s="459"/>
    </row>
    <row r="8" spans="1:12" ht="15" thickBot="1" x14ac:dyDescent="0.35">
      <c r="A8" s="29"/>
      <c r="B8" s="81" t="s">
        <v>246</v>
      </c>
      <c r="E8" s="453" t="s">
        <v>53</v>
      </c>
      <c r="H8" s="440"/>
    </row>
    <row r="9" spans="1:12" ht="15" thickBot="1" x14ac:dyDescent="0.35">
      <c r="A9" s="29"/>
      <c r="B9" s="81" t="s">
        <v>249</v>
      </c>
      <c r="H9" s="445" t="s">
        <v>297</v>
      </c>
    </row>
    <row r="10" spans="1:12" x14ac:dyDescent="0.3">
      <c r="A10" s="29"/>
      <c r="B10" s="81" t="s">
        <v>251</v>
      </c>
      <c r="H10" s="452" t="s">
        <v>25</v>
      </c>
      <c r="L10" s="17"/>
    </row>
    <row r="11" spans="1:12" ht="15" thickBot="1" x14ac:dyDescent="0.35">
      <c r="A11" s="29"/>
      <c r="B11" s="81" t="s">
        <v>253</v>
      </c>
      <c r="H11" s="453" t="s">
        <v>298</v>
      </c>
    </row>
    <row r="12" spans="1:12" x14ac:dyDescent="0.3">
      <c r="A12" s="29"/>
      <c r="B12" s="81" t="s">
        <v>255</v>
      </c>
      <c r="E12" s="446" t="s">
        <v>299</v>
      </c>
      <c r="H12" s="440"/>
    </row>
    <row r="13" spans="1:12" x14ac:dyDescent="0.3">
      <c r="A13" s="29"/>
      <c r="B13" s="81" t="s">
        <v>257</v>
      </c>
      <c r="E13" s="448">
        <v>0.5</v>
      </c>
      <c r="H13" s="440"/>
      <c r="I13" s="30"/>
    </row>
    <row r="14" spans="1:12" ht="15" thickBot="1" x14ac:dyDescent="0.35">
      <c r="B14" s="81" t="s">
        <v>260</v>
      </c>
      <c r="E14" s="449">
        <v>0.99</v>
      </c>
      <c r="H14" s="440"/>
    </row>
    <row r="15" spans="1:12" ht="15" thickBot="1" x14ac:dyDescent="0.35">
      <c r="A15" s="29"/>
      <c r="B15" s="81" t="s">
        <v>263</v>
      </c>
    </row>
    <row r="16" spans="1:12" x14ac:dyDescent="0.3">
      <c r="A16" s="29"/>
      <c r="E16" s="445" t="s">
        <v>300</v>
      </c>
    </row>
    <row r="17" spans="1:8" ht="15" thickBot="1" x14ac:dyDescent="0.35">
      <c r="A17" s="29"/>
      <c r="E17" s="450">
        <v>10</v>
      </c>
    </row>
    <row r="18" spans="1:8" ht="15" thickBot="1" x14ac:dyDescent="0.35">
      <c r="A18" s="29"/>
      <c r="B18" s="454" t="s">
        <v>301</v>
      </c>
      <c r="E18" s="450">
        <v>25</v>
      </c>
    </row>
    <row r="19" spans="1:8" x14ac:dyDescent="0.3">
      <c r="A19" s="29"/>
      <c r="B19" s="80" t="s">
        <v>24</v>
      </c>
      <c r="E19" s="450">
        <v>50</v>
      </c>
    </row>
    <row r="20" spans="1:8" x14ac:dyDescent="0.3">
      <c r="A20" s="29"/>
      <c r="B20" s="81" t="s">
        <v>117</v>
      </c>
      <c r="E20" s="450">
        <v>1000</v>
      </c>
    </row>
    <row r="21" spans="1:8" ht="15" thickBot="1" x14ac:dyDescent="0.35">
      <c r="A21" s="29"/>
      <c r="B21" s="238"/>
      <c r="E21" s="451">
        <v>10000</v>
      </c>
    </row>
    <row r="23" spans="1:8" x14ac:dyDescent="0.3">
      <c r="E23" s="155"/>
      <c r="H23" s="17"/>
    </row>
    <row r="24" spans="1:8" x14ac:dyDescent="0.3">
      <c r="H24" s="17"/>
    </row>
  </sheetData>
  <sheetProtection algorithmName="SHA-512" hashValue="r/KTviRofs8ewg4x6XtTbF1C2Q6oq0HbxaEfOPdkD7eVX2S9YJk4sZMZk0YtbrXRY0wFnb1ZFck8hV9opo0mnA==" saltValue="DwhcOu78kCsOvspGyoseBA==" spinCount="100000" sheet="1" objects="1" scenarios="1" autoFilter="0"/>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41240-2A0D-4766-9250-85744E11E255}">
  <sheetPr>
    <tabColor theme="0" tint="-0.499984740745262"/>
  </sheetPr>
  <dimension ref="B1:E21"/>
  <sheetViews>
    <sheetView workbookViewId="0">
      <selection activeCell="F22" sqref="F22"/>
    </sheetView>
  </sheetViews>
  <sheetFormatPr defaultColWidth="9.33203125" defaultRowHeight="14.4" x14ac:dyDescent="0.3"/>
  <cols>
    <col min="1" max="1" width="4.5546875" style="2" customWidth="1"/>
    <col min="2" max="2" width="33" style="2" customWidth="1"/>
    <col min="3" max="3" width="10.44140625" style="2" customWidth="1"/>
    <col min="4" max="4" width="14.5546875" style="2" customWidth="1"/>
    <col min="5" max="5" width="16.5546875" style="2" bestFit="1" customWidth="1"/>
    <col min="6" max="16384" width="9.33203125" style="2"/>
  </cols>
  <sheetData>
    <row r="1" spans="2:5" ht="18.600000000000001" thickBot="1" x14ac:dyDescent="0.4">
      <c r="B1" s="1" t="s">
        <v>302</v>
      </c>
    </row>
    <row r="2" spans="2:5" ht="43.8" thickBot="1" x14ac:dyDescent="0.35">
      <c r="C2" s="219" t="s">
        <v>25</v>
      </c>
      <c r="D2" s="136" t="s">
        <v>298</v>
      </c>
      <c r="E2" s="136" t="s">
        <v>303</v>
      </c>
    </row>
    <row r="3" spans="2:5" x14ac:dyDescent="0.3">
      <c r="B3" s="104" t="s">
        <v>304</v>
      </c>
      <c r="C3" s="220">
        <v>80</v>
      </c>
      <c r="D3" s="221">
        <f>AVERAGE(65.9,71.9,74.8,77.1)</f>
        <v>72.425000000000011</v>
      </c>
      <c r="E3" s="466"/>
    </row>
    <row r="4" spans="2:5" ht="16.2" x14ac:dyDescent="0.3">
      <c r="B4" s="104" t="s">
        <v>305</v>
      </c>
      <c r="C4" s="151">
        <f>C5/2</f>
        <v>535</v>
      </c>
      <c r="D4" s="153">
        <f>D5/2</f>
        <v>445</v>
      </c>
      <c r="E4" s="467" t="s">
        <v>54</v>
      </c>
    </row>
    <row r="5" spans="2:5" ht="15" customHeight="1" x14ac:dyDescent="0.3">
      <c r="B5" s="104" t="s">
        <v>306</v>
      </c>
      <c r="C5" s="154">
        <v>1070</v>
      </c>
      <c r="D5" s="152">
        <v>890</v>
      </c>
      <c r="E5" s="467" t="s">
        <v>51</v>
      </c>
    </row>
    <row r="6" spans="2:5" ht="17.25" customHeight="1" x14ac:dyDescent="0.3">
      <c r="B6" s="104" t="s">
        <v>307</v>
      </c>
      <c r="C6" s="151">
        <v>40</v>
      </c>
      <c r="D6" s="153">
        <v>40</v>
      </c>
      <c r="E6" s="467" t="s">
        <v>51</v>
      </c>
    </row>
    <row r="7" spans="2:5" ht="15.6" customHeight="1" x14ac:dyDescent="0.3">
      <c r="B7" s="104" t="s">
        <v>308</v>
      </c>
      <c r="C7" s="151">
        <v>31</v>
      </c>
      <c r="D7" s="153">
        <v>31</v>
      </c>
      <c r="E7" s="467" t="s">
        <v>54</v>
      </c>
    </row>
    <row r="8" spans="2:5" x14ac:dyDescent="0.3">
      <c r="B8" s="104" t="s">
        <v>309</v>
      </c>
      <c r="C8" s="151">
        <v>78</v>
      </c>
      <c r="D8" s="153">
        <v>78</v>
      </c>
      <c r="E8" s="467"/>
    </row>
    <row r="9" spans="2:5" ht="16.2" x14ac:dyDescent="0.3">
      <c r="B9" s="104" t="s">
        <v>310</v>
      </c>
      <c r="C9" s="688">
        <v>1.25</v>
      </c>
      <c r="D9" s="689"/>
      <c r="E9" s="467" t="s">
        <v>311</v>
      </c>
    </row>
    <row r="10" spans="2:5" ht="16.8" thickBot="1" x14ac:dyDescent="0.35">
      <c r="B10" s="105" t="s">
        <v>312</v>
      </c>
      <c r="C10" s="690">
        <v>0.61250000000000004</v>
      </c>
      <c r="D10" s="691"/>
      <c r="E10" s="468" t="s">
        <v>311</v>
      </c>
    </row>
    <row r="11" spans="2:5" ht="16.5" customHeight="1" x14ac:dyDescent="0.3">
      <c r="B11" s="686"/>
      <c r="C11" s="686"/>
      <c r="D11" s="686"/>
      <c r="E11" s="686"/>
    </row>
    <row r="12" spans="2:5" x14ac:dyDescent="0.3">
      <c r="B12" s="44" t="s">
        <v>313</v>
      </c>
    </row>
    <row r="13" spans="2:5" x14ac:dyDescent="0.3">
      <c r="B13" s="45" t="s">
        <v>314</v>
      </c>
    </row>
    <row r="14" spans="2:5" x14ac:dyDescent="0.3">
      <c r="B14" s="2" t="s">
        <v>315</v>
      </c>
    </row>
    <row r="15" spans="2:5" x14ac:dyDescent="0.3">
      <c r="B15" s="2" t="s">
        <v>335</v>
      </c>
    </row>
    <row r="16" spans="2:5" x14ac:dyDescent="0.3">
      <c r="B16" s="2" t="s">
        <v>336</v>
      </c>
    </row>
    <row r="17" spans="2:5" x14ac:dyDescent="0.3">
      <c r="B17" s="2" t="s">
        <v>337</v>
      </c>
    </row>
    <row r="18" spans="2:5" x14ac:dyDescent="0.3">
      <c r="B18" s="2" t="s">
        <v>338</v>
      </c>
    </row>
    <row r="19" spans="2:5" ht="78" customHeight="1" x14ac:dyDescent="0.3">
      <c r="B19" s="685" t="s">
        <v>316</v>
      </c>
      <c r="C19" s="685"/>
      <c r="D19" s="685"/>
      <c r="E19" s="685"/>
    </row>
    <row r="20" spans="2:5" ht="49.5" customHeight="1" x14ac:dyDescent="0.3">
      <c r="B20" s="687" t="s">
        <v>317</v>
      </c>
      <c r="C20" s="687"/>
      <c r="D20" s="687"/>
      <c r="E20" s="687"/>
    </row>
    <row r="21" spans="2:5" ht="48.75" customHeight="1" x14ac:dyDescent="0.3">
      <c r="B21" s="687" t="s">
        <v>318</v>
      </c>
      <c r="C21" s="687"/>
      <c r="D21" s="687"/>
      <c r="E21" s="687"/>
    </row>
  </sheetData>
  <sheetProtection algorithmName="SHA-512" hashValue="weIB+goOlAZFh8OmLeXUXE3Uf0/vGiupc/brpqAh0Je8hUWh8yceq4JRO9HdNr4MlIjqq6w7NU7vOyIFv8kaEg==" saltValue="+SOoFzHS7qAbcJ4ZUBI2HA==" spinCount="100000" sheet="1" objects="1" scenarios="1" autoFilter="0"/>
  <mergeCells count="6">
    <mergeCell ref="B19:E19"/>
    <mergeCell ref="B11:E11"/>
    <mergeCell ref="B20:E20"/>
    <mergeCell ref="B21:E21"/>
    <mergeCell ref="C9:D9"/>
    <mergeCell ref="C10:D10"/>
  </mergeCells>
  <phoneticPr fontId="36"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723352F79007E408EFF44D6142FFCE2" ma:contentTypeVersion="19" ma:contentTypeDescription="Create a new document." ma:contentTypeScope="" ma:versionID="ea5c35a8ddc5b5f8577c7c282b64a11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ead8da0f-3542-4e50-96c8-f1f698624e86" targetNamespace="http://schemas.microsoft.com/office/2006/metadata/properties" ma:root="true" ma:fieldsID="d684dd036498752205bc550eff25a50e"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ead8da0f-3542-4e50-96c8-f1f698624e8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1:_ip_UnifiedCompliancePolicyProperties" minOccurs="0"/>
                <xsd:element ref="ns1:_ip_UnifiedCompliancePolicyUIAction" minOccurs="0"/>
                <xsd:element ref="ns6:lcf76f155ced4ddcb4097134ff3c332f" minOccurs="0"/>
                <xsd:element ref="ns6:MediaServiceObjectDetectorVersions" minOccurs="0"/>
                <xsd:element ref="ns6:MediaServiceSearchProperties" minOccurs="0"/>
                <xsd:element ref="ns6: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d8da0f-3542-4e50-96c8-f1f698624e86"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DateTaken" ma:index="43" nillable="true" ma:displayName="MediaServiceDateTaken" ma:descriptio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cancer</TermName>
          <TermId xmlns="http://schemas.microsoft.com/office/infopath/2007/PartnerControls">c983330a-efab-4253-bc4c-c1da43bffbb1</TermId>
        </TermInfo>
        <TermInfo xmlns="http://schemas.microsoft.com/office/infopath/2007/PartnerControls">
          <TermName xmlns="http://schemas.microsoft.com/office/infopath/2007/PartnerControls">chronic</TermName>
          <TermId xmlns="http://schemas.microsoft.com/office/infopath/2007/PartnerControls">06721882-15f0-4c85-aba5-7d07aaeb0ff9</TermId>
        </TermInfo>
        <TermInfo xmlns="http://schemas.microsoft.com/office/infopath/2007/PartnerControls">
          <TermName xmlns="http://schemas.microsoft.com/office/infopath/2007/PartnerControls">risk calculator</TermName>
          <TermId xmlns="http://schemas.microsoft.com/office/infopath/2007/PartnerControls">8af20125-90c4-4af3-92eb-7f5682895c4d</TermId>
        </TermInfo>
        <TermInfo xmlns="http://schemas.microsoft.com/office/infopath/2007/PartnerControls">
          <TermName xmlns="http://schemas.microsoft.com/office/infopath/2007/PartnerControls">subchronic</TermName>
          <TermId xmlns="http://schemas.microsoft.com/office/infopath/2007/PartnerControls">d302f18a-662c-4333-bb63-55c73f5679d2</TermId>
        </TermInfo>
        <TermInfo xmlns="http://schemas.microsoft.com/office/infopath/2007/PartnerControls">
          <TermName xmlns="http://schemas.microsoft.com/office/infopath/2007/PartnerControls">TCEP</TermName>
          <TermId xmlns="http://schemas.microsoft.com/office/infopath/2007/PartnerControls">af1fc4ee-98f7-4f6e-a587-baf047fab354</TermId>
        </TermInfo>
        <TermInfo xmlns="http://schemas.microsoft.com/office/infopath/2007/PartnerControls">
          <TermName xmlns="http://schemas.microsoft.com/office/infopath/2007/PartnerControls">occupational exposure</TermName>
          <TermId xmlns="http://schemas.microsoft.com/office/infopath/2007/PartnerControls">dc86747e-746f-435b-be39-b7773de656d7</TermId>
        </TermInfo>
      </Terms>
    </TaxKeywordTaxHTField>
    <Record xmlns="4ffa91fb-a0ff-4ac5-b2db-65c790d184a4">Shared</Record>
    <Rights xmlns="4ffa91fb-a0ff-4ac5-b2db-65c790d184a4" xsi:nil="true"/>
    <Document_x0020_Creation_x0020_Date xmlns="4ffa91fb-a0ff-4ac5-b2db-65c790d184a4">2023-05-26T13:52:16+00:00</Document_x0020_Creation_x0020_Date>
    <EPA_x0020_Office xmlns="4ffa91fb-a0ff-4ac5-b2db-65c790d184a4">OPPT</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1477</Value>
      <Value>676</Value>
      <Value>1198</Value>
      <Value>1684</Value>
      <Value>1191</Value>
      <Value>1514</Value>
    </TaxCatchAll>
    <e3f09c3df709400db2417a7161762d62 xmlns="4ffa91fb-a0ff-4ac5-b2db-65c790d184a4">
      <Terms xmlns="http://schemas.microsoft.com/office/infopath/2007/PartnerControls"/>
    </e3f09c3df709400db2417a7161762d62>
    <SharedWithUsers xmlns="fecc2597-e8fd-4279-ac06-bd7c891938be">
      <UserInfo>
        <DisplayName>O'Haire, Chloe</DisplayName>
        <AccountId>20013</AccountId>
        <AccountType/>
      </UserInfo>
    </SharedWithUsers>
    <_ip_UnifiedCompliancePolicyUIAction xmlns="http://schemas.microsoft.com/sharepoint/v3" xsi:nil="true"/>
    <_ip_UnifiedCompliancePolicyProperties xmlns="http://schemas.microsoft.com/sharepoint/v3" xsi:nil="true"/>
    <lcf76f155ced4ddcb4097134ff3c332f xmlns="ead8da0f-3542-4e50-96c8-f1f698624e8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B2EC1A5-760C-4A2A-9E2D-FDBAC61572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fecc2597-e8fd-4279-ac06-bd7c891938be"/>
    <ds:schemaRef ds:uri="ead8da0f-3542-4e50-96c8-f1f698624e8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876B4D6-27F6-40E6-8B32-7103EB3DF220}">
  <ds:schemaRefs>
    <ds:schemaRef ds:uri="Microsoft.SharePoint.Taxonomy.ContentTypeSync"/>
  </ds:schemaRefs>
</ds:datastoreItem>
</file>

<file path=customXml/itemProps3.xml><?xml version="1.0" encoding="utf-8"?>
<ds:datastoreItem xmlns:ds="http://schemas.openxmlformats.org/officeDocument/2006/customXml" ds:itemID="{FC4D3327-742A-48B8-A327-280E7B94BECD}">
  <ds:schemaRefs>
    <ds:schemaRef ds:uri="http://schemas.microsoft.com/sharepoint/v3/contenttype/forms"/>
  </ds:schemaRefs>
</ds:datastoreItem>
</file>

<file path=customXml/itemProps4.xml><?xml version="1.0" encoding="utf-8"?>
<ds:datastoreItem xmlns:ds="http://schemas.openxmlformats.org/officeDocument/2006/customXml" ds:itemID="{4E7A35DD-4A1B-44BF-803A-7857F1D00B26}">
  <ds:schemaRefs>
    <ds:schemaRef ds:uri="http://purl.org/dc/terms/"/>
    <ds:schemaRef ds:uri="http://schemas.microsoft.com/office/infopath/2007/PartnerControls"/>
    <ds:schemaRef ds:uri="4ffa91fb-a0ff-4ac5-b2db-65c790d184a4"/>
    <ds:schemaRef ds:uri="http://schemas.microsoft.com/sharepoint/v3/fields"/>
    <ds:schemaRef ds:uri="http://schemas.openxmlformats.org/package/2006/metadata/core-properties"/>
    <ds:schemaRef ds:uri="http://purl.org/dc/dcmitype/"/>
    <ds:schemaRef ds:uri="http://schemas.microsoft.com/office/2006/documentManagement/types"/>
    <ds:schemaRef ds:uri="http://www.w3.org/XML/1998/namespace"/>
    <ds:schemaRef ds:uri="http://schemas.microsoft.com/sharepoint.v3"/>
    <ds:schemaRef ds:uri="http://purl.org/dc/elements/1.1/"/>
    <ds:schemaRef ds:uri="ead8da0f-3542-4e50-96c8-f1f698624e86"/>
    <ds:schemaRef ds:uri="fecc2597-e8fd-4279-ac06-bd7c891938be"/>
    <ds:schemaRef ds:uri="http://schemas.microsoft.com/sharepoint/v3"/>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6</vt:i4>
      </vt:variant>
    </vt:vector>
  </HeadingPairs>
  <TitlesOfParts>
    <vt:vector size="17" baseType="lpstr">
      <vt:lpstr>Cover Page</vt:lpstr>
      <vt:lpstr>Read Me</vt:lpstr>
      <vt:lpstr>Dashboard</vt:lpstr>
      <vt:lpstr>RR</vt:lpstr>
      <vt:lpstr>Health Data</vt:lpstr>
      <vt:lpstr>Bridge Table</vt:lpstr>
      <vt:lpstr>Inhalation Exposure</vt:lpstr>
      <vt:lpstr>Dermal Crosswalk</vt:lpstr>
      <vt:lpstr>Dermal Exposure</vt:lpstr>
      <vt:lpstr>List Values</vt:lpstr>
      <vt:lpstr>Exposure Factors</vt:lpstr>
      <vt:lpstr>BW_default</vt:lpstr>
      <vt:lpstr>BW_women</vt:lpstr>
      <vt:lpstr>WY_CT_default</vt:lpstr>
      <vt:lpstr>WY_CT_women</vt:lpstr>
      <vt:lpstr>WY_HE_default</vt:lpstr>
      <vt:lpstr>WY_HE_women</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Risk Evaluation for Tris (2-chloroethyl) Phosphate; Supplemental Information File: Risk Calculator for Occupational Exposures</dc:title>
  <dc:subject/>
  <dc:creator>U.S. EPA</dc:creator>
  <cp:keywords>TCEP ; risk calculator ; occupational exposure ; cancer ; subchronic ; chronic</cp:keywords>
  <dc:description/>
  <cp:lastModifiedBy>Amati, Andrea (she/her/hers)</cp:lastModifiedBy>
  <cp:revision/>
  <dcterms:created xsi:type="dcterms:W3CDTF">2014-03-17T14:32:48Z</dcterms:created>
  <dcterms:modified xsi:type="dcterms:W3CDTF">2024-08-09T20:52:57Z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0x010100D723352F79007E408EFF44D6142FFCE2</vt:lpwstr>
  </property>
  <property fmtid="{D5CDD505-2E9C-101B-9397-08002B2CF9AE}" pid="3" name="TaxKeyword">
    <vt:lpwstr>1477;#cancer|c983330a-efab-4253-bc4c-c1da43bffbb1;#676;#chronic|06721882-15f0-4c85-aba5-7d07aaeb0ff9;#1198;#risk calculator|8af20125-90c4-4af3-92eb-7f5682895c4d;#1684;#subchronic|d302f18a-662c-4333-bb63-55c73f5679d2;#1514;#TCEP|af1fc4ee-98f7-4f6e-a587-baf047fab354;#1191;#occupational exposure|dc86747e-746f-435b-be39-b7773de656d7</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y fmtid="{D5CDD505-2E9C-101B-9397-08002B2CF9AE}" pid="7" name="Order">
    <vt:r8>1217400</vt:r8>
  </property>
  <property fmtid="{D5CDD505-2E9C-101B-9397-08002B2CF9AE}" pid="8" name="xd_Signature">
    <vt:bool>false</vt:bool>
  </property>
  <property fmtid="{D5CDD505-2E9C-101B-9397-08002B2CF9AE}" pid="9" name="xd_ProgID">
    <vt:lpwstr/>
  </property>
  <property fmtid="{D5CDD505-2E9C-101B-9397-08002B2CF9AE}" pid="10" name="ComplianceAssetId">
    <vt:lpwstr/>
  </property>
  <property fmtid="{D5CDD505-2E9C-101B-9397-08002B2CF9AE}" pid="11" name="TemplateUrl">
    <vt:lpwstr/>
  </property>
  <property fmtid="{D5CDD505-2E9C-101B-9397-08002B2CF9AE}" pid="12" name="_ExtendedDescription">
    <vt:lpwstr/>
  </property>
  <property fmtid="{D5CDD505-2E9C-101B-9397-08002B2CF9AE}" pid="13" name="TriggerFlowInfo">
    <vt:lpwstr/>
  </property>
  <property fmtid="{D5CDD505-2E9C-101B-9397-08002B2CF9AE}" pid="14" name="Chemical Category (TSCA)">
    <vt:lpwstr/>
  </property>
  <property fmtid="{D5CDD505-2E9C-101B-9397-08002B2CF9AE}" pid="15" name="Chemical Name (TSCA)">
    <vt:lpwstr>1106;#Tris(2-chloroethyl) phosphate (TCEP)|b9c5137d-62f8-4591-9417-a47b5119fde0</vt:lpwstr>
  </property>
  <property fmtid="{D5CDD505-2E9C-101B-9397-08002B2CF9AE}" pid="16" name="c0ff08ddd17743009042ba22fc16db7f">
    <vt:lpwstr>Tris(2-chloroethyl) phosphate (TCEP)|b9c5137d-62f8-4591-9417-a47b5119fde0</vt:lpwstr>
  </property>
</Properties>
</file>