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rtifile02\ehe\Projects\0217382-EPA_MME\0217382.012-Iron&amp;Steel\Data_and_Tools\Coke Ovens\Test Data Database 2022\Leaks\"/>
    </mc:Choice>
  </mc:AlternateContent>
  <xr:revisionPtr revIDLastSave="0" documentId="13_ncr:1_{C72B9898-660B-4B2C-8D3A-9B0693CD7F68}" xr6:coauthVersionLast="47" xr6:coauthVersionMax="47" xr10:uidLastSave="{00000000-0000-0000-0000-000000000000}"/>
  <bookViews>
    <workbookView xWindow="-120" yWindow="-120" windowWidth="29040" windowHeight="15840" tabRatio="900" xr2:uid="{31F78AF5-AA83-44FF-A139-1C353BEB6FDD}"/>
  </bookViews>
  <sheets>
    <sheet name="2022 Allowables NewEq PostContr" sheetId="28" r:id="rId1"/>
    <sheet name="2022 Allowables OldEq PostContr" sheetId="29" r:id="rId2"/>
    <sheet name="2022 Allowables NewEq" sheetId="25" r:id="rId3"/>
    <sheet name="2022 Allowables OldEq" sheetId="26" r:id="rId4"/>
    <sheet name="2016 Allowables NewEq" sheetId="19" r:id="rId5"/>
    <sheet name="2016 Allowables OldEq" sheetId="27" r:id="rId6"/>
    <sheet name="Enc1 Part VI BL Q89" sheetId="8" r:id="rId7"/>
    <sheet name="Part VI BL Q88-90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\Z">#REF!</definedName>
    <definedName name="_xlnm._FilterDatabase" localSheetId="4" hidden="1">'2016 Allowables NewEq'!$B$3:$BA$30</definedName>
    <definedName name="_xlnm._FilterDatabase" localSheetId="5" hidden="1">'2016 Allowables OldEq'!$B$3:$AZ$31</definedName>
    <definedName name="_xlnm._FilterDatabase" localSheetId="2" hidden="1">'2022 Allowables NewEq'!$B$3:$AZ$30</definedName>
    <definedName name="_xlnm._FilterDatabase" localSheetId="0" hidden="1">'2022 Allowables NewEq PostContr'!$B$3:$BA$30</definedName>
    <definedName name="_xlnm._FilterDatabase" localSheetId="3" hidden="1">'2022 Allowables OldEq'!$B$3:$AZ$30</definedName>
    <definedName name="_xlnm._FilterDatabase" localSheetId="1" hidden="1">'2022 Allowables OldEq PostContr'!$B$3:$BA$30</definedName>
    <definedName name="Boiler_ID">'[1]Process Unit Information'!$C$2</definedName>
    <definedName name="CameraOpacity">'[2]C-2. Opacity Camera'!#REF!</definedName>
    <definedName name="CEMs">'[2]C-4. Opacity COMS Hourly'!#REF!</definedName>
    <definedName name="CH4_Method">[1]Picklists!$B$55:$B$56</definedName>
    <definedName name="ClFl_Units">[1]Picklists!#REF!</definedName>
    <definedName name="ClFl_Units_Table">[1]Picklists!#REF!</definedName>
    <definedName name="CO_Method">[1]Picklists!$B$46:$B$47</definedName>
    <definedName name="CO_test_method">'[1]CO Emission Data'!$G$25</definedName>
    <definedName name="COG">'[2]C-9. COG Tests'!#REF!</definedName>
    <definedName name="Control_Config">[1]Picklists!$B$96:$B$97</definedName>
    <definedName name="Control_Dev_Conf">'[3]Drop Down List Source'!$A$1:$A$11</definedName>
    <definedName name="Control_Forms">'[1]Process Unit Information'!$D$9:$D$17</definedName>
    <definedName name="Exhaust_Flow_Rate_Unit">[1]Picklists!$B$29:$B$30</definedName>
    <definedName name="Exhaust_Temp_Unit">[1]Picklists!$B$34:$B$35</definedName>
    <definedName name="Facility_Code">'[1]Process Unit Information'!$A$2</definedName>
    <definedName name="Facility_Name">'[3]Process Unit Information'!$B$2</definedName>
    <definedName name="Facility_NEI_ID">'[3]Process Unit Information'!$A$2</definedName>
    <definedName name="Flow_Units">'[3]Drop Down List Source'!$A$23:$A$24</definedName>
    <definedName name="Formald_Method">[1]Picklists!$B$51</definedName>
    <definedName name="Fuel_Choice">[1]Picklists!$B$3:$B$12</definedName>
    <definedName name="Fuel_Input_Method">[1]Picklists!$B$39:$B$42</definedName>
    <definedName name="Fuel_Input_Unit">[1]Picklists!$B$21:$B$25</definedName>
    <definedName name="Fuels_nogas">[4]Lookup!$C$2:$C$135</definedName>
    <definedName name="HCN_Method">[1]Picklists!$B$76</definedName>
    <definedName name="Hex_Chrom_Method">'[3]Drop Down List Source'!$A$17</definedName>
    <definedName name="HF_HCL_Method">'[3]Drop Down List Source'!$A$19</definedName>
    <definedName name="Hg_Method">[1]Picklists!$B$64</definedName>
    <definedName name="HHV_Units">[1]Picklists!#REF!</definedName>
    <definedName name="HHV_Units_Table">[1]Picklists!#REF!</definedName>
    <definedName name="IIS_Category_RTR_ModFile_20170303_Final">#REF!</definedName>
    <definedName name="M9Opacity">'[2]C-1. Opacity M9'!#REF!</definedName>
    <definedName name="Material">'[2]C-7. Material Tests'!#REF!</definedName>
    <definedName name="Mercury_Method">'[3]Drop Down List Source'!$A$15</definedName>
    <definedName name="Metals_Units">[1]Picklists!#REF!</definedName>
    <definedName name="Metals_Units_Table">[1]Picklists!#REF!</definedName>
    <definedName name="Method_318">'[3]Drop Down List Source'!$A$13</definedName>
    <definedName name="NOX_Method">[1]Picklists!$B$84:$B$88</definedName>
    <definedName name="O2_CO2_Method">'[3]Drop Down List Source'!$A$21</definedName>
    <definedName name="Ontario_Hydro">[1]Picklists!$B$101</definedName>
    <definedName name="PAH">#REF!</definedName>
    <definedName name="Process_Line_Served_ID">'[3]Process Unit Information'!$E$2</definedName>
    <definedName name="Process_Unit_ID">'[3]Process Unit Information'!$D$2</definedName>
    <definedName name="Run_Process_Data">'[2]B-1. Table 2 Run Process Data'!#REF!</definedName>
    <definedName name="Samp1">'[1]Process Unit Information'!#REF!</definedName>
    <definedName name="Samp2">'[1]Process Unit Information'!#REF!</definedName>
    <definedName name="Samp3">'[1]Process Unit Information'!#REF!</definedName>
    <definedName name="select_fuel_input_units">[5]Sheet2!$C$9:$C$15</definedName>
    <definedName name="SemiVol_HAP_Method">[1]Picklists!$B$72</definedName>
    <definedName name="SO2_Method">[1]Picklists!$B$60</definedName>
    <definedName name="SVol_Org_HAP">[1]Picklists!$G$4:$G$243</definedName>
    <definedName name="TDS_TSS_Method">[1]Picklists!$B$92:$B$93</definedName>
    <definedName name="TDSWater">'[2]C-5. TDS Water Tests'!#REF!</definedName>
    <definedName name="Temp_Units">'[3]Drop Down List Source'!$A$26:$A$27</definedName>
    <definedName name="VE303Op">#REF!</definedName>
    <definedName name="Vol_Org_HAP">[1]Picklists!$D$4:$D$111</definedName>
    <definedName name="Volatile_HAP_Method">[1]Picklists!$B$68</definedName>
    <definedName name="Water">'[2]C-6. Other Water Tests'!#REF!</definedName>
    <definedName name="Yes_No">[5]Sheet2!$J$23:$J$24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0" i="29" l="1"/>
  <c r="AB29" i="29"/>
  <c r="AB28" i="29"/>
  <c r="AB27" i="29"/>
  <c r="AB26" i="29"/>
  <c r="AB25" i="29"/>
  <c r="AB24" i="29"/>
  <c r="AB23" i="29"/>
  <c r="AB22" i="29"/>
  <c r="AB21" i="29"/>
  <c r="AB20" i="29"/>
  <c r="AB19" i="29"/>
  <c r="AB18" i="29"/>
  <c r="AB17" i="29"/>
  <c r="AB16" i="29"/>
  <c r="AB15" i="29"/>
  <c r="AB14" i="29"/>
  <c r="AB13" i="29"/>
  <c r="AB12" i="29"/>
  <c r="AB11" i="29"/>
  <c r="AB10" i="29"/>
  <c r="AB9" i="29"/>
  <c r="AB8" i="29"/>
  <c r="AB7" i="29"/>
  <c r="AB6" i="29"/>
  <c r="AB5" i="29"/>
  <c r="AB4" i="29"/>
  <c r="AB30" i="28"/>
  <c r="AF30" i="28" s="1"/>
  <c r="AB29" i="28"/>
  <c r="AF29" i="28" s="1"/>
  <c r="AB28" i="28"/>
  <c r="AF28" i="28" s="1"/>
  <c r="AB27" i="28"/>
  <c r="AB26" i="28"/>
  <c r="AF26" i="28" s="1"/>
  <c r="AB25" i="28"/>
  <c r="AF25" i="28" s="1"/>
  <c r="AB24" i="28"/>
  <c r="AF24" i="28" s="1"/>
  <c r="AB23" i="28"/>
  <c r="AB22" i="28"/>
  <c r="AF22" i="28" s="1"/>
  <c r="AB21" i="28"/>
  <c r="AF21" i="28" s="1"/>
  <c r="AB20" i="28"/>
  <c r="AB19" i="28"/>
  <c r="AF19" i="28" s="1"/>
  <c r="AB18" i="28"/>
  <c r="AF18" i="28" s="1"/>
  <c r="AB17" i="28"/>
  <c r="AF17" i="28" s="1"/>
  <c r="AB16" i="28"/>
  <c r="AF16" i="28" s="1"/>
  <c r="AB15" i="28"/>
  <c r="AB14" i="28"/>
  <c r="AF14" i="28" s="1"/>
  <c r="AB13" i="28"/>
  <c r="AF13" i="28" s="1"/>
  <c r="AB12" i="28"/>
  <c r="AB11" i="28"/>
  <c r="AF11" i="28" s="1"/>
  <c r="AB10" i="28"/>
  <c r="AF10" i="28" s="1"/>
  <c r="AB9" i="28"/>
  <c r="AF9" i="28" s="1"/>
  <c r="AB8" i="28"/>
  <c r="AF8" i="28" s="1"/>
  <c r="AB7" i="28"/>
  <c r="AB6" i="28"/>
  <c r="AF6" i="28" s="1"/>
  <c r="AB5" i="28"/>
  <c r="AF5" i="28" s="1"/>
  <c r="AB4" i="28"/>
  <c r="AU30" i="29"/>
  <c r="AU29" i="29"/>
  <c r="AU28" i="29"/>
  <c r="AU27" i="29"/>
  <c r="AU26" i="29"/>
  <c r="AU25" i="29"/>
  <c r="AU24" i="29"/>
  <c r="AU23" i="29"/>
  <c r="AU22" i="29"/>
  <c r="AU21" i="29"/>
  <c r="AU20" i="29"/>
  <c r="AU19" i="29"/>
  <c r="AU18" i="29"/>
  <c r="AU17" i="29"/>
  <c r="AU16" i="29"/>
  <c r="AU15" i="29"/>
  <c r="AU14" i="29"/>
  <c r="AU13" i="29"/>
  <c r="AU12" i="29"/>
  <c r="AU11" i="29"/>
  <c r="AU10" i="29"/>
  <c r="AU9" i="29"/>
  <c r="AU8" i="29"/>
  <c r="AU7" i="29"/>
  <c r="AU6" i="29"/>
  <c r="AU5" i="29"/>
  <c r="AU4" i="29"/>
  <c r="AU30" i="28"/>
  <c r="AU29" i="28"/>
  <c r="AU28" i="28"/>
  <c r="AU27" i="28"/>
  <c r="AU26" i="28"/>
  <c r="AU25" i="28"/>
  <c r="AU24" i="28"/>
  <c r="AU23" i="28"/>
  <c r="AU22" i="28"/>
  <c r="AU21" i="28"/>
  <c r="AU20" i="28"/>
  <c r="AU19" i="28"/>
  <c r="AU18" i="28"/>
  <c r="AU17" i="28"/>
  <c r="AU16" i="28"/>
  <c r="AU15" i="28"/>
  <c r="AU14" i="28"/>
  <c r="AU13" i="28"/>
  <c r="AU12" i="28"/>
  <c r="AU11" i="28"/>
  <c r="AU10" i="28"/>
  <c r="AU9" i="28"/>
  <c r="AU8" i="28"/>
  <c r="AU7" i="28"/>
  <c r="AU6" i="28"/>
  <c r="AU5" i="28"/>
  <c r="AU4" i="28"/>
  <c r="AK30" i="29"/>
  <c r="AK29" i="29"/>
  <c r="AK28" i="29"/>
  <c r="AK27" i="29"/>
  <c r="AK26" i="29"/>
  <c r="AK25" i="29"/>
  <c r="AK24" i="29"/>
  <c r="AK23" i="29"/>
  <c r="AK22" i="29"/>
  <c r="AK21" i="29"/>
  <c r="AK20" i="29"/>
  <c r="AK19" i="29"/>
  <c r="AK18" i="29"/>
  <c r="AK17" i="29"/>
  <c r="AK16" i="29"/>
  <c r="AK15" i="29"/>
  <c r="AK14" i="29"/>
  <c r="AK13" i="29"/>
  <c r="AK12" i="29"/>
  <c r="AK11" i="29"/>
  <c r="AK10" i="29"/>
  <c r="AK9" i="29"/>
  <c r="AK8" i="29"/>
  <c r="AK7" i="29"/>
  <c r="AK6" i="29"/>
  <c r="AK5" i="29"/>
  <c r="AK4" i="29"/>
  <c r="AK30" i="28"/>
  <c r="AK29" i="28"/>
  <c r="AK28" i="28"/>
  <c r="AK27" i="28"/>
  <c r="AK26" i="28"/>
  <c r="AK25" i="28"/>
  <c r="AK24" i="28"/>
  <c r="AK23" i="28"/>
  <c r="AK22" i="28"/>
  <c r="AK21" i="28"/>
  <c r="AK20" i="28"/>
  <c r="AK19" i="28"/>
  <c r="AK18" i="28"/>
  <c r="AK17" i="28"/>
  <c r="AK16" i="28"/>
  <c r="AK15" i="28"/>
  <c r="AK14" i="28"/>
  <c r="AK13" i="28"/>
  <c r="AK12" i="28"/>
  <c r="AK11" i="28"/>
  <c r="AK10" i="28"/>
  <c r="AK9" i="28"/>
  <c r="AK8" i="28"/>
  <c r="AK7" i="28"/>
  <c r="AK6" i="28"/>
  <c r="AK5" i="28"/>
  <c r="AK4" i="28"/>
  <c r="AY30" i="29"/>
  <c r="AO30" i="29"/>
  <c r="AF30" i="29"/>
  <c r="V30" i="29"/>
  <c r="U30" i="29"/>
  <c r="J30" i="29"/>
  <c r="AW30" i="29" s="1"/>
  <c r="I30" i="29"/>
  <c r="AM30" i="29" s="1"/>
  <c r="H30" i="29"/>
  <c r="AD30" i="29" s="1"/>
  <c r="AY29" i="29"/>
  <c r="AO29" i="29"/>
  <c r="AF29" i="29"/>
  <c r="V29" i="29"/>
  <c r="U29" i="29"/>
  <c r="Q29" i="29"/>
  <c r="P29" i="29" s="1"/>
  <c r="J29" i="29"/>
  <c r="AW29" i="29" s="1"/>
  <c r="I29" i="29"/>
  <c r="AM29" i="29" s="1"/>
  <c r="AJ29" i="29" s="1"/>
  <c r="AH29" i="29" s="1"/>
  <c r="H29" i="29"/>
  <c r="AD29" i="29" s="1"/>
  <c r="AY28" i="29"/>
  <c r="AO28" i="29"/>
  <c r="AF28" i="29"/>
  <c r="V28" i="29"/>
  <c r="U28" i="29"/>
  <c r="J28" i="29"/>
  <c r="AW28" i="29" s="1"/>
  <c r="I28" i="29"/>
  <c r="AM28" i="29" s="1"/>
  <c r="H28" i="29"/>
  <c r="AD28" i="29" s="1"/>
  <c r="AY27" i="29"/>
  <c r="AW27" i="29"/>
  <c r="AT27" i="29" s="1"/>
  <c r="AR27" i="29" s="1"/>
  <c r="AO27" i="29"/>
  <c r="AM27" i="29"/>
  <c r="AJ27" i="29" s="1"/>
  <c r="AH27" i="29" s="1"/>
  <c r="AF27" i="29"/>
  <c r="V27" i="29"/>
  <c r="Q27" i="29" s="1"/>
  <c r="P27" i="29" s="1"/>
  <c r="H27" i="29"/>
  <c r="AD27" i="29" s="1"/>
  <c r="AY26" i="29"/>
  <c r="AW26" i="29"/>
  <c r="AO26" i="29"/>
  <c r="AM26" i="29"/>
  <c r="AF26" i="29"/>
  <c r="V26" i="29"/>
  <c r="Q26" i="29" s="1"/>
  <c r="P26" i="29" s="1"/>
  <c r="H26" i="29"/>
  <c r="AD26" i="29" s="1"/>
  <c r="AY25" i="29"/>
  <c r="AW25" i="29"/>
  <c r="AO25" i="29"/>
  <c r="AM25" i="29"/>
  <c r="AF25" i="29"/>
  <c r="V25" i="29"/>
  <c r="Q25" i="29" s="1"/>
  <c r="P25" i="29" s="1"/>
  <c r="H25" i="29"/>
  <c r="AD25" i="29" s="1"/>
  <c r="AA25" i="29" s="1"/>
  <c r="X25" i="29" s="1"/>
  <c r="Y25" i="29" s="1"/>
  <c r="AY24" i="29"/>
  <c r="AW24" i="29"/>
  <c r="AO24" i="29"/>
  <c r="AF24" i="29"/>
  <c r="V24" i="29"/>
  <c r="U24" i="29"/>
  <c r="K24" i="29"/>
  <c r="I24" i="29"/>
  <c r="AM24" i="29" s="1"/>
  <c r="H24" i="29"/>
  <c r="AD24" i="29" s="1"/>
  <c r="AY23" i="29"/>
  <c r="AO23" i="29"/>
  <c r="AF23" i="29"/>
  <c r="V23" i="29"/>
  <c r="U23" i="29"/>
  <c r="K23" i="29"/>
  <c r="J23" i="29"/>
  <c r="AW23" i="29" s="1"/>
  <c r="AT23" i="29" s="1"/>
  <c r="AR23" i="29" s="1"/>
  <c r="I23" i="29"/>
  <c r="AM23" i="29" s="1"/>
  <c r="H23" i="29"/>
  <c r="AD23" i="29" s="1"/>
  <c r="AY22" i="29"/>
  <c r="AO22" i="29"/>
  <c r="AF22" i="29"/>
  <c r="V22" i="29"/>
  <c r="U22" i="29"/>
  <c r="K22" i="29"/>
  <c r="J22" i="29"/>
  <c r="AW22" i="29" s="1"/>
  <c r="I22" i="29"/>
  <c r="AM22" i="29" s="1"/>
  <c r="H22" i="29"/>
  <c r="AD22" i="29" s="1"/>
  <c r="AY21" i="29"/>
  <c r="AO21" i="29"/>
  <c r="AF21" i="29"/>
  <c r="V21" i="29"/>
  <c r="U21" i="29"/>
  <c r="Q21" i="29" s="1"/>
  <c r="P21" i="29" s="1"/>
  <c r="K21" i="29"/>
  <c r="J21" i="29"/>
  <c r="AW21" i="29" s="1"/>
  <c r="I21" i="29"/>
  <c r="AM21" i="29" s="1"/>
  <c r="AJ21" i="29" s="1"/>
  <c r="AH21" i="29" s="1"/>
  <c r="H21" i="29"/>
  <c r="AD21" i="29" s="1"/>
  <c r="AY20" i="29"/>
  <c r="AO20" i="29"/>
  <c r="AF20" i="29"/>
  <c r="V20" i="29"/>
  <c r="U20" i="29"/>
  <c r="K20" i="29"/>
  <c r="J20" i="29"/>
  <c r="AW20" i="29" s="1"/>
  <c r="AT20" i="29" s="1"/>
  <c r="AR20" i="29" s="1"/>
  <c r="I20" i="29"/>
  <c r="AM20" i="29" s="1"/>
  <c r="H20" i="29"/>
  <c r="AD20" i="29" s="1"/>
  <c r="AY19" i="29"/>
  <c r="AO19" i="29"/>
  <c r="AF19" i="29"/>
  <c r="V19" i="29"/>
  <c r="U19" i="29"/>
  <c r="K19" i="29"/>
  <c r="J19" i="29"/>
  <c r="AW19" i="29" s="1"/>
  <c r="AT19" i="29" s="1"/>
  <c r="AR19" i="29" s="1"/>
  <c r="I19" i="29"/>
  <c r="AM19" i="29" s="1"/>
  <c r="AJ19" i="29" s="1"/>
  <c r="AH19" i="29" s="1"/>
  <c r="H19" i="29"/>
  <c r="AD19" i="29" s="1"/>
  <c r="AY18" i="29"/>
  <c r="AO18" i="29"/>
  <c r="AF18" i="29"/>
  <c r="V18" i="29"/>
  <c r="U18" i="29"/>
  <c r="K18" i="29"/>
  <c r="J18" i="29"/>
  <c r="AW18" i="29" s="1"/>
  <c r="I18" i="29"/>
  <c r="AM18" i="29" s="1"/>
  <c r="H18" i="29"/>
  <c r="AD18" i="29" s="1"/>
  <c r="AY17" i="29"/>
  <c r="AO17" i="29"/>
  <c r="AF17" i="29"/>
  <c r="V17" i="29"/>
  <c r="U17" i="29"/>
  <c r="Q17" i="29" s="1"/>
  <c r="P17" i="29" s="1"/>
  <c r="K17" i="29"/>
  <c r="J17" i="29"/>
  <c r="AW17" i="29" s="1"/>
  <c r="I17" i="29"/>
  <c r="AM17" i="29" s="1"/>
  <c r="AJ17" i="29" s="1"/>
  <c r="AH17" i="29" s="1"/>
  <c r="H17" i="29"/>
  <c r="AD17" i="29" s="1"/>
  <c r="AY16" i="29"/>
  <c r="AO16" i="29"/>
  <c r="AF16" i="29"/>
  <c r="V16" i="29"/>
  <c r="U16" i="29"/>
  <c r="K16" i="29"/>
  <c r="J16" i="29"/>
  <c r="AW16" i="29" s="1"/>
  <c r="I16" i="29"/>
  <c r="AM16" i="29" s="1"/>
  <c r="H16" i="29"/>
  <c r="AD16" i="29" s="1"/>
  <c r="AY15" i="29"/>
  <c r="AO15" i="29"/>
  <c r="AF15" i="29"/>
  <c r="V15" i="29"/>
  <c r="U15" i="29"/>
  <c r="K15" i="29"/>
  <c r="J15" i="29"/>
  <c r="AW15" i="29" s="1"/>
  <c r="AT15" i="29" s="1"/>
  <c r="AR15" i="29" s="1"/>
  <c r="I15" i="29"/>
  <c r="AM15" i="29" s="1"/>
  <c r="H15" i="29"/>
  <c r="AD15" i="29" s="1"/>
  <c r="BA14" i="29"/>
  <c r="AX14" i="29" s="1"/>
  <c r="AY14" i="29" s="1"/>
  <c r="AW14" i="29"/>
  <c r="AN14" i="29"/>
  <c r="AO14" i="29" s="1"/>
  <c r="AM14" i="29"/>
  <c r="AF14" i="29"/>
  <c r="AD14" i="29"/>
  <c r="AA14" i="29" s="1"/>
  <c r="X14" i="29" s="1"/>
  <c r="Y14" i="29" s="1"/>
  <c r="V14" i="29"/>
  <c r="U14" i="29"/>
  <c r="T14" i="29"/>
  <c r="K14" i="29"/>
  <c r="BA13" i="29"/>
  <c r="AX13" i="29" s="1"/>
  <c r="AY13" i="29" s="1"/>
  <c r="AW13" i="29"/>
  <c r="AN13" i="29"/>
  <c r="AO13" i="29" s="1"/>
  <c r="AM13" i="29"/>
  <c r="AJ13" i="29" s="1"/>
  <c r="AH13" i="29" s="1"/>
  <c r="AF13" i="29"/>
  <c r="AD13" i="29"/>
  <c r="V13" i="29"/>
  <c r="U13" i="29"/>
  <c r="T13" i="29"/>
  <c r="BA12" i="29"/>
  <c r="AX12" i="29" s="1"/>
  <c r="AY12" i="29" s="1"/>
  <c r="AW12" i="29"/>
  <c r="AN12" i="29"/>
  <c r="AO12" i="29" s="1"/>
  <c r="AM12" i="29"/>
  <c r="AF12" i="29"/>
  <c r="AD12" i="29"/>
  <c r="V12" i="29"/>
  <c r="T12" i="29"/>
  <c r="L12" i="29"/>
  <c r="U12" i="29" s="1"/>
  <c r="BA11" i="29"/>
  <c r="AX11" i="29" s="1"/>
  <c r="AY11" i="29" s="1"/>
  <c r="AW11" i="29"/>
  <c r="AT11" i="29" s="1"/>
  <c r="AR11" i="29" s="1"/>
  <c r="AN11" i="29"/>
  <c r="AO11" i="29" s="1"/>
  <c r="AM11" i="29"/>
  <c r="AF11" i="29"/>
  <c r="AD11" i="29"/>
  <c r="AA11" i="29" s="1"/>
  <c r="X11" i="29" s="1"/>
  <c r="Y11" i="29" s="1"/>
  <c r="V11" i="29"/>
  <c r="T11" i="29"/>
  <c r="L11" i="29"/>
  <c r="U11" i="29" s="1"/>
  <c r="BA10" i="29"/>
  <c r="AX10" i="29" s="1"/>
  <c r="AY10" i="29" s="1"/>
  <c r="AW10" i="29"/>
  <c r="AN10" i="29"/>
  <c r="AO10" i="29" s="1"/>
  <c r="AM10" i="29"/>
  <c r="AJ10" i="29" s="1"/>
  <c r="AH10" i="29" s="1"/>
  <c r="AF10" i="29"/>
  <c r="AD10" i="29"/>
  <c r="V10" i="29"/>
  <c r="U10" i="29"/>
  <c r="T10" i="29"/>
  <c r="BA9" i="29"/>
  <c r="AX9" i="29" s="1"/>
  <c r="AY9" i="29" s="1"/>
  <c r="AW9" i="29"/>
  <c r="AN9" i="29"/>
  <c r="AO9" i="29" s="1"/>
  <c r="AM9" i="29"/>
  <c r="AF9" i="29"/>
  <c r="AD9" i="29"/>
  <c r="V9" i="29"/>
  <c r="U9" i="29"/>
  <c r="T9" i="29"/>
  <c r="BA8" i="29"/>
  <c r="AX8" i="29" s="1"/>
  <c r="AY8" i="29" s="1"/>
  <c r="AW8" i="29"/>
  <c r="AN8" i="29"/>
  <c r="AO8" i="29" s="1"/>
  <c r="AM8" i="29"/>
  <c r="AF8" i="29"/>
  <c r="AD8" i="29"/>
  <c r="V8" i="29"/>
  <c r="U8" i="29"/>
  <c r="T8" i="29"/>
  <c r="BA7" i="29"/>
  <c r="AX7" i="29" s="1"/>
  <c r="AY7" i="29" s="1"/>
  <c r="AW7" i="29"/>
  <c r="AT7" i="29" s="1"/>
  <c r="AR7" i="29" s="1"/>
  <c r="AN7" i="29"/>
  <c r="AO7" i="29" s="1"/>
  <c r="AF7" i="29"/>
  <c r="V7" i="29"/>
  <c r="U7" i="29"/>
  <c r="T7" i="29"/>
  <c r="I7" i="29"/>
  <c r="AM7" i="29" s="1"/>
  <c r="H7" i="29"/>
  <c r="AD7" i="29" s="1"/>
  <c r="AW6" i="29"/>
  <c r="AF6" i="29"/>
  <c r="AD6" i="29"/>
  <c r="V6" i="29"/>
  <c r="I6" i="29"/>
  <c r="AM6" i="29" s="1"/>
  <c r="AW5" i="29"/>
  <c r="AM5" i="29"/>
  <c r="AJ5" i="29" s="1"/>
  <c r="AH5" i="29" s="1"/>
  <c r="AF5" i="29"/>
  <c r="AD5" i="29"/>
  <c r="V5" i="29"/>
  <c r="BA4" i="29"/>
  <c r="AX4" i="29" s="1"/>
  <c r="AX5" i="29" s="1"/>
  <c r="AY5" i="29" s="1"/>
  <c r="AW4" i="29"/>
  <c r="AN4" i="29"/>
  <c r="AO4" i="29" s="1"/>
  <c r="AF4" i="29"/>
  <c r="V4" i="29"/>
  <c r="U4" i="29"/>
  <c r="U6" i="29" s="1"/>
  <c r="T4" i="29"/>
  <c r="I4" i="29"/>
  <c r="AM4" i="29" s="1"/>
  <c r="AJ4" i="29" s="1"/>
  <c r="AH4" i="29" s="1"/>
  <c r="H4" i="29"/>
  <c r="AD4" i="29" s="1"/>
  <c r="AY30" i="28"/>
  <c r="AO30" i="28"/>
  <c r="V30" i="28"/>
  <c r="U30" i="28"/>
  <c r="Q30" i="28" s="1"/>
  <c r="P30" i="28" s="1"/>
  <c r="J30" i="28"/>
  <c r="AW30" i="28" s="1"/>
  <c r="I30" i="28"/>
  <c r="AM30" i="28" s="1"/>
  <c r="H30" i="28"/>
  <c r="AD30" i="28" s="1"/>
  <c r="AY29" i="28"/>
  <c r="AO29" i="28"/>
  <c r="V29" i="28"/>
  <c r="U29" i="28"/>
  <c r="J29" i="28"/>
  <c r="AW29" i="28" s="1"/>
  <c r="I29" i="28"/>
  <c r="AM29" i="28" s="1"/>
  <c r="H29" i="28"/>
  <c r="AD29" i="28" s="1"/>
  <c r="AY28" i="28"/>
  <c r="AO28" i="28"/>
  <c r="V28" i="28"/>
  <c r="U28" i="28"/>
  <c r="J28" i="28"/>
  <c r="AW28" i="28" s="1"/>
  <c r="I28" i="28"/>
  <c r="AM28" i="28" s="1"/>
  <c r="H28" i="28"/>
  <c r="AD28" i="28" s="1"/>
  <c r="AY27" i="28"/>
  <c r="AW27" i="28"/>
  <c r="AT27" i="28" s="1"/>
  <c r="AR27" i="28" s="1"/>
  <c r="AO27" i="28"/>
  <c r="AM27" i="28"/>
  <c r="AJ27" i="28" s="1"/>
  <c r="AH27" i="28" s="1"/>
  <c r="V27" i="28"/>
  <c r="Q27" i="28" s="1"/>
  <c r="P27" i="28" s="1"/>
  <c r="H27" i="28"/>
  <c r="AD27" i="28" s="1"/>
  <c r="AY26" i="28"/>
  <c r="AW26" i="28"/>
  <c r="AO26" i="28"/>
  <c r="AM26" i="28"/>
  <c r="V26" i="28"/>
  <c r="Q26" i="28" s="1"/>
  <c r="P26" i="28" s="1"/>
  <c r="H26" i="28"/>
  <c r="AD26" i="28" s="1"/>
  <c r="AY25" i="28"/>
  <c r="AW25" i="28"/>
  <c r="AO25" i="28"/>
  <c r="AM25" i="28"/>
  <c r="V25" i="28"/>
  <c r="Q25" i="28" s="1"/>
  <c r="P25" i="28" s="1"/>
  <c r="H25" i="28"/>
  <c r="AD25" i="28" s="1"/>
  <c r="AY24" i="28"/>
  <c r="AW24" i="28"/>
  <c r="AO24" i="28"/>
  <c r="V24" i="28"/>
  <c r="U24" i="28"/>
  <c r="K24" i="28"/>
  <c r="I24" i="28"/>
  <c r="AM24" i="28" s="1"/>
  <c r="H24" i="28"/>
  <c r="AD24" i="28" s="1"/>
  <c r="AY23" i="28"/>
  <c r="AO23" i="28"/>
  <c r="AF23" i="28"/>
  <c r="V23" i="28"/>
  <c r="U23" i="28"/>
  <c r="K23" i="28"/>
  <c r="J23" i="28"/>
  <c r="AW23" i="28" s="1"/>
  <c r="I23" i="28"/>
  <c r="AM23" i="28" s="1"/>
  <c r="H23" i="28"/>
  <c r="AD23" i="28" s="1"/>
  <c r="AA23" i="28" s="1"/>
  <c r="X23" i="28" s="1"/>
  <c r="Y23" i="28" s="1"/>
  <c r="AY22" i="28"/>
  <c r="AO22" i="28"/>
  <c r="V22" i="28"/>
  <c r="U22" i="28"/>
  <c r="K22" i="28"/>
  <c r="J22" i="28"/>
  <c r="AW22" i="28" s="1"/>
  <c r="AT22" i="28" s="1"/>
  <c r="AR22" i="28" s="1"/>
  <c r="I22" i="28"/>
  <c r="AM22" i="28" s="1"/>
  <c r="H22" i="28"/>
  <c r="AD22" i="28" s="1"/>
  <c r="AY21" i="28"/>
  <c r="AO21" i="28"/>
  <c r="V21" i="28"/>
  <c r="U21" i="28"/>
  <c r="K21" i="28"/>
  <c r="J21" i="28"/>
  <c r="AW21" i="28" s="1"/>
  <c r="AT21" i="28" s="1"/>
  <c r="AR21" i="28" s="1"/>
  <c r="I21" i="28"/>
  <c r="AM21" i="28" s="1"/>
  <c r="H21" i="28"/>
  <c r="AD21" i="28" s="1"/>
  <c r="AY20" i="28"/>
  <c r="AO20" i="28"/>
  <c r="AF20" i="28"/>
  <c r="V20" i="28"/>
  <c r="U20" i="28"/>
  <c r="K20" i="28"/>
  <c r="J20" i="28"/>
  <c r="AW20" i="28" s="1"/>
  <c r="AT20" i="28" s="1"/>
  <c r="AR20" i="28" s="1"/>
  <c r="I20" i="28"/>
  <c r="AM20" i="28" s="1"/>
  <c r="H20" i="28"/>
  <c r="AD20" i="28" s="1"/>
  <c r="AY19" i="28"/>
  <c r="AO19" i="28"/>
  <c r="V19" i="28"/>
  <c r="U19" i="28"/>
  <c r="K19" i="28"/>
  <c r="J19" i="28"/>
  <c r="AW19" i="28" s="1"/>
  <c r="AT19" i="28" s="1"/>
  <c r="AR19" i="28" s="1"/>
  <c r="I19" i="28"/>
  <c r="AM19" i="28" s="1"/>
  <c r="H19" i="28"/>
  <c r="AD19" i="28" s="1"/>
  <c r="AY18" i="28"/>
  <c r="AO18" i="28"/>
  <c r="V18" i="28"/>
  <c r="U18" i="28"/>
  <c r="K18" i="28"/>
  <c r="J18" i="28"/>
  <c r="AW18" i="28" s="1"/>
  <c r="AT18" i="28" s="1"/>
  <c r="AR18" i="28" s="1"/>
  <c r="I18" i="28"/>
  <c r="AM18" i="28" s="1"/>
  <c r="H18" i="28"/>
  <c r="AD18" i="28" s="1"/>
  <c r="AY17" i="28"/>
  <c r="AO17" i="28"/>
  <c r="V17" i="28"/>
  <c r="U17" i="28"/>
  <c r="K17" i="28"/>
  <c r="J17" i="28"/>
  <c r="AW17" i="28" s="1"/>
  <c r="I17" i="28"/>
  <c r="AM17" i="28" s="1"/>
  <c r="H17" i="28"/>
  <c r="AD17" i="28" s="1"/>
  <c r="AY16" i="28"/>
  <c r="AO16" i="28"/>
  <c r="V16" i="28"/>
  <c r="U16" i="28"/>
  <c r="Q16" i="28" s="1"/>
  <c r="P16" i="28" s="1"/>
  <c r="K16" i="28"/>
  <c r="J16" i="28"/>
  <c r="AW16" i="28" s="1"/>
  <c r="I16" i="28"/>
  <c r="AM16" i="28" s="1"/>
  <c r="H16" i="28"/>
  <c r="AD16" i="28" s="1"/>
  <c r="AY15" i="28"/>
  <c r="AO15" i="28"/>
  <c r="AF15" i="28"/>
  <c r="AA15" i="28"/>
  <c r="X15" i="28" s="1"/>
  <c r="Y15" i="28" s="1"/>
  <c r="V15" i="28"/>
  <c r="U15" i="28"/>
  <c r="K15" i="28"/>
  <c r="J15" i="28"/>
  <c r="AW15" i="28" s="1"/>
  <c r="I15" i="28"/>
  <c r="AM15" i="28" s="1"/>
  <c r="H15" i="28"/>
  <c r="AD15" i="28" s="1"/>
  <c r="BA14" i="28"/>
  <c r="AX14" i="28" s="1"/>
  <c r="AY14" i="28" s="1"/>
  <c r="AW14" i="28"/>
  <c r="AN14" i="28"/>
  <c r="AO14" i="28" s="1"/>
  <c r="AM14" i="28"/>
  <c r="AD14" i="28"/>
  <c r="V14" i="28"/>
  <c r="U14" i="28"/>
  <c r="T14" i="28"/>
  <c r="K14" i="28"/>
  <c r="BA13" i="28"/>
  <c r="AX13" i="28" s="1"/>
  <c r="AY13" i="28" s="1"/>
  <c r="AW13" i="28"/>
  <c r="AN13" i="28"/>
  <c r="AO13" i="28" s="1"/>
  <c r="AM13" i="28"/>
  <c r="AD13" i="28"/>
  <c r="V13" i="28"/>
  <c r="U13" i="28"/>
  <c r="T13" i="28"/>
  <c r="BA12" i="28"/>
  <c r="AX12" i="28" s="1"/>
  <c r="AY12" i="28" s="1"/>
  <c r="AW12" i="28"/>
  <c r="AN12" i="28"/>
  <c r="AO12" i="28" s="1"/>
  <c r="AM12" i="28"/>
  <c r="AD12" i="28"/>
  <c r="AF12" i="28"/>
  <c r="V12" i="28"/>
  <c r="T12" i="28"/>
  <c r="L12" i="28"/>
  <c r="U12" i="28" s="1"/>
  <c r="Q12" i="28" s="1"/>
  <c r="P12" i="28" s="1"/>
  <c r="BA11" i="28"/>
  <c r="AX11" i="28" s="1"/>
  <c r="AY11" i="28" s="1"/>
  <c r="AW11" i="28"/>
  <c r="AN11" i="28"/>
  <c r="AO11" i="28" s="1"/>
  <c r="AM11" i="28"/>
  <c r="AJ11" i="28" s="1"/>
  <c r="AH11" i="28" s="1"/>
  <c r="AD11" i="28"/>
  <c r="V11" i="28"/>
  <c r="T11" i="28"/>
  <c r="L11" i="28"/>
  <c r="U11" i="28" s="1"/>
  <c r="BA10" i="28"/>
  <c r="AX10" i="28" s="1"/>
  <c r="AY10" i="28" s="1"/>
  <c r="AW10" i="28"/>
  <c r="AN10" i="28"/>
  <c r="AO10" i="28" s="1"/>
  <c r="AM10" i="28"/>
  <c r="AD10" i="28"/>
  <c r="V10" i="28"/>
  <c r="U10" i="28"/>
  <c r="T10" i="28"/>
  <c r="BA9" i="28"/>
  <c r="AX9" i="28" s="1"/>
  <c r="AY9" i="28" s="1"/>
  <c r="AW9" i="28"/>
  <c r="AN9" i="28"/>
  <c r="AO9" i="28" s="1"/>
  <c r="AM9" i="28"/>
  <c r="AD9" i="28"/>
  <c r="V9" i="28"/>
  <c r="U9" i="28"/>
  <c r="T9" i="28"/>
  <c r="BA8" i="28"/>
  <c r="AX8" i="28" s="1"/>
  <c r="AY8" i="28" s="1"/>
  <c r="AW8" i="28"/>
  <c r="AN8" i="28"/>
  <c r="AO8" i="28" s="1"/>
  <c r="AM8" i="28"/>
  <c r="AJ8" i="28" s="1"/>
  <c r="AH8" i="28" s="1"/>
  <c r="AD8" i="28"/>
  <c r="V8" i="28"/>
  <c r="U8" i="28"/>
  <c r="T8" i="28"/>
  <c r="BA7" i="28"/>
  <c r="AX7" i="28" s="1"/>
  <c r="AY7" i="28" s="1"/>
  <c r="AW7" i="28"/>
  <c r="AN7" i="28"/>
  <c r="AO7" i="28" s="1"/>
  <c r="AF7" i="28"/>
  <c r="V7" i="28"/>
  <c r="U7" i="28"/>
  <c r="T7" i="28"/>
  <c r="I7" i="28"/>
  <c r="AM7" i="28" s="1"/>
  <c r="H7" i="28"/>
  <c r="AD7" i="28" s="1"/>
  <c r="AW6" i="28"/>
  <c r="AD6" i="28"/>
  <c r="AA6" i="28" s="1"/>
  <c r="X6" i="28" s="1"/>
  <c r="Y6" i="28" s="1"/>
  <c r="V6" i="28"/>
  <c r="I6" i="28"/>
  <c r="AM6" i="28" s="1"/>
  <c r="AW5" i="28"/>
  <c r="AM5" i="28"/>
  <c r="AD5" i="28"/>
  <c r="V5" i="28"/>
  <c r="BA4" i="28"/>
  <c r="AX4" i="28" s="1"/>
  <c r="AW4" i="28"/>
  <c r="AT4" i="28" s="1"/>
  <c r="AR4" i="28" s="1"/>
  <c r="AN4" i="28"/>
  <c r="AN5" i="28" s="1"/>
  <c r="AO5" i="28" s="1"/>
  <c r="AF4" i="28"/>
  <c r="V4" i="28"/>
  <c r="U4" i="28"/>
  <c r="U5" i="28" s="1"/>
  <c r="T4" i="28"/>
  <c r="T5" i="28" s="1"/>
  <c r="I4" i="28"/>
  <c r="AM4" i="28" s="1"/>
  <c r="H4" i="28"/>
  <c r="AD4" i="28" s="1"/>
  <c r="AA4" i="28" s="1"/>
  <c r="X4" i="28" s="1"/>
  <c r="Y4" i="28" s="1"/>
  <c r="AA24" i="26"/>
  <c r="AA24" i="25"/>
  <c r="AJ24" i="26"/>
  <c r="AJ24" i="25"/>
  <c r="AT24" i="26"/>
  <c r="AT24" i="25"/>
  <c r="AE30" i="27"/>
  <c r="AE29" i="27"/>
  <c r="AE28" i="27"/>
  <c r="AE27" i="27"/>
  <c r="AE26" i="27"/>
  <c r="AE25" i="27"/>
  <c r="AE24" i="27"/>
  <c r="AE23" i="27"/>
  <c r="AE22" i="27"/>
  <c r="AE21" i="27"/>
  <c r="AE20" i="27"/>
  <c r="AE19" i="27"/>
  <c r="AE18" i="27"/>
  <c r="AE17" i="27"/>
  <c r="AE16" i="27"/>
  <c r="AE15" i="27"/>
  <c r="AE14" i="27"/>
  <c r="AE13" i="27"/>
  <c r="AE12" i="27"/>
  <c r="AE11" i="27"/>
  <c r="AE10" i="27"/>
  <c r="AE9" i="27"/>
  <c r="AE8" i="27"/>
  <c r="AE7" i="27"/>
  <c r="AE6" i="27"/>
  <c r="AE5" i="27"/>
  <c r="AE4" i="27"/>
  <c r="AX30" i="27"/>
  <c r="AT30" i="27"/>
  <c r="AN30" i="27"/>
  <c r="AJ30" i="27"/>
  <c r="AA30" i="27"/>
  <c r="V30" i="27"/>
  <c r="U30" i="27"/>
  <c r="J30" i="27"/>
  <c r="AV30" i="27" s="1"/>
  <c r="I30" i="27"/>
  <c r="AL30" i="27" s="1"/>
  <c r="H30" i="27"/>
  <c r="AC30" i="27" s="1"/>
  <c r="AX29" i="27"/>
  <c r="AT29" i="27"/>
  <c r="AN29" i="27"/>
  <c r="AJ29" i="27"/>
  <c r="AA29" i="27"/>
  <c r="V29" i="27"/>
  <c r="U29" i="27"/>
  <c r="J29" i="27"/>
  <c r="AV29" i="27" s="1"/>
  <c r="I29" i="27"/>
  <c r="AL29" i="27" s="1"/>
  <c r="H29" i="27"/>
  <c r="AC29" i="27" s="1"/>
  <c r="AX28" i="27"/>
  <c r="AT28" i="27"/>
  <c r="AN28" i="27"/>
  <c r="AJ28" i="27"/>
  <c r="AA28" i="27"/>
  <c r="V28" i="27"/>
  <c r="U28" i="27"/>
  <c r="J28" i="27"/>
  <c r="AV28" i="27" s="1"/>
  <c r="I28" i="27"/>
  <c r="AL28" i="27" s="1"/>
  <c r="H28" i="27"/>
  <c r="AC28" i="27" s="1"/>
  <c r="AX27" i="27"/>
  <c r="AV27" i="27"/>
  <c r="AT27" i="27"/>
  <c r="AN27" i="27"/>
  <c r="AL27" i="27"/>
  <c r="AJ27" i="27"/>
  <c r="AA27" i="27"/>
  <c r="V27" i="27"/>
  <c r="Q27" i="27" s="1"/>
  <c r="P27" i="27" s="1"/>
  <c r="H27" i="27"/>
  <c r="AC27" i="27" s="1"/>
  <c r="AX26" i="27"/>
  <c r="AV26" i="27"/>
  <c r="AT26" i="27"/>
  <c r="AN26" i="27"/>
  <c r="AL26" i="27"/>
  <c r="AJ26" i="27"/>
  <c r="AA26" i="27"/>
  <c r="V26" i="27"/>
  <c r="Q26" i="27" s="1"/>
  <c r="P26" i="27" s="1"/>
  <c r="H26" i="27"/>
  <c r="AC26" i="27" s="1"/>
  <c r="AX25" i="27"/>
  <c r="AV25" i="27"/>
  <c r="AT25" i="27"/>
  <c r="AN25" i="27"/>
  <c r="AL25" i="27"/>
  <c r="AJ25" i="27"/>
  <c r="AA25" i="27"/>
  <c r="V25" i="27"/>
  <c r="Q25" i="27" s="1"/>
  <c r="P25" i="27" s="1"/>
  <c r="H25" i="27"/>
  <c r="AC25" i="27" s="1"/>
  <c r="AX24" i="27"/>
  <c r="AV24" i="27"/>
  <c r="AT24" i="27"/>
  <c r="AN24" i="27"/>
  <c r="AJ24" i="27"/>
  <c r="AA24" i="27"/>
  <c r="V24" i="27"/>
  <c r="U24" i="27"/>
  <c r="K24" i="27"/>
  <c r="I24" i="27"/>
  <c r="AL24" i="27" s="1"/>
  <c r="H24" i="27"/>
  <c r="AC24" i="27" s="1"/>
  <c r="AX23" i="27"/>
  <c r="AT23" i="27"/>
  <c r="AN23" i="27"/>
  <c r="AJ23" i="27"/>
  <c r="AA23" i="27"/>
  <c r="V23" i="27"/>
  <c r="U23" i="27"/>
  <c r="K23" i="27"/>
  <c r="J23" i="27"/>
  <c r="AV23" i="27" s="1"/>
  <c r="I23" i="27"/>
  <c r="AL23" i="27" s="1"/>
  <c r="H23" i="27"/>
  <c r="AC23" i="27" s="1"/>
  <c r="AX22" i="27"/>
  <c r="AT22" i="27"/>
  <c r="AN22" i="27"/>
  <c r="AJ22" i="27"/>
  <c r="AA22" i="27"/>
  <c r="V22" i="27"/>
  <c r="U22" i="27"/>
  <c r="K22" i="27"/>
  <c r="J22" i="27"/>
  <c r="AV22" i="27" s="1"/>
  <c r="I22" i="27"/>
  <c r="AL22" i="27" s="1"/>
  <c r="H22" i="27"/>
  <c r="AC22" i="27" s="1"/>
  <c r="AX21" i="27"/>
  <c r="AT21" i="27"/>
  <c r="AN21" i="27"/>
  <c r="AJ21" i="27"/>
  <c r="AA21" i="27"/>
  <c r="V21" i="27"/>
  <c r="U21" i="27"/>
  <c r="K21" i="27"/>
  <c r="J21" i="27"/>
  <c r="AV21" i="27" s="1"/>
  <c r="I21" i="27"/>
  <c r="AL21" i="27" s="1"/>
  <c r="H21" i="27"/>
  <c r="AC21" i="27" s="1"/>
  <c r="AX20" i="27"/>
  <c r="AT20" i="27"/>
  <c r="AN20" i="27"/>
  <c r="AJ20" i="27"/>
  <c r="AA20" i="27"/>
  <c r="V20" i="27"/>
  <c r="Q20" i="27" s="1"/>
  <c r="P20" i="27" s="1"/>
  <c r="U20" i="27"/>
  <c r="K20" i="27"/>
  <c r="J20" i="27"/>
  <c r="AV20" i="27" s="1"/>
  <c r="I20" i="27"/>
  <c r="AL20" i="27" s="1"/>
  <c r="H20" i="27"/>
  <c r="AC20" i="27" s="1"/>
  <c r="AX19" i="27"/>
  <c r="AT19" i="27"/>
  <c r="AN19" i="27"/>
  <c r="AJ19" i="27"/>
  <c r="AA19" i="27"/>
  <c r="V19" i="27"/>
  <c r="U19" i="27"/>
  <c r="K19" i="27"/>
  <c r="J19" i="27"/>
  <c r="AV19" i="27" s="1"/>
  <c r="I19" i="27"/>
  <c r="AL19" i="27" s="1"/>
  <c r="AI19" i="27" s="1"/>
  <c r="AG19" i="27" s="1"/>
  <c r="H19" i="27"/>
  <c r="AC19" i="27" s="1"/>
  <c r="AX18" i="27"/>
  <c r="AT18" i="27"/>
  <c r="AN18" i="27"/>
  <c r="AJ18" i="27"/>
  <c r="AA18" i="27"/>
  <c r="V18" i="27"/>
  <c r="U18" i="27"/>
  <c r="K18" i="27"/>
  <c r="J18" i="27"/>
  <c r="AV18" i="27" s="1"/>
  <c r="I18" i="27"/>
  <c r="AL18" i="27" s="1"/>
  <c r="H18" i="27"/>
  <c r="AC18" i="27" s="1"/>
  <c r="AX17" i="27"/>
  <c r="AT17" i="27"/>
  <c r="AN17" i="27"/>
  <c r="AJ17" i="27"/>
  <c r="AA17" i="27"/>
  <c r="V17" i="27"/>
  <c r="U17" i="27"/>
  <c r="K17" i="27"/>
  <c r="J17" i="27"/>
  <c r="AV17" i="27" s="1"/>
  <c r="I17" i="27"/>
  <c r="AL17" i="27" s="1"/>
  <c r="H17" i="27"/>
  <c r="AC17" i="27" s="1"/>
  <c r="AX16" i="27"/>
  <c r="AT16" i="27"/>
  <c r="AN16" i="27"/>
  <c r="AJ16" i="27"/>
  <c r="AA16" i="27"/>
  <c r="V16" i="27"/>
  <c r="U16" i="27"/>
  <c r="K16" i="27"/>
  <c r="J16" i="27"/>
  <c r="AV16" i="27" s="1"/>
  <c r="I16" i="27"/>
  <c r="AL16" i="27" s="1"/>
  <c r="H16" i="27"/>
  <c r="AC16" i="27" s="1"/>
  <c r="AX15" i="27"/>
  <c r="AT15" i="27"/>
  <c r="AN15" i="27"/>
  <c r="AJ15" i="27"/>
  <c r="AA15" i="27"/>
  <c r="V15" i="27"/>
  <c r="U15" i="27"/>
  <c r="K15" i="27"/>
  <c r="J15" i="27"/>
  <c r="AV15" i="27" s="1"/>
  <c r="I15" i="27"/>
  <c r="AL15" i="27" s="1"/>
  <c r="H15" i="27"/>
  <c r="AC15" i="27" s="1"/>
  <c r="AZ14" i="27"/>
  <c r="AW14" i="27" s="1"/>
  <c r="AX14" i="27" s="1"/>
  <c r="AV14" i="27"/>
  <c r="AT14" i="27"/>
  <c r="AM14" i="27"/>
  <c r="AN14" i="27" s="1"/>
  <c r="AL14" i="27"/>
  <c r="AJ14" i="27"/>
  <c r="AC14" i="27"/>
  <c r="AA14" i="27"/>
  <c r="V14" i="27"/>
  <c r="U14" i="27"/>
  <c r="T14" i="27"/>
  <c r="K14" i="27"/>
  <c r="AZ13" i="27"/>
  <c r="AW13" i="27" s="1"/>
  <c r="AX13" i="27" s="1"/>
  <c r="AV13" i="27"/>
  <c r="AT13" i="27"/>
  <c r="AM13" i="27"/>
  <c r="AN13" i="27" s="1"/>
  <c r="AL13" i="27"/>
  <c r="AJ13" i="27"/>
  <c r="AC13" i="27"/>
  <c r="AA13" i="27"/>
  <c r="V13" i="27"/>
  <c r="U13" i="27"/>
  <c r="T13" i="27"/>
  <c r="AZ12" i="27"/>
  <c r="AW12" i="27" s="1"/>
  <c r="AX12" i="27" s="1"/>
  <c r="AV12" i="27"/>
  <c r="AT12" i="27"/>
  <c r="AM12" i="27"/>
  <c r="AN12" i="27" s="1"/>
  <c r="AL12" i="27"/>
  <c r="AJ12" i="27"/>
  <c r="AC12" i="27"/>
  <c r="AA12" i="27"/>
  <c r="V12" i="27"/>
  <c r="T12" i="27"/>
  <c r="L12" i="27"/>
  <c r="U12" i="27" s="1"/>
  <c r="AZ11" i="27"/>
  <c r="AW11" i="27" s="1"/>
  <c r="AX11" i="27" s="1"/>
  <c r="AV11" i="27"/>
  <c r="AT11" i="27"/>
  <c r="AM11" i="27"/>
  <c r="AN11" i="27" s="1"/>
  <c r="AL11" i="27"/>
  <c r="AJ11" i="27"/>
  <c r="AC11" i="27"/>
  <c r="AA11" i="27"/>
  <c r="V11" i="27"/>
  <c r="T11" i="27"/>
  <c r="L11" i="27"/>
  <c r="U11" i="27" s="1"/>
  <c r="AZ10" i="27"/>
  <c r="AW10" i="27" s="1"/>
  <c r="AX10" i="27" s="1"/>
  <c r="AV10" i="27"/>
  <c r="AT10" i="27"/>
  <c r="AM10" i="27"/>
  <c r="AN10" i="27" s="1"/>
  <c r="AL10" i="27"/>
  <c r="AJ10" i="27"/>
  <c r="AC10" i="27"/>
  <c r="AA10" i="27"/>
  <c r="V10" i="27"/>
  <c r="U10" i="27"/>
  <c r="T10" i="27"/>
  <c r="AZ9" i="27"/>
  <c r="AW9" i="27" s="1"/>
  <c r="AX9" i="27" s="1"/>
  <c r="AV9" i="27"/>
  <c r="AT9" i="27"/>
  <c r="AM9" i="27"/>
  <c r="AN9" i="27" s="1"/>
  <c r="AL9" i="27"/>
  <c r="AJ9" i="27"/>
  <c r="AC9" i="27"/>
  <c r="AA9" i="27"/>
  <c r="V9" i="27"/>
  <c r="U9" i="27"/>
  <c r="T9" i="27"/>
  <c r="AZ8" i="27"/>
  <c r="AW8" i="27" s="1"/>
  <c r="AX8" i="27" s="1"/>
  <c r="AV8" i="27"/>
  <c r="AT8" i="27"/>
  <c r="AM8" i="27"/>
  <c r="AN8" i="27" s="1"/>
  <c r="AL8" i="27"/>
  <c r="AJ8" i="27"/>
  <c r="AC8" i="27"/>
  <c r="AA8" i="27"/>
  <c r="V8" i="27"/>
  <c r="U8" i="27"/>
  <c r="T8" i="27"/>
  <c r="AZ7" i="27"/>
  <c r="AW7" i="27" s="1"/>
  <c r="AX7" i="27" s="1"/>
  <c r="AV7" i="27"/>
  <c r="AT7" i="27"/>
  <c r="AM7" i="27"/>
  <c r="AN7" i="27" s="1"/>
  <c r="AJ7" i="27"/>
  <c r="AA7" i="27"/>
  <c r="V7" i="27"/>
  <c r="U7" i="27"/>
  <c r="T7" i="27"/>
  <c r="I7" i="27"/>
  <c r="AL7" i="27" s="1"/>
  <c r="H7" i="27"/>
  <c r="AC7" i="27" s="1"/>
  <c r="AV6" i="27"/>
  <c r="AT6" i="27"/>
  <c r="AJ6" i="27"/>
  <c r="AC6" i="27"/>
  <c r="AA6" i="27"/>
  <c r="V6" i="27"/>
  <c r="I6" i="27"/>
  <c r="AL6" i="27" s="1"/>
  <c r="AV5" i="27"/>
  <c r="AT5" i="27"/>
  <c r="AL5" i="27"/>
  <c r="AJ5" i="27"/>
  <c r="AC5" i="27"/>
  <c r="AA5" i="27"/>
  <c r="V5" i="27"/>
  <c r="AZ4" i="27"/>
  <c r="AW4" i="27" s="1"/>
  <c r="AW6" i="27" s="1"/>
  <c r="AX6" i="27" s="1"/>
  <c r="AV4" i="27"/>
  <c r="AT4" i="27"/>
  <c r="AM4" i="27"/>
  <c r="AM6" i="27" s="1"/>
  <c r="AN6" i="27" s="1"/>
  <c r="AJ4" i="27"/>
  <c r="AA4" i="27"/>
  <c r="V4" i="27"/>
  <c r="U4" i="27"/>
  <c r="T4" i="27"/>
  <c r="T5" i="27" s="1"/>
  <c r="I4" i="27"/>
  <c r="AL4" i="27" s="1"/>
  <c r="H4" i="27"/>
  <c r="AC4" i="27" s="1"/>
  <c r="AJ25" i="28" l="1"/>
  <c r="AH25" i="28" s="1"/>
  <c r="AT26" i="28"/>
  <c r="AR26" i="28" s="1"/>
  <c r="Q23" i="28"/>
  <c r="P23" i="28" s="1"/>
  <c r="Q24" i="28"/>
  <c r="P24" i="28" s="1"/>
  <c r="Q28" i="28"/>
  <c r="P28" i="28" s="1"/>
  <c r="Q19" i="28"/>
  <c r="P19" i="28" s="1"/>
  <c r="AT6" i="28"/>
  <c r="AR6" i="28" s="1"/>
  <c r="AT7" i="28"/>
  <c r="AR7" i="28" s="1"/>
  <c r="AT10" i="28"/>
  <c r="AR10" i="28" s="1"/>
  <c r="AJ9" i="28"/>
  <c r="AH9" i="28" s="1"/>
  <c r="AA10" i="28"/>
  <c r="X10" i="28" s="1"/>
  <c r="Y10" i="28" s="1"/>
  <c r="Q13" i="28"/>
  <c r="P13" i="28" s="1"/>
  <c r="AT8" i="28"/>
  <c r="AR8" i="28" s="1"/>
  <c r="AJ15" i="28"/>
  <c r="AH15" i="28" s="1"/>
  <c r="AJ30" i="28"/>
  <c r="AH30" i="28" s="1"/>
  <c r="AJ22" i="28"/>
  <c r="AH22" i="28" s="1"/>
  <c r="AA28" i="28"/>
  <c r="X28" i="28" s="1"/>
  <c r="Y28" i="28" s="1"/>
  <c r="AT11" i="28"/>
  <c r="AR11" i="28" s="1"/>
  <c r="AJ23" i="28"/>
  <c r="AH23" i="28" s="1"/>
  <c r="AJ6" i="28"/>
  <c r="AH6" i="28" s="1"/>
  <c r="Q9" i="28"/>
  <c r="P9" i="28" s="1"/>
  <c r="AJ14" i="28"/>
  <c r="AH14" i="28" s="1"/>
  <c r="AJ17" i="28"/>
  <c r="AH17" i="28" s="1"/>
  <c r="AT9" i="28"/>
  <c r="AR9" i="28" s="1"/>
  <c r="Q14" i="28"/>
  <c r="P14" i="28" s="1"/>
  <c r="Q17" i="28"/>
  <c r="P17" i="28" s="1"/>
  <c r="Q18" i="28"/>
  <c r="P18" i="28" s="1"/>
  <c r="AT15" i="28"/>
  <c r="AR15" i="28" s="1"/>
  <c r="AT25" i="28"/>
  <c r="AR25" i="28" s="1"/>
  <c r="AT5" i="28"/>
  <c r="AR5" i="28" s="1"/>
  <c r="AT13" i="28"/>
  <c r="AR13" i="28" s="1"/>
  <c r="AA22" i="28"/>
  <c r="X22" i="28" s="1"/>
  <c r="Y22" i="28" s="1"/>
  <c r="AT12" i="28"/>
  <c r="AR12" i="28" s="1"/>
  <c r="Q20" i="28"/>
  <c r="P20" i="28" s="1"/>
  <c r="AA7" i="28"/>
  <c r="X7" i="28" s="1"/>
  <c r="Y7" i="28" s="1"/>
  <c r="AJ18" i="28"/>
  <c r="AH18" i="28" s="1"/>
  <c r="Q22" i="28"/>
  <c r="P22" i="28" s="1"/>
  <c r="AT23" i="28"/>
  <c r="AR23" i="28" s="1"/>
  <c r="AT28" i="28"/>
  <c r="AR28" i="28" s="1"/>
  <c r="AJ10" i="28"/>
  <c r="AH10" i="28" s="1"/>
  <c r="AA30" i="28"/>
  <c r="X30" i="28" s="1"/>
  <c r="Y30" i="28" s="1"/>
  <c r="Q11" i="29"/>
  <c r="P11" i="29" s="1"/>
  <c r="AT10" i="29"/>
  <c r="AR10" i="29" s="1"/>
  <c r="Q20" i="29"/>
  <c r="P20" i="29" s="1"/>
  <c r="AY4" i="29"/>
  <c r="Q10" i="29"/>
  <c r="P10" i="29" s="1"/>
  <c r="AJ14" i="29"/>
  <c r="AH14" i="29" s="1"/>
  <c r="Q24" i="29"/>
  <c r="P24" i="29" s="1"/>
  <c r="AA9" i="29"/>
  <c r="X9" i="29" s="1"/>
  <c r="Y9" i="29" s="1"/>
  <c r="AT9" i="29"/>
  <c r="AR9" i="29" s="1"/>
  <c r="Q22" i="29"/>
  <c r="P22" i="29" s="1"/>
  <c r="AT12" i="29"/>
  <c r="AR12" i="29" s="1"/>
  <c r="AT18" i="29"/>
  <c r="AR18" i="29" s="1"/>
  <c r="Q16" i="29"/>
  <c r="P16" i="29" s="1"/>
  <c r="Q6" i="29"/>
  <c r="P6" i="29" s="1"/>
  <c r="AA5" i="29"/>
  <c r="X5" i="29" s="1"/>
  <c r="Y5" i="29" s="1"/>
  <c r="Q9" i="29"/>
  <c r="P9" i="29" s="1"/>
  <c r="AA18" i="29"/>
  <c r="X18" i="29" s="1"/>
  <c r="Y18" i="29" s="1"/>
  <c r="Q30" i="29"/>
  <c r="P30" i="29" s="1"/>
  <c r="AT6" i="29"/>
  <c r="AR6" i="29" s="1"/>
  <c r="AJ12" i="29"/>
  <c r="AH12" i="29" s="1"/>
  <c r="AJ18" i="29"/>
  <c r="AH18" i="29" s="1"/>
  <c r="AA19" i="29"/>
  <c r="X19" i="29" s="1"/>
  <c r="Y19" i="29" s="1"/>
  <c r="AA24" i="29"/>
  <c r="X24" i="29" s="1"/>
  <c r="Y24" i="29" s="1"/>
  <c r="AT8" i="29"/>
  <c r="AR8" i="29" s="1"/>
  <c r="Q14" i="29"/>
  <c r="P14" i="29" s="1"/>
  <c r="AJ28" i="29"/>
  <c r="AH28" i="29" s="1"/>
  <c r="AT25" i="29"/>
  <c r="AR25" i="29" s="1"/>
  <c r="AJ26" i="29"/>
  <c r="AH26" i="29" s="1"/>
  <c r="AN5" i="29"/>
  <c r="AO5" i="29" s="1"/>
  <c r="AT28" i="29"/>
  <c r="AR28" i="29" s="1"/>
  <c r="AT26" i="29"/>
  <c r="AR26" i="29" s="1"/>
  <c r="Q8" i="29"/>
  <c r="P8" i="29" s="1"/>
  <c r="Q12" i="29"/>
  <c r="P12" i="29" s="1"/>
  <c r="Q18" i="29"/>
  <c r="P18" i="29" s="1"/>
  <c r="Q28" i="29"/>
  <c r="P28" i="29" s="1"/>
  <c r="AA13" i="29"/>
  <c r="X13" i="29" s="1"/>
  <c r="Y13" i="29" s="1"/>
  <c r="Z27" i="27"/>
  <c r="AI9" i="27"/>
  <c r="AG9" i="27" s="1"/>
  <c r="Z20" i="27"/>
  <c r="X20" i="27" s="1"/>
  <c r="Z11" i="27"/>
  <c r="X11" i="27" s="1"/>
  <c r="Z15" i="27"/>
  <c r="X15" i="27" s="1"/>
  <c r="Z26" i="27"/>
  <c r="AS19" i="27"/>
  <c r="AQ19" i="27" s="1"/>
  <c r="Z9" i="27"/>
  <c r="X9" i="27" s="1"/>
  <c r="Z14" i="27"/>
  <c r="X14" i="27" s="1"/>
  <c r="Z18" i="27"/>
  <c r="X18" i="27" s="1"/>
  <c r="Z23" i="27"/>
  <c r="X23" i="27" s="1"/>
  <c r="Z8" i="27"/>
  <c r="X8" i="27" s="1"/>
  <c r="Z10" i="27"/>
  <c r="X10" i="27" s="1"/>
  <c r="Q4" i="27"/>
  <c r="P4" i="27" s="1"/>
  <c r="Z25" i="27"/>
  <c r="Z5" i="27"/>
  <c r="X5" i="27" s="1"/>
  <c r="Z6" i="27"/>
  <c r="X6" i="27" s="1"/>
  <c r="Q10" i="27"/>
  <c r="P10" i="27" s="1"/>
  <c r="Z16" i="27"/>
  <c r="X16" i="27" s="1"/>
  <c r="Z4" i="27"/>
  <c r="X4" i="27" s="1"/>
  <c r="Z19" i="27"/>
  <c r="X19" i="27" s="1"/>
  <c r="Z22" i="27"/>
  <c r="X22" i="27" s="1"/>
  <c r="Z24" i="27"/>
  <c r="AS28" i="27"/>
  <c r="AQ28" i="27" s="1"/>
  <c r="Z29" i="27"/>
  <c r="X29" i="27" s="1"/>
  <c r="Z12" i="27"/>
  <c r="X12" i="27" s="1"/>
  <c r="Z7" i="27"/>
  <c r="X7" i="27" s="1"/>
  <c r="Z13" i="27"/>
  <c r="X13" i="27" s="1"/>
  <c r="Z21" i="27"/>
  <c r="X21" i="27" s="1"/>
  <c r="Z28" i="27"/>
  <c r="X28" i="27" s="1"/>
  <c r="AI7" i="27"/>
  <c r="AG7" i="27" s="1"/>
  <c r="Z17" i="27"/>
  <c r="X17" i="27" s="1"/>
  <c r="Z30" i="27"/>
  <c r="X30" i="27" s="1"/>
  <c r="AY4" i="28"/>
  <c r="AX5" i="28"/>
  <c r="AY5" i="28" s="1"/>
  <c r="AX6" i="28"/>
  <c r="AY6" i="28" s="1"/>
  <c r="AJ26" i="28"/>
  <c r="AH26" i="28" s="1"/>
  <c r="AA8" i="28"/>
  <c r="X8" i="28" s="1"/>
  <c r="Y8" i="28" s="1"/>
  <c r="AA16" i="28"/>
  <c r="X16" i="28" s="1"/>
  <c r="Y16" i="28" s="1"/>
  <c r="AJ12" i="28"/>
  <c r="AH12" i="28" s="1"/>
  <c r="AJ20" i="28"/>
  <c r="AH20" i="28" s="1"/>
  <c r="AT14" i="28"/>
  <c r="AR14" i="28" s="1"/>
  <c r="AA18" i="28"/>
  <c r="X18" i="28" s="1"/>
  <c r="Y18" i="28" s="1"/>
  <c r="AO4" i="28"/>
  <c r="Q15" i="28"/>
  <c r="P15" i="28" s="1"/>
  <c r="AJ21" i="28"/>
  <c r="AH21" i="28" s="1"/>
  <c r="AJ29" i="28"/>
  <c r="AH29" i="28" s="1"/>
  <c r="AJ19" i="28"/>
  <c r="AH19" i="28" s="1"/>
  <c r="AT24" i="28"/>
  <c r="AR24" i="28" s="1"/>
  <c r="AN6" i="28"/>
  <c r="AO6" i="28" s="1"/>
  <c r="Q7" i="28"/>
  <c r="P7" i="28" s="1"/>
  <c r="Q11" i="28"/>
  <c r="P11" i="28" s="1"/>
  <c r="AT17" i="28"/>
  <c r="AR17" i="28" s="1"/>
  <c r="Q8" i="28"/>
  <c r="P8" i="28" s="1"/>
  <c r="AT29" i="28"/>
  <c r="AR29" i="28" s="1"/>
  <c r="Q5" i="28"/>
  <c r="P5" i="28" s="1"/>
  <c r="Q29" i="28"/>
  <c r="P29" i="28" s="1"/>
  <c r="Q4" i="29"/>
  <c r="P4" i="29" s="1"/>
  <c r="AA10" i="29"/>
  <c r="X10" i="29" s="1"/>
  <c r="Y10" i="29" s="1"/>
  <c r="Q15" i="29"/>
  <c r="P15" i="29" s="1"/>
  <c r="AA16" i="29"/>
  <c r="X16" i="29" s="1"/>
  <c r="Y16" i="29" s="1"/>
  <c r="Q23" i="29"/>
  <c r="P23" i="29" s="1"/>
  <c r="AJ22" i="29"/>
  <c r="AH22" i="29" s="1"/>
  <c r="AJ23" i="29"/>
  <c r="AH23" i="29" s="1"/>
  <c r="AA28" i="29"/>
  <c r="X28" i="29" s="1"/>
  <c r="Y28" i="29" s="1"/>
  <c r="AX6" i="29"/>
  <c r="AY6" i="29" s="1"/>
  <c r="AJ15" i="29"/>
  <c r="AH15" i="29" s="1"/>
  <c r="AJ30" i="29"/>
  <c r="AH30" i="29" s="1"/>
  <c r="AJ6" i="29"/>
  <c r="AH6" i="29" s="1"/>
  <c r="AJ7" i="29"/>
  <c r="AH7" i="29" s="1"/>
  <c r="AA8" i="29"/>
  <c r="X8" i="29" s="1"/>
  <c r="Y8" i="29" s="1"/>
  <c r="AJ11" i="29"/>
  <c r="AH11" i="29" s="1"/>
  <c r="AA15" i="29"/>
  <c r="X15" i="29" s="1"/>
  <c r="Y15" i="29" s="1"/>
  <c r="AA17" i="29"/>
  <c r="X17" i="29" s="1"/>
  <c r="Y17" i="29" s="1"/>
  <c r="AA20" i="29"/>
  <c r="X20" i="29" s="1"/>
  <c r="Y20" i="29" s="1"/>
  <c r="AJ20" i="29"/>
  <c r="AH20" i="29" s="1"/>
  <c r="AT22" i="29"/>
  <c r="AR22" i="29" s="1"/>
  <c r="AA23" i="29"/>
  <c r="X23" i="29" s="1"/>
  <c r="Y23" i="29" s="1"/>
  <c r="AT30" i="29"/>
  <c r="AR30" i="29" s="1"/>
  <c r="AJ25" i="29"/>
  <c r="AH25" i="29" s="1"/>
  <c r="U5" i="29"/>
  <c r="Q5" i="29" s="1"/>
  <c r="P5" i="29" s="1"/>
  <c r="Q13" i="29"/>
  <c r="P13" i="29" s="1"/>
  <c r="AT4" i="29"/>
  <c r="AR4" i="29" s="1"/>
  <c r="AA4" i="29"/>
  <c r="X4" i="29" s="1"/>
  <c r="Y4" i="29" s="1"/>
  <c r="Q7" i="29"/>
  <c r="P7" i="29" s="1"/>
  <c r="AA12" i="29"/>
  <c r="X12" i="29" s="1"/>
  <c r="Y12" i="29" s="1"/>
  <c r="AA27" i="29"/>
  <c r="X27" i="29" s="1"/>
  <c r="Y27" i="29" s="1"/>
  <c r="AA6" i="29"/>
  <c r="X6" i="29" s="1"/>
  <c r="Y6" i="29" s="1"/>
  <c r="AA21" i="29"/>
  <c r="X21" i="29" s="1"/>
  <c r="Y21" i="29" s="1"/>
  <c r="AA22" i="29"/>
  <c r="X22" i="29" s="1"/>
  <c r="Y22" i="29" s="1"/>
  <c r="AA29" i="29"/>
  <c r="X29" i="29" s="1"/>
  <c r="Y29" i="29" s="1"/>
  <c r="AA30" i="29"/>
  <c r="X30" i="29" s="1"/>
  <c r="Y30" i="29" s="1"/>
  <c r="AA5" i="28"/>
  <c r="X5" i="28" s="1"/>
  <c r="Y5" i="28" s="1"/>
  <c r="AA11" i="28"/>
  <c r="X11" i="28" s="1"/>
  <c r="Y11" i="28" s="1"/>
  <c r="AA20" i="28"/>
  <c r="X20" i="28" s="1"/>
  <c r="Y20" i="28" s="1"/>
  <c r="AA17" i="28"/>
  <c r="X17" i="28" s="1"/>
  <c r="Y17" i="28" s="1"/>
  <c r="AA25" i="28"/>
  <c r="X25" i="28" s="1"/>
  <c r="Y25" i="28" s="1"/>
  <c r="AA21" i="28"/>
  <c r="X21" i="28" s="1"/>
  <c r="Y21" i="28" s="1"/>
  <c r="AT16" i="29"/>
  <c r="AR16" i="29" s="1"/>
  <c r="AT5" i="29"/>
  <c r="AR5" i="29" s="1"/>
  <c r="AT17" i="29"/>
  <c r="AR17" i="29" s="1"/>
  <c r="AT21" i="29"/>
  <c r="AR21" i="29" s="1"/>
  <c r="AT24" i="29"/>
  <c r="AR24" i="29" s="1"/>
  <c r="AT29" i="29"/>
  <c r="AR29" i="29" s="1"/>
  <c r="AT30" i="28"/>
  <c r="AR30" i="28" s="1"/>
  <c r="AT16" i="28"/>
  <c r="AR16" i="28" s="1"/>
  <c r="AJ9" i="29"/>
  <c r="AH9" i="29" s="1"/>
  <c r="AJ16" i="29"/>
  <c r="AH16" i="29" s="1"/>
  <c r="AJ24" i="29"/>
  <c r="AH24" i="29" s="1"/>
  <c r="AJ8" i="29"/>
  <c r="AH8" i="29" s="1"/>
  <c r="AJ5" i="28"/>
  <c r="AH5" i="28" s="1"/>
  <c r="AJ13" i="28"/>
  <c r="AH13" i="28" s="1"/>
  <c r="AJ16" i="28"/>
  <c r="AH16" i="28" s="1"/>
  <c r="AJ24" i="28"/>
  <c r="AH24" i="28" s="1"/>
  <c r="AJ28" i="28"/>
  <c r="AH28" i="28" s="1"/>
  <c r="AJ4" i="28"/>
  <c r="AH4" i="28" s="1"/>
  <c r="AJ7" i="28"/>
  <c r="AH7" i="28" s="1"/>
  <c r="Q10" i="28"/>
  <c r="P10" i="28" s="1"/>
  <c r="AA14" i="28"/>
  <c r="X14" i="28" s="1"/>
  <c r="Y14" i="28" s="1"/>
  <c r="AA29" i="28"/>
  <c r="X29" i="28" s="1"/>
  <c r="Y29" i="28" s="1"/>
  <c r="AT13" i="29"/>
  <c r="AR13" i="29" s="1"/>
  <c r="AT14" i="29"/>
  <c r="AR14" i="29" s="1"/>
  <c r="Q19" i="29"/>
  <c r="P19" i="29" s="1"/>
  <c r="AA9" i="28"/>
  <c r="X9" i="28" s="1"/>
  <c r="Y9" i="28" s="1"/>
  <c r="AA12" i="28"/>
  <c r="X12" i="28" s="1"/>
  <c r="Y12" i="28" s="1"/>
  <c r="AA26" i="28"/>
  <c r="X26" i="28" s="1"/>
  <c r="Y26" i="28" s="1"/>
  <c r="AA19" i="28"/>
  <c r="X19" i="28" s="1"/>
  <c r="Y19" i="28" s="1"/>
  <c r="AF27" i="28"/>
  <c r="AA27" i="28" s="1"/>
  <c r="X27" i="28" s="1"/>
  <c r="Y27" i="28" s="1"/>
  <c r="T5" i="29"/>
  <c r="T6" i="29"/>
  <c r="T6" i="28"/>
  <c r="AA13" i="28"/>
  <c r="X13" i="28" s="1"/>
  <c r="Y13" i="28" s="1"/>
  <c r="Q21" i="28"/>
  <c r="P21" i="28" s="1"/>
  <c r="AA24" i="28"/>
  <c r="X24" i="28" s="1"/>
  <c r="Y24" i="28" s="1"/>
  <c r="AA26" i="29"/>
  <c r="X26" i="29" s="1"/>
  <c r="Y26" i="29" s="1"/>
  <c r="U6" i="28"/>
  <c r="Q6" i="28" s="1"/>
  <c r="P6" i="28" s="1"/>
  <c r="Q4" i="28"/>
  <c r="P4" i="28" s="1"/>
  <c r="AA7" i="29"/>
  <c r="X7" i="29" s="1"/>
  <c r="Y7" i="29" s="1"/>
  <c r="AN6" i="29"/>
  <c r="AO6" i="29" s="1"/>
  <c r="AI11" i="27"/>
  <c r="AG11" i="27" s="1"/>
  <c r="AS4" i="27"/>
  <c r="AQ4" i="27" s="1"/>
  <c r="AS5" i="27"/>
  <c r="AQ5" i="27" s="1"/>
  <c r="Q7" i="27"/>
  <c r="P7" i="27" s="1"/>
  <c r="Q19" i="27"/>
  <c r="P19" i="27" s="1"/>
  <c r="Q11" i="27"/>
  <c r="P11" i="27" s="1"/>
  <c r="AS15" i="27"/>
  <c r="AQ15" i="27" s="1"/>
  <c r="AI18" i="27"/>
  <c r="AG18" i="27" s="1"/>
  <c r="AS20" i="27"/>
  <c r="AQ20" i="27" s="1"/>
  <c r="Q12" i="27"/>
  <c r="P12" i="27" s="1"/>
  <c r="AS12" i="27"/>
  <c r="AQ12" i="27" s="1"/>
  <c r="Q14" i="27"/>
  <c r="P14" i="27" s="1"/>
  <c r="AI14" i="27"/>
  <c r="AG14" i="27" s="1"/>
  <c r="AS7" i="27"/>
  <c r="AQ7" i="27" s="1"/>
  <c r="AS14" i="27"/>
  <c r="AQ14" i="27" s="1"/>
  <c r="AS8" i="27"/>
  <c r="AQ8" i="27" s="1"/>
  <c r="AI4" i="27"/>
  <c r="AG4" i="27" s="1"/>
  <c r="AS11" i="27"/>
  <c r="AQ11" i="27" s="1"/>
  <c r="AI16" i="27"/>
  <c r="AG16" i="27" s="1"/>
  <c r="Q22" i="27"/>
  <c r="P22" i="27" s="1"/>
  <c r="AI23" i="27"/>
  <c r="AG23" i="27" s="1"/>
  <c r="AI5" i="27"/>
  <c r="AG5" i="27" s="1"/>
  <c r="Q15" i="27"/>
  <c r="P15" i="27" s="1"/>
  <c r="AS16" i="27"/>
  <c r="AQ16" i="27" s="1"/>
  <c r="AI21" i="27"/>
  <c r="AG21" i="27" s="1"/>
  <c r="AS23" i="27"/>
  <c r="AQ23" i="27" s="1"/>
  <c r="AI25" i="27"/>
  <c r="AG25" i="27" s="1"/>
  <c r="X24" i="27"/>
  <c r="AI13" i="27"/>
  <c r="AG13" i="27" s="1"/>
  <c r="AI22" i="27"/>
  <c r="AG22" i="27" s="1"/>
  <c r="Q23" i="27"/>
  <c r="P23" i="27" s="1"/>
  <c r="AS25" i="27"/>
  <c r="AQ25" i="27" s="1"/>
  <c r="AS29" i="27"/>
  <c r="AQ29" i="27" s="1"/>
  <c r="Q8" i="27"/>
  <c r="P8" i="27" s="1"/>
  <c r="AI24" i="27"/>
  <c r="AG24" i="27" s="1"/>
  <c r="AS27" i="27"/>
  <c r="AQ27" i="27" s="1"/>
  <c r="AN4" i="27"/>
  <c r="AI15" i="27"/>
  <c r="AG15" i="27" s="1"/>
  <c r="Q16" i="27"/>
  <c r="P16" i="27" s="1"/>
  <c r="AS24" i="27"/>
  <c r="AQ24" i="27" s="1"/>
  <c r="AI8" i="27"/>
  <c r="AG8" i="27" s="1"/>
  <c r="AS10" i="27"/>
  <c r="AQ10" i="27" s="1"/>
  <c r="Q24" i="27"/>
  <c r="P24" i="27" s="1"/>
  <c r="AI30" i="27"/>
  <c r="AG30" i="27" s="1"/>
  <c r="AS6" i="27"/>
  <c r="AQ6" i="27" s="1"/>
  <c r="AI28" i="27"/>
  <c r="AG28" i="27" s="1"/>
  <c r="X26" i="27"/>
  <c r="Q30" i="27"/>
  <c r="P30" i="27" s="1"/>
  <c r="AS26" i="27"/>
  <c r="AQ26" i="27" s="1"/>
  <c r="Q28" i="27"/>
  <c r="P28" i="27" s="1"/>
  <c r="AI10" i="27"/>
  <c r="AG10" i="27" s="1"/>
  <c r="AS13" i="27"/>
  <c r="AQ13" i="27" s="1"/>
  <c r="AS17" i="27"/>
  <c r="AQ17" i="27" s="1"/>
  <c r="Q18" i="27"/>
  <c r="P18" i="27" s="1"/>
  <c r="X25" i="27"/>
  <c r="AS30" i="27"/>
  <c r="AQ30" i="27" s="1"/>
  <c r="AI20" i="27"/>
  <c r="AG20" i="27" s="1"/>
  <c r="AW5" i="27"/>
  <c r="AX5" i="27" s="1"/>
  <c r="AS22" i="27"/>
  <c r="AQ22" i="27" s="1"/>
  <c r="AI12" i="27"/>
  <c r="AG12" i="27" s="1"/>
  <c r="AI17" i="27"/>
  <c r="AG17" i="27" s="1"/>
  <c r="AI27" i="27"/>
  <c r="AG27" i="27" s="1"/>
  <c r="AI6" i="27"/>
  <c r="AG6" i="27" s="1"/>
  <c r="AX4" i="27"/>
  <c r="T6" i="27"/>
  <c r="Q9" i="27"/>
  <c r="P9" i="27" s="1"/>
  <c r="Q17" i="27"/>
  <c r="P17" i="27" s="1"/>
  <c r="AI26" i="27"/>
  <c r="AG26" i="27" s="1"/>
  <c r="AI29" i="27"/>
  <c r="AG29" i="27" s="1"/>
  <c r="Q13" i="27"/>
  <c r="P13" i="27" s="1"/>
  <c r="Q21" i="27"/>
  <c r="P21" i="27" s="1"/>
  <c r="AM5" i="27"/>
  <c r="AN5" i="27" s="1"/>
  <c r="AS21" i="27"/>
  <c r="AQ21" i="27" s="1"/>
  <c r="AS9" i="27"/>
  <c r="AQ9" i="27" s="1"/>
  <c r="AS18" i="27"/>
  <c r="AQ18" i="27" s="1"/>
  <c r="Q29" i="27"/>
  <c r="P29" i="27" s="1"/>
  <c r="X27" i="27"/>
  <c r="U6" i="27"/>
  <c r="Q6" i="27" s="1"/>
  <c r="P6" i="27" s="1"/>
  <c r="U5" i="27"/>
  <c r="Q5" i="27" s="1"/>
  <c r="P5" i="27" s="1"/>
  <c r="AA15" i="25"/>
  <c r="AE15" i="25" s="1"/>
  <c r="AE30" i="26" l="1"/>
  <c r="AE29" i="26"/>
  <c r="AE28" i="26"/>
  <c r="AE27" i="26"/>
  <c r="AE26" i="26"/>
  <c r="AE25" i="26"/>
  <c r="AE24" i="26"/>
  <c r="AE23" i="26"/>
  <c r="AE22" i="26"/>
  <c r="AE21" i="26"/>
  <c r="AE20" i="26"/>
  <c r="AE19" i="26"/>
  <c r="AE18" i="26"/>
  <c r="AE17" i="26"/>
  <c r="AE16" i="26"/>
  <c r="AE15" i="26"/>
  <c r="AE14" i="26"/>
  <c r="AE13" i="26"/>
  <c r="AE12" i="26"/>
  <c r="AE11" i="26"/>
  <c r="AE10" i="26"/>
  <c r="AE9" i="26"/>
  <c r="AE8" i="26"/>
  <c r="AE7" i="26"/>
  <c r="AE6" i="26"/>
  <c r="AE5" i="26"/>
  <c r="AE4" i="26"/>
  <c r="AX30" i="26"/>
  <c r="AT30" i="26"/>
  <c r="AN30" i="26"/>
  <c r="AJ30" i="26"/>
  <c r="AA30" i="26"/>
  <c r="V30" i="26"/>
  <c r="U30" i="26"/>
  <c r="J30" i="26"/>
  <c r="AV30" i="26" s="1"/>
  <c r="I30" i="26"/>
  <c r="AL30" i="26" s="1"/>
  <c r="H30" i="26"/>
  <c r="AC30" i="26" s="1"/>
  <c r="AX29" i="26"/>
  <c r="AT29" i="26"/>
  <c r="AN29" i="26"/>
  <c r="AJ29" i="26"/>
  <c r="AA29" i="26"/>
  <c r="V29" i="26"/>
  <c r="U29" i="26"/>
  <c r="J29" i="26"/>
  <c r="AV29" i="26" s="1"/>
  <c r="I29" i="26"/>
  <c r="AL29" i="26" s="1"/>
  <c r="H29" i="26"/>
  <c r="AC29" i="26" s="1"/>
  <c r="AX28" i="26"/>
  <c r="AT28" i="26"/>
  <c r="AN28" i="26"/>
  <c r="AJ28" i="26"/>
  <c r="AA28" i="26"/>
  <c r="V28" i="26"/>
  <c r="U28" i="26"/>
  <c r="J28" i="26"/>
  <c r="AV28" i="26" s="1"/>
  <c r="I28" i="26"/>
  <c r="AL28" i="26" s="1"/>
  <c r="H28" i="26"/>
  <c r="AC28" i="26" s="1"/>
  <c r="AX27" i="26"/>
  <c r="AV27" i="26"/>
  <c r="AT27" i="26"/>
  <c r="AN27" i="26"/>
  <c r="AL27" i="26"/>
  <c r="AJ27" i="26"/>
  <c r="AA27" i="26"/>
  <c r="V27" i="26"/>
  <c r="Q27" i="26" s="1"/>
  <c r="P27" i="26" s="1"/>
  <c r="H27" i="26"/>
  <c r="AC27" i="26" s="1"/>
  <c r="AX26" i="26"/>
  <c r="AV26" i="26"/>
  <c r="AT26" i="26"/>
  <c r="AN26" i="26"/>
  <c r="AL26" i="26"/>
  <c r="AJ26" i="26"/>
  <c r="AA26" i="26"/>
  <c r="V26" i="26"/>
  <c r="Q26" i="26" s="1"/>
  <c r="P26" i="26" s="1"/>
  <c r="H26" i="26"/>
  <c r="AC26" i="26" s="1"/>
  <c r="AX25" i="26"/>
  <c r="AV25" i="26"/>
  <c r="AT25" i="26"/>
  <c r="AN25" i="26"/>
  <c r="AL25" i="26"/>
  <c r="AJ25" i="26"/>
  <c r="AA25" i="26"/>
  <c r="V25" i="26"/>
  <c r="Q25" i="26" s="1"/>
  <c r="P25" i="26" s="1"/>
  <c r="H25" i="26"/>
  <c r="AC25" i="26" s="1"/>
  <c r="AX24" i="26"/>
  <c r="AV24" i="26"/>
  <c r="AN24" i="26"/>
  <c r="V24" i="26"/>
  <c r="U24" i="26"/>
  <c r="K24" i="26"/>
  <c r="I24" i="26"/>
  <c r="AL24" i="26" s="1"/>
  <c r="H24" i="26"/>
  <c r="AC24" i="26" s="1"/>
  <c r="AX23" i="26"/>
  <c r="AT23" i="26"/>
  <c r="AN23" i="26"/>
  <c r="AJ23" i="26"/>
  <c r="AA23" i="26"/>
  <c r="V23" i="26"/>
  <c r="U23" i="26"/>
  <c r="K23" i="26"/>
  <c r="J23" i="26"/>
  <c r="AV23" i="26" s="1"/>
  <c r="I23" i="26"/>
  <c r="AL23" i="26" s="1"/>
  <c r="H23" i="26"/>
  <c r="AC23" i="26" s="1"/>
  <c r="AX22" i="26"/>
  <c r="AT22" i="26"/>
  <c r="AN22" i="26"/>
  <c r="AJ22" i="26"/>
  <c r="AA22" i="26"/>
  <c r="V22" i="26"/>
  <c r="U22" i="26"/>
  <c r="K22" i="26"/>
  <c r="J22" i="26"/>
  <c r="AV22" i="26" s="1"/>
  <c r="I22" i="26"/>
  <c r="AL22" i="26" s="1"/>
  <c r="H22" i="26"/>
  <c r="AC22" i="26" s="1"/>
  <c r="AX21" i="26"/>
  <c r="AT21" i="26"/>
  <c r="AN21" i="26"/>
  <c r="AJ21" i="26"/>
  <c r="AA21" i="26"/>
  <c r="V21" i="26"/>
  <c r="U21" i="26"/>
  <c r="K21" i="26"/>
  <c r="J21" i="26"/>
  <c r="AV21" i="26" s="1"/>
  <c r="I21" i="26"/>
  <c r="AL21" i="26" s="1"/>
  <c r="H21" i="26"/>
  <c r="AC21" i="26" s="1"/>
  <c r="AX20" i="26"/>
  <c r="AT20" i="26"/>
  <c r="AN20" i="26"/>
  <c r="AJ20" i="26"/>
  <c r="AA20" i="26"/>
  <c r="V20" i="26"/>
  <c r="U20" i="26"/>
  <c r="K20" i="26"/>
  <c r="J20" i="26"/>
  <c r="AV20" i="26" s="1"/>
  <c r="I20" i="26"/>
  <c r="AL20" i="26" s="1"/>
  <c r="H20" i="26"/>
  <c r="AC20" i="26" s="1"/>
  <c r="AX19" i="26"/>
  <c r="AT19" i="26"/>
  <c r="AN19" i="26"/>
  <c r="AJ19" i="26"/>
  <c r="AA19" i="26"/>
  <c r="V19" i="26"/>
  <c r="U19" i="26"/>
  <c r="K19" i="26"/>
  <c r="J19" i="26"/>
  <c r="AV19" i="26" s="1"/>
  <c r="I19" i="26"/>
  <c r="AL19" i="26" s="1"/>
  <c r="H19" i="26"/>
  <c r="AC19" i="26" s="1"/>
  <c r="AX18" i="26"/>
  <c r="AT18" i="26"/>
  <c r="AN18" i="26"/>
  <c r="AJ18" i="26"/>
  <c r="AA18" i="26"/>
  <c r="V18" i="26"/>
  <c r="U18" i="26"/>
  <c r="K18" i="26"/>
  <c r="J18" i="26"/>
  <c r="AV18" i="26" s="1"/>
  <c r="I18" i="26"/>
  <c r="AL18" i="26" s="1"/>
  <c r="H18" i="26"/>
  <c r="AC18" i="26" s="1"/>
  <c r="AX17" i="26"/>
  <c r="AT17" i="26"/>
  <c r="AN17" i="26"/>
  <c r="AJ17" i="26"/>
  <c r="AA17" i="26"/>
  <c r="V17" i="26"/>
  <c r="U17" i="26"/>
  <c r="K17" i="26"/>
  <c r="J17" i="26"/>
  <c r="AV17" i="26" s="1"/>
  <c r="I17" i="26"/>
  <c r="AL17" i="26" s="1"/>
  <c r="H17" i="26"/>
  <c r="AC17" i="26" s="1"/>
  <c r="AX16" i="26"/>
  <c r="AT16" i="26"/>
  <c r="AN16" i="26"/>
  <c r="AJ16" i="26"/>
  <c r="AA16" i="26"/>
  <c r="V16" i="26"/>
  <c r="U16" i="26"/>
  <c r="K16" i="26"/>
  <c r="J16" i="26"/>
  <c r="AV16" i="26" s="1"/>
  <c r="I16" i="26"/>
  <c r="AL16" i="26" s="1"/>
  <c r="H16" i="26"/>
  <c r="AC16" i="26" s="1"/>
  <c r="AX15" i="26"/>
  <c r="AT15" i="26"/>
  <c r="AN15" i="26"/>
  <c r="AJ15" i="26"/>
  <c r="AA15" i="26"/>
  <c r="V15" i="26"/>
  <c r="U15" i="26"/>
  <c r="K15" i="26"/>
  <c r="J15" i="26"/>
  <c r="AV15" i="26" s="1"/>
  <c r="I15" i="26"/>
  <c r="AL15" i="26" s="1"/>
  <c r="H15" i="26"/>
  <c r="AC15" i="26" s="1"/>
  <c r="AZ14" i="26"/>
  <c r="AW14" i="26" s="1"/>
  <c r="AX14" i="26" s="1"/>
  <c r="AV14" i="26"/>
  <c r="AT14" i="26"/>
  <c r="AM14" i="26"/>
  <c r="AN14" i="26" s="1"/>
  <c r="AL14" i="26"/>
  <c r="AJ14" i="26"/>
  <c r="AC14" i="26"/>
  <c r="AA14" i="26"/>
  <c r="V14" i="26"/>
  <c r="U14" i="26"/>
  <c r="T14" i="26"/>
  <c r="K14" i="26"/>
  <c r="AZ13" i="26"/>
  <c r="AW13" i="26" s="1"/>
  <c r="AX13" i="26" s="1"/>
  <c r="AV13" i="26"/>
  <c r="AT13" i="26"/>
  <c r="AM13" i="26"/>
  <c r="AN13" i="26" s="1"/>
  <c r="AL13" i="26"/>
  <c r="AJ13" i="26"/>
  <c r="AC13" i="26"/>
  <c r="AA13" i="26"/>
  <c r="V13" i="26"/>
  <c r="U13" i="26"/>
  <c r="T13" i="26"/>
  <c r="AZ12" i="26"/>
  <c r="AW12" i="26" s="1"/>
  <c r="AX12" i="26" s="1"/>
  <c r="AV12" i="26"/>
  <c r="AT12" i="26"/>
  <c r="AM12" i="26"/>
  <c r="AN12" i="26" s="1"/>
  <c r="AL12" i="26"/>
  <c r="AJ12" i="26"/>
  <c r="AC12" i="26"/>
  <c r="AA12" i="26"/>
  <c r="V12" i="26"/>
  <c r="T12" i="26"/>
  <c r="L12" i="26"/>
  <c r="U12" i="26" s="1"/>
  <c r="AZ11" i="26"/>
  <c r="AW11" i="26" s="1"/>
  <c r="AX11" i="26" s="1"/>
  <c r="AV11" i="26"/>
  <c r="AT11" i="26"/>
  <c r="AM11" i="26"/>
  <c r="AN11" i="26" s="1"/>
  <c r="AL11" i="26"/>
  <c r="AJ11" i="26"/>
  <c r="AC11" i="26"/>
  <c r="AA11" i="26"/>
  <c r="V11" i="26"/>
  <c r="T11" i="26"/>
  <c r="L11" i="26"/>
  <c r="U11" i="26" s="1"/>
  <c r="AZ10" i="26"/>
  <c r="AW10" i="26" s="1"/>
  <c r="AX10" i="26" s="1"/>
  <c r="AV10" i="26"/>
  <c r="AT10" i="26"/>
  <c r="AM10" i="26"/>
  <c r="AN10" i="26" s="1"/>
  <c r="AL10" i="26"/>
  <c r="AJ10" i="26"/>
  <c r="AC10" i="26"/>
  <c r="AA10" i="26"/>
  <c r="V10" i="26"/>
  <c r="U10" i="26"/>
  <c r="T10" i="26"/>
  <c r="AZ9" i="26"/>
  <c r="AW9" i="26" s="1"/>
  <c r="AX9" i="26" s="1"/>
  <c r="AV9" i="26"/>
  <c r="AT9" i="26"/>
  <c r="AM9" i="26"/>
  <c r="AN9" i="26" s="1"/>
  <c r="AL9" i="26"/>
  <c r="AJ9" i="26"/>
  <c r="AC9" i="26"/>
  <c r="AA9" i="26"/>
  <c r="V9" i="26"/>
  <c r="U9" i="26"/>
  <c r="T9" i="26"/>
  <c r="AZ8" i="26"/>
  <c r="AW8" i="26" s="1"/>
  <c r="AX8" i="26" s="1"/>
  <c r="AV8" i="26"/>
  <c r="AT8" i="26"/>
  <c r="AM8" i="26"/>
  <c r="AN8" i="26" s="1"/>
  <c r="AL8" i="26"/>
  <c r="AJ8" i="26"/>
  <c r="AC8" i="26"/>
  <c r="AA8" i="26"/>
  <c r="V8" i="26"/>
  <c r="U8" i="26"/>
  <c r="T8" i="26"/>
  <c r="AZ7" i="26"/>
  <c r="AW7" i="26" s="1"/>
  <c r="AX7" i="26" s="1"/>
  <c r="AV7" i="26"/>
  <c r="AT7" i="26"/>
  <c r="AM7" i="26"/>
  <c r="AN7" i="26" s="1"/>
  <c r="AJ7" i="26"/>
  <c r="AA7" i="26"/>
  <c r="V7" i="26"/>
  <c r="U7" i="26"/>
  <c r="T7" i="26"/>
  <c r="I7" i="26"/>
  <c r="AL7" i="26" s="1"/>
  <c r="H7" i="26"/>
  <c r="AC7" i="26" s="1"/>
  <c r="AV6" i="26"/>
  <c r="AT6" i="26"/>
  <c r="AJ6" i="26"/>
  <c r="AC6" i="26"/>
  <c r="AA6" i="26"/>
  <c r="V6" i="26"/>
  <c r="I6" i="26"/>
  <c r="AL6" i="26" s="1"/>
  <c r="AV5" i="26"/>
  <c r="AT5" i="26"/>
  <c r="AL5" i="26"/>
  <c r="AJ5" i="26"/>
  <c r="AC5" i="26"/>
  <c r="AA5" i="26"/>
  <c r="V5" i="26"/>
  <c r="AZ4" i="26"/>
  <c r="AW4" i="26" s="1"/>
  <c r="AV4" i="26"/>
  <c r="AT4" i="26"/>
  <c r="AM4" i="26"/>
  <c r="AM5" i="26" s="1"/>
  <c r="AN5" i="26" s="1"/>
  <c r="AJ4" i="26"/>
  <c r="AA4" i="26"/>
  <c r="V4" i="26"/>
  <c r="U4" i="26"/>
  <c r="T4" i="26"/>
  <c r="T6" i="26" s="1"/>
  <c r="I4" i="26"/>
  <c r="AL4" i="26" s="1"/>
  <c r="H4" i="26"/>
  <c r="AC4" i="26" s="1"/>
  <c r="Q23" i="26" l="1"/>
  <c r="P23" i="26" s="1"/>
  <c r="Q7" i="26"/>
  <c r="P7" i="26" s="1"/>
  <c r="Z30" i="26"/>
  <c r="X30" i="26" s="1"/>
  <c r="Q21" i="26"/>
  <c r="P21" i="26" s="1"/>
  <c r="AI18" i="26"/>
  <c r="AG18" i="26" s="1"/>
  <c r="AS26" i="26"/>
  <c r="AQ26" i="26" s="1"/>
  <c r="Q12" i="26"/>
  <c r="P12" i="26" s="1"/>
  <c r="AS19" i="26"/>
  <c r="AQ19" i="26" s="1"/>
  <c r="Z4" i="26"/>
  <c r="X4" i="26" s="1"/>
  <c r="Z13" i="26"/>
  <c r="X13" i="26" s="1"/>
  <c r="AI17" i="26"/>
  <c r="AG17" i="26" s="1"/>
  <c r="AI9" i="26"/>
  <c r="AG9" i="26" s="1"/>
  <c r="AI14" i="26"/>
  <c r="AG14" i="26" s="1"/>
  <c r="AS18" i="26"/>
  <c r="AQ18" i="26" s="1"/>
  <c r="AI29" i="26"/>
  <c r="AG29" i="26" s="1"/>
  <c r="Q15" i="26"/>
  <c r="P15" i="26" s="1"/>
  <c r="AI25" i="26"/>
  <c r="AG25" i="26" s="1"/>
  <c r="AI10" i="26"/>
  <c r="AG10" i="26" s="1"/>
  <c r="AI8" i="26"/>
  <c r="AG8" i="26" s="1"/>
  <c r="AI13" i="26"/>
  <c r="AG13" i="26" s="1"/>
  <c r="Q18" i="26"/>
  <c r="P18" i="26" s="1"/>
  <c r="AI19" i="26"/>
  <c r="AG19" i="26" s="1"/>
  <c r="AI24" i="26"/>
  <c r="AG24" i="26" s="1"/>
  <c r="AS10" i="26"/>
  <c r="AQ10" i="26" s="1"/>
  <c r="AI22" i="26"/>
  <c r="AG22" i="26" s="1"/>
  <c r="Q13" i="26"/>
  <c r="P13" i="26" s="1"/>
  <c r="AS17" i="26"/>
  <c r="AQ17" i="26" s="1"/>
  <c r="Q11" i="26"/>
  <c r="P11" i="26" s="1"/>
  <c r="Z28" i="26"/>
  <c r="X28" i="26" s="1"/>
  <c r="AS4" i="26"/>
  <c r="AQ4" i="26" s="1"/>
  <c r="Q22" i="26"/>
  <c r="P22" i="26" s="1"/>
  <c r="Z9" i="26"/>
  <c r="X9" i="26" s="1"/>
  <c r="AI27" i="26"/>
  <c r="AG27" i="26" s="1"/>
  <c r="AS27" i="26"/>
  <c r="AQ27" i="26" s="1"/>
  <c r="Q20" i="26"/>
  <c r="P20" i="26" s="1"/>
  <c r="Q24" i="26"/>
  <c r="P24" i="26" s="1"/>
  <c r="AS5" i="26"/>
  <c r="AQ5" i="26" s="1"/>
  <c r="AI7" i="26"/>
  <c r="AG7" i="26" s="1"/>
  <c r="Q9" i="26"/>
  <c r="P9" i="26" s="1"/>
  <c r="AS9" i="26"/>
  <c r="AQ9" i="26" s="1"/>
  <c r="AS16" i="26"/>
  <c r="AQ16" i="26" s="1"/>
  <c r="AS24" i="26"/>
  <c r="AQ24" i="26" s="1"/>
  <c r="AI30" i="26"/>
  <c r="AG30" i="26" s="1"/>
  <c r="Q17" i="26"/>
  <c r="P17" i="26" s="1"/>
  <c r="AS6" i="26"/>
  <c r="AQ6" i="26" s="1"/>
  <c r="AS20" i="26"/>
  <c r="AQ20" i="26" s="1"/>
  <c r="AS11" i="26"/>
  <c r="AQ11" i="26" s="1"/>
  <c r="AS13" i="26"/>
  <c r="AQ13" i="26" s="1"/>
  <c r="Q16" i="26"/>
  <c r="P16" i="26" s="1"/>
  <c r="Z12" i="26"/>
  <c r="X12" i="26" s="1"/>
  <c r="Z14" i="26"/>
  <c r="X14" i="26" s="1"/>
  <c r="Q10" i="26"/>
  <c r="P10" i="26" s="1"/>
  <c r="AI11" i="26"/>
  <c r="AG11" i="26" s="1"/>
  <c r="Z27" i="26"/>
  <c r="X27" i="26" s="1"/>
  <c r="Q30" i="26"/>
  <c r="P30" i="26" s="1"/>
  <c r="AS14" i="26"/>
  <c r="AQ14" i="26" s="1"/>
  <c r="Q8" i="26"/>
  <c r="P8" i="26" s="1"/>
  <c r="Q19" i="26"/>
  <c r="P19" i="26" s="1"/>
  <c r="AI28" i="26"/>
  <c r="AG28" i="26" s="1"/>
  <c r="AI5" i="26"/>
  <c r="AG5" i="26" s="1"/>
  <c r="AS8" i="26"/>
  <c r="AQ8" i="26" s="1"/>
  <c r="AI16" i="26"/>
  <c r="AG16" i="26" s="1"/>
  <c r="AS28" i="26"/>
  <c r="AQ28" i="26" s="1"/>
  <c r="Q29" i="26"/>
  <c r="P29" i="26" s="1"/>
  <c r="AM6" i="26"/>
  <c r="AN6" i="26" s="1"/>
  <c r="AS7" i="26"/>
  <c r="AQ7" i="26" s="1"/>
  <c r="AS12" i="26"/>
  <c r="AQ12" i="26" s="1"/>
  <c r="AI15" i="26"/>
  <c r="AG15" i="26" s="1"/>
  <c r="AI23" i="26"/>
  <c r="AG23" i="26" s="1"/>
  <c r="AS25" i="26"/>
  <c r="AQ25" i="26" s="1"/>
  <c r="Q28" i="26"/>
  <c r="P28" i="26" s="1"/>
  <c r="AS30" i="26"/>
  <c r="AQ30" i="26" s="1"/>
  <c r="Z7" i="26"/>
  <c r="X7" i="26" s="1"/>
  <c r="AS15" i="26"/>
  <c r="AQ15" i="26" s="1"/>
  <c r="AS23" i="26"/>
  <c r="AQ23" i="26" s="1"/>
  <c r="Z25" i="26"/>
  <c r="X25" i="26" s="1"/>
  <c r="Z8" i="26"/>
  <c r="X8" i="26" s="1"/>
  <c r="AI4" i="26"/>
  <c r="AG4" i="26" s="1"/>
  <c r="AI6" i="26"/>
  <c r="AG6" i="26" s="1"/>
  <c r="AI21" i="26"/>
  <c r="AG21" i="26" s="1"/>
  <c r="AS22" i="26"/>
  <c r="AQ22" i="26" s="1"/>
  <c r="AI26" i="26"/>
  <c r="AG26" i="26" s="1"/>
  <c r="Z11" i="26"/>
  <c r="X11" i="26" s="1"/>
  <c r="AI20" i="26"/>
  <c r="AG20" i="26" s="1"/>
  <c r="AS21" i="26"/>
  <c r="AQ21" i="26" s="1"/>
  <c r="Z26" i="26"/>
  <c r="X26" i="26" s="1"/>
  <c r="Z6" i="26"/>
  <c r="X6" i="26" s="1"/>
  <c r="AS29" i="26"/>
  <c r="AQ29" i="26" s="1"/>
  <c r="Z24" i="26"/>
  <c r="X24" i="26" s="1"/>
  <c r="AW6" i="26"/>
  <c r="AX6" i="26" s="1"/>
  <c r="AW5" i="26"/>
  <c r="AX5" i="26" s="1"/>
  <c r="AX4" i="26"/>
  <c r="Z29" i="26"/>
  <c r="X29" i="26" s="1"/>
  <c r="Z19" i="26"/>
  <c r="X19" i="26" s="1"/>
  <c r="Z22" i="26"/>
  <c r="X22" i="26" s="1"/>
  <c r="Q4" i="26"/>
  <c r="P4" i="26" s="1"/>
  <c r="U6" i="26"/>
  <c r="Q6" i="26" s="1"/>
  <c r="P6" i="26" s="1"/>
  <c r="T5" i="26"/>
  <c r="Z10" i="26"/>
  <c r="X10" i="26" s="1"/>
  <c r="Z15" i="26"/>
  <c r="X15" i="26" s="1"/>
  <c r="Z16" i="26"/>
  <c r="X16" i="26" s="1"/>
  <c r="Z17" i="26"/>
  <c r="X17" i="26" s="1"/>
  <c r="Z18" i="26"/>
  <c r="X18" i="26" s="1"/>
  <c r="Z20" i="26"/>
  <c r="X20" i="26" s="1"/>
  <c r="Z21" i="26"/>
  <c r="X21" i="26" s="1"/>
  <c r="U5" i="26"/>
  <c r="Q5" i="26" s="1"/>
  <c r="P5" i="26" s="1"/>
  <c r="Z5" i="26"/>
  <c r="X5" i="26" s="1"/>
  <c r="AI12" i="26"/>
  <c r="AG12" i="26" s="1"/>
  <c r="Z23" i="26"/>
  <c r="X23" i="26" s="1"/>
  <c r="Q14" i="26"/>
  <c r="P14" i="26" s="1"/>
  <c r="AN4" i="26"/>
  <c r="AE24" i="25" l="1"/>
  <c r="AA22" i="25"/>
  <c r="AE22" i="25" s="1"/>
  <c r="AA21" i="25"/>
  <c r="AA20" i="25"/>
  <c r="AA19" i="25"/>
  <c r="AE19" i="25" s="1"/>
  <c r="AA18" i="25"/>
  <c r="AE18" i="25" s="1"/>
  <c r="AA17" i="25"/>
  <c r="AE17" i="25" s="1"/>
  <c r="AA16" i="25"/>
  <c r="AE16" i="25" s="1"/>
  <c r="AX30" i="25"/>
  <c r="AT30" i="25"/>
  <c r="AN30" i="25"/>
  <c r="AJ30" i="25"/>
  <c r="AA30" i="25"/>
  <c r="AE30" i="25" s="1"/>
  <c r="V30" i="25"/>
  <c r="U30" i="25"/>
  <c r="J30" i="25"/>
  <c r="AV30" i="25" s="1"/>
  <c r="I30" i="25"/>
  <c r="AL30" i="25" s="1"/>
  <c r="H30" i="25"/>
  <c r="AC30" i="25" s="1"/>
  <c r="AX29" i="25"/>
  <c r="AT29" i="25"/>
  <c r="AN29" i="25"/>
  <c r="AJ29" i="25"/>
  <c r="AA29" i="25"/>
  <c r="AE29" i="25" s="1"/>
  <c r="V29" i="25"/>
  <c r="U29" i="25"/>
  <c r="J29" i="25"/>
  <c r="AV29" i="25" s="1"/>
  <c r="I29" i="25"/>
  <c r="AL29" i="25" s="1"/>
  <c r="H29" i="25"/>
  <c r="AC29" i="25" s="1"/>
  <c r="AX28" i="25"/>
  <c r="AT28" i="25"/>
  <c r="AN28" i="25"/>
  <c r="AJ28" i="25"/>
  <c r="AA28" i="25"/>
  <c r="AE28" i="25" s="1"/>
  <c r="V28" i="25"/>
  <c r="U28" i="25"/>
  <c r="J28" i="25"/>
  <c r="AV28" i="25" s="1"/>
  <c r="I28" i="25"/>
  <c r="AL28" i="25" s="1"/>
  <c r="H28" i="25"/>
  <c r="AC28" i="25" s="1"/>
  <c r="AX27" i="25"/>
  <c r="AV27" i="25"/>
  <c r="AT27" i="25"/>
  <c r="AN27" i="25"/>
  <c r="AL27" i="25"/>
  <c r="AJ27" i="25"/>
  <c r="AA27" i="25"/>
  <c r="AE27" i="25" s="1"/>
  <c r="V27" i="25"/>
  <c r="Q27" i="25" s="1"/>
  <c r="P27" i="25" s="1"/>
  <c r="H27" i="25"/>
  <c r="AC27" i="25" s="1"/>
  <c r="AX26" i="25"/>
  <c r="AV26" i="25"/>
  <c r="AT26" i="25"/>
  <c r="AN26" i="25"/>
  <c r="AL26" i="25"/>
  <c r="AJ26" i="25"/>
  <c r="AA26" i="25"/>
  <c r="AE26" i="25" s="1"/>
  <c r="V26" i="25"/>
  <c r="Q26" i="25" s="1"/>
  <c r="P26" i="25" s="1"/>
  <c r="H26" i="25"/>
  <c r="AC26" i="25" s="1"/>
  <c r="AX25" i="25"/>
  <c r="AV25" i="25"/>
  <c r="AT25" i="25"/>
  <c r="AN25" i="25"/>
  <c r="AL25" i="25"/>
  <c r="AJ25" i="25"/>
  <c r="AA25" i="25"/>
  <c r="AE25" i="25" s="1"/>
  <c r="V25" i="25"/>
  <c r="Q25" i="25" s="1"/>
  <c r="P25" i="25" s="1"/>
  <c r="H25" i="25"/>
  <c r="AC25" i="25" s="1"/>
  <c r="AX24" i="25"/>
  <c r="AV24" i="25"/>
  <c r="AN24" i="25"/>
  <c r="V24" i="25"/>
  <c r="U24" i="25"/>
  <c r="K24" i="25"/>
  <c r="I24" i="25"/>
  <c r="AL24" i="25" s="1"/>
  <c r="H24" i="25"/>
  <c r="AC24" i="25" s="1"/>
  <c r="AX23" i="25"/>
  <c r="AT23" i="25"/>
  <c r="AN23" i="25"/>
  <c r="AJ23" i="25"/>
  <c r="AA23" i="25"/>
  <c r="AE23" i="25" s="1"/>
  <c r="V23" i="25"/>
  <c r="U23" i="25"/>
  <c r="K23" i="25"/>
  <c r="J23" i="25"/>
  <c r="AV23" i="25" s="1"/>
  <c r="I23" i="25"/>
  <c r="AL23" i="25" s="1"/>
  <c r="H23" i="25"/>
  <c r="AC23" i="25" s="1"/>
  <c r="AX22" i="25"/>
  <c r="AT22" i="25"/>
  <c r="AN22" i="25"/>
  <c r="AJ22" i="25"/>
  <c r="V22" i="25"/>
  <c r="U22" i="25"/>
  <c r="K22" i="25"/>
  <c r="J22" i="25"/>
  <c r="AV22" i="25" s="1"/>
  <c r="I22" i="25"/>
  <c r="AL22" i="25" s="1"/>
  <c r="H22" i="25"/>
  <c r="AC22" i="25" s="1"/>
  <c r="AX21" i="25"/>
  <c r="AT21" i="25"/>
  <c r="AN21" i="25"/>
  <c r="AJ21" i="25"/>
  <c r="AE21" i="25"/>
  <c r="V21" i="25"/>
  <c r="U21" i="25"/>
  <c r="K21" i="25"/>
  <c r="J21" i="25"/>
  <c r="AV21" i="25" s="1"/>
  <c r="AS21" i="25" s="1"/>
  <c r="AQ21" i="25" s="1"/>
  <c r="I21" i="25"/>
  <c r="AL21" i="25" s="1"/>
  <c r="H21" i="25"/>
  <c r="AC21" i="25" s="1"/>
  <c r="AX20" i="25"/>
  <c r="AT20" i="25"/>
  <c r="AN20" i="25"/>
  <c r="AJ20" i="25"/>
  <c r="AE20" i="25"/>
  <c r="V20" i="25"/>
  <c r="U20" i="25"/>
  <c r="K20" i="25"/>
  <c r="J20" i="25"/>
  <c r="AV20" i="25" s="1"/>
  <c r="I20" i="25"/>
  <c r="AL20" i="25" s="1"/>
  <c r="H20" i="25"/>
  <c r="AC20" i="25" s="1"/>
  <c r="AX19" i="25"/>
  <c r="AT19" i="25"/>
  <c r="AN19" i="25"/>
  <c r="AJ19" i="25"/>
  <c r="V19" i="25"/>
  <c r="U19" i="25"/>
  <c r="K19" i="25"/>
  <c r="J19" i="25"/>
  <c r="AV19" i="25" s="1"/>
  <c r="I19" i="25"/>
  <c r="AL19" i="25" s="1"/>
  <c r="H19" i="25"/>
  <c r="AC19" i="25" s="1"/>
  <c r="AX18" i="25"/>
  <c r="AT18" i="25"/>
  <c r="AN18" i="25"/>
  <c r="AJ18" i="25"/>
  <c r="V18" i="25"/>
  <c r="U18" i="25"/>
  <c r="K18" i="25"/>
  <c r="J18" i="25"/>
  <c r="AV18" i="25" s="1"/>
  <c r="I18" i="25"/>
  <c r="AL18" i="25" s="1"/>
  <c r="H18" i="25"/>
  <c r="AC18" i="25" s="1"/>
  <c r="AX17" i="25"/>
  <c r="AT17" i="25"/>
  <c r="AN17" i="25"/>
  <c r="AJ17" i="25"/>
  <c r="V17" i="25"/>
  <c r="U17" i="25"/>
  <c r="K17" i="25"/>
  <c r="J17" i="25"/>
  <c r="AV17" i="25" s="1"/>
  <c r="I17" i="25"/>
  <c r="AL17" i="25" s="1"/>
  <c r="H17" i="25"/>
  <c r="AC17" i="25" s="1"/>
  <c r="AX16" i="25"/>
  <c r="AT16" i="25"/>
  <c r="AN16" i="25"/>
  <c r="AJ16" i="25"/>
  <c r="V16" i="25"/>
  <c r="U16" i="25"/>
  <c r="K16" i="25"/>
  <c r="J16" i="25"/>
  <c r="AV16" i="25" s="1"/>
  <c r="I16" i="25"/>
  <c r="AL16" i="25" s="1"/>
  <c r="H16" i="25"/>
  <c r="AC16" i="25" s="1"/>
  <c r="AX15" i="25"/>
  <c r="AT15" i="25"/>
  <c r="AN15" i="25"/>
  <c r="AJ15" i="25"/>
  <c r="V15" i="25"/>
  <c r="U15" i="25"/>
  <c r="K15" i="25"/>
  <c r="J15" i="25"/>
  <c r="AV15" i="25" s="1"/>
  <c r="I15" i="25"/>
  <c r="AL15" i="25" s="1"/>
  <c r="H15" i="25"/>
  <c r="AC15" i="25" s="1"/>
  <c r="Z15" i="25" s="1"/>
  <c r="X15" i="25" s="1"/>
  <c r="AZ14" i="25"/>
  <c r="AW14" i="25" s="1"/>
  <c r="AX14" i="25" s="1"/>
  <c r="AV14" i="25"/>
  <c r="AT14" i="25"/>
  <c r="AM14" i="25"/>
  <c r="AN14" i="25" s="1"/>
  <c r="AL14" i="25"/>
  <c r="AJ14" i="25"/>
  <c r="AC14" i="25"/>
  <c r="AA14" i="25"/>
  <c r="AE14" i="25" s="1"/>
  <c r="V14" i="25"/>
  <c r="U14" i="25"/>
  <c r="T14" i="25"/>
  <c r="K14" i="25"/>
  <c r="AZ13" i="25"/>
  <c r="AW13" i="25" s="1"/>
  <c r="AX13" i="25" s="1"/>
  <c r="AV13" i="25"/>
  <c r="AT13" i="25"/>
  <c r="AM13" i="25"/>
  <c r="AN13" i="25" s="1"/>
  <c r="AL13" i="25"/>
  <c r="AJ13" i="25"/>
  <c r="AC13" i="25"/>
  <c r="AA13" i="25"/>
  <c r="AE13" i="25" s="1"/>
  <c r="V13" i="25"/>
  <c r="U13" i="25"/>
  <c r="T13" i="25"/>
  <c r="AZ12" i="25"/>
  <c r="AW12" i="25" s="1"/>
  <c r="AX12" i="25" s="1"/>
  <c r="AV12" i="25"/>
  <c r="AT12" i="25"/>
  <c r="AM12" i="25"/>
  <c r="AN12" i="25" s="1"/>
  <c r="AL12" i="25"/>
  <c r="AJ12" i="25"/>
  <c r="AC12" i="25"/>
  <c r="AA12" i="25"/>
  <c r="AE12" i="25" s="1"/>
  <c r="V12" i="25"/>
  <c r="T12" i="25"/>
  <c r="L12" i="25"/>
  <c r="U12" i="25" s="1"/>
  <c r="AZ11" i="25"/>
  <c r="AW11" i="25" s="1"/>
  <c r="AX11" i="25" s="1"/>
  <c r="AV11" i="25"/>
  <c r="AT11" i="25"/>
  <c r="AM11" i="25"/>
  <c r="AN11" i="25" s="1"/>
  <c r="AL11" i="25"/>
  <c r="AJ11" i="25"/>
  <c r="AC11" i="25"/>
  <c r="AA11" i="25"/>
  <c r="AE11" i="25" s="1"/>
  <c r="V11" i="25"/>
  <c r="T11" i="25"/>
  <c r="L11" i="25"/>
  <c r="U11" i="25" s="1"/>
  <c r="AZ10" i="25"/>
  <c r="AW10" i="25" s="1"/>
  <c r="AX10" i="25" s="1"/>
  <c r="AV10" i="25"/>
  <c r="AT10" i="25"/>
  <c r="AM10" i="25"/>
  <c r="AN10" i="25" s="1"/>
  <c r="AL10" i="25"/>
  <c r="AJ10" i="25"/>
  <c r="AC10" i="25"/>
  <c r="AA10" i="25"/>
  <c r="AE10" i="25" s="1"/>
  <c r="V10" i="25"/>
  <c r="U10" i="25"/>
  <c r="T10" i="25"/>
  <c r="AZ9" i="25"/>
  <c r="AW9" i="25" s="1"/>
  <c r="AX9" i="25" s="1"/>
  <c r="AV9" i="25"/>
  <c r="AT9" i="25"/>
  <c r="AM9" i="25"/>
  <c r="AN9" i="25" s="1"/>
  <c r="AL9" i="25"/>
  <c r="AJ9" i="25"/>
  <c r="AC9" i="25"/>
  <c r="AA9" i="25"/>
  <c r="AE9" i="25" s="1"/>
  <c r="V9" i="25"/>
  <c r="U9" i="25"/>
  <c r="T9" i="25"/>
  <c r="AZ8" i="25"/>
  <c r="AW8" i="25" s="1"/>
  <c r="AX8" i="25" s="1"/>
  <c r="AV8" i="25"/>
  <c r="AT8" i="25"/>
  <c r="AM8" i="25"/>
  <c r="AN8" i="25" s="1"/>
  <c r="AL8" i="25"/>
  <c r="AJ8" i="25"/>
  <c r="AC8" i="25"/>
  <c r="AA8" i="25"/>
  <c r="AE8" i="25" s="1"/>
  <c r="V8" i="25"/>
  <c r="U8" i="25"/>
  <c r="T8" i="25"/>
  <c r="AZ7" i="25"/>
  <c r="AW7" i="25" s="1"/>
  <c r="AX7" i="25" s="1"/>
  <c r="AV7" i="25"/>
  <c r="AT7" i="25"/>
  <c r="AM7" i="25"/>
  <c r="AN7" i="25" s="1"/>
  <c r="AJ7" i="25"/>
  <c r="AA7" i="25"/>
  <c r="AE7" i="25" s="1"/>
  <c r="V7" i="25"/>
  <c r="U7" i="25"/>
  <c r="T7" i="25"/>
  <c r="I7" i="25"/>
  <c r="AL7" i="25" s="1"/>
  <c r="H7" i="25"/>
  <c r="AC7" i="25" s="1"/>
  <c r="AV6" i="25"/>
  <c r="AT6" i="25"/>
  <c r="AJ6" i="25"/>
  <c r="AC6" i="25"/>
  <c r="AA6" i="25"/>
  <c r="AE6" i="25" s="1"/>
  <c r="V6" i="25"/>
  <c r="I6" i="25"/>
  <c r="AL6" i="25" s="1"/>
  <c r="AV5" i="25"/>
  <c r="AT5" i="25"/>
  <c r="AL5" i="25"/>
  <c r="AJ5" i="25"/>
  <c r="AC5" i="25"/>
  <c r="AA5" i="25"/>
  <c r="AE5" i="25" s="1"/>
  <c r="V5" i="25"/>
  <c r="AZ4" i="25"/>
  <c r="AW4" i="25" s="1"/>
  <c r="AW6" i="25" s="1"/>
  <c r="AX6" i="25" s="1"/>
  <c r="AV4" i="25"/>
  <c r="AS4" i="25" s="1"/>
  <c r="AQ4" i="25" s="1"/>
  <c r="AT4" i="25"/>
  <c r="AM4" i="25"/>
  <c r="AM6" i="25" s="1"/>
  <c r="AN6" i="25" s="1"/>
  <c r="AJ4" i="25"/>
  <c r="AA4" i="25"/>
  <c r="AE4" i="25" s="1"/>
  <c r="V4" i="25"/>
  <c r="U4" i="25"/>
  <c r="T4" i="25"/>
  <c r="T6" i="25" s="1"/>
  <c r="I4" i="25"/>
  <c r="AL4" i="25" s="1"/>
  <c r="H4" i="25"/>
  <c r="AC4" i="25" s="1"/>
  <c r="AI6" i="25" l="1"/>
  <c r="AG6" i="25" s="1"/>
  <c r="AS30" i="25"/>
  <c r="AQ30" i="25" s="1"/>
  <c r="AI20" i="25"/>
  <c r="AG20" i="25" s="1"/>
  <c r="AS22" i="25"/>
  <c r="AQ22" i="25" s="1"/>
  <c r="AS16" i="25"/>
  <c r="AQ16" i="25" s="1"/>
  <c r="Q9" i="25"/>
  <c r="P9" i="25" s="1"/>
  <c r="Q10" i="25"/>
  <c r="P10" i="25" s="1"/>
  <c r="AI10" i="25"/>
  <c r="AG10" i="25" s="1"/>
  <c r="AS17" i="25"/>
  <c r="AQ17" i="25" s="1"/>
  <c r="AI23" i="25"/>
  <c r="AG23" i="25" s="1"/>
  <c r="AI26" i="25"/>
  <c r="AG26" i="25" s="1"/>
  <c r="AI18" i="25"/>
  <c r="AG18" i="25" s="1"/>
  <c r="AS28" i="25"/>
  <c r="AQ28" i="25" s="1"/>
  <c r="AS7" i="25"/>
  <c r="AQ7" i="25" s="1"/>
  <c r="AS8" i="25"/>
  <c r="AQ8" i="25" s="1"/>
  <c r="AI15" i="25"/>
  <c r="AG15" i="25" s="1"/>
  <c r="Z8" i="25"/>
  <c r="X8" i="25" s="1"/>
  <c r="AS11" i="25"/>
  <c r="AQ11" i="25" s="1"/>
  <c r="AI16" i="25"/>
  <c r="AG16" i="25" s="1"/>
  <c r="AS18" i="25"/>
  <c r="AQ18" i="25" s="1"/>
  <c r="AI21" i="25"/>
  <c r="AG21" i="25" s="1"/>
  <c r="AI28" i="25"/>
  <c r="AG28" i="25" s="1"/>
  <c r="Q7" i="25"/>
  <c r="P7" i="25" s="1"/>
  <c r="AS12" i="25"/>
  <c r="AQ12" i="25" s="1"/>
  <c r="AI17" i="25"/>
  <c r="AG17" i="25" s="1"/>
  <c r="AS19" i="25"/>
  <c r="AQ19" i="25" s="1"/>
  <c r="Q24" i="25"/>
  <c r="P24" i="25" s="1"/>
  <c r="AS6" i="25"/>
  <c r="AQ6" i="25" s="1"/>
  <c r="AI22" i="25"/>
  <c r="AG22" i="25" s="1"/>
  <c r="AS29" i="25"/>
  <c r="AQ29" i="25" s="1"/>
  <c r="Q29" i="25"/>
  <c r="P29" i="25" s="1"/>
  <c r="AI12" i="25"/>
  <c r="AG12" i="25" s="1"/>
  <c r="AI7" i="25"/>
  <c r="AG7" i="25" s="1"/>
  <c r="Q28" i="25"/>
  <c r="P28" i="25" s="1"/>
  <c r="Q12" i="25"/>
  <c r="P12" i="25" s="1"/>
  <c r="AS15" i="25"/>
  <c r="AQ15" i="25" s="1"/>
  <c r="AI19" i="25"/>
  <c r="AG19" i="25" s="1"/>
  <c r="AI24" i="25"/>
  <c r="AG24" i="25" s="1"/>
  <c r="AS26" i="25"/>
  <c r="AQ26" i="25" s="1"/>
  <c r="AI27" i="25"/>
  <c r="AG27" i="25" s="1"/>
  <c r="AI9" i="25"/>
  <c r="AG9" i="25" s="1"/>
  <c r="AS10" i="25"/>
  <c r="AQ10" i="25" s="1"/>
  <c r="AI14" i="25"/>
  <c r="AG14" i="25" s="1"/>
  <c r="AS24" i="25"/>
  <c r="AQ24" i="25" s="1"/>
  <c r="AI25" i="25"/>
  <c r="AG25" i="25" s="1"/>
  <c r="AI29" i="25"/>
  <c r="AG29" i="25" s="1"/>
  <c r="AS5" i="25"/>
  <c r="AQ5" i="25" s="1"/>
  <c r="AI4" i="25"/>
  <c r="AG4" i="25" s="1"/>
  <c r="AI8" i="25"/>
  <c r="AG8" i="25" s="1"/>
  <c r="AS9" i="25"/>
  <c r="AQ9" i="25" s="1"/>
  <c r="Q11" i="25"/>
  <c r="P11" i="25" s="1"/>
  <c r="AS14" i="25"/>
  <c r="AQ14" i="25" s="1"/>
  <c r="Q21" i="25"/>
  <c r="P21" i="25" s="1"/>
  <c r="AS23" i="25"/>
  <c r="AQ23" i="25" s="1"/>
  <c r="AS25" i="25"/>
  <c r="AQ25" i="25" s="1"/>
  <c r="AI30" i="25"/>
  <c r="AG30" i="25" s="1"/>
  <c r="AI11" i="25"/>
  <c r="AG11" i="25" s="1"/>
  <c r="AI13" i="25"/>
  <c r="AG13" i="25" s="1"/>
  <c r="AS27" i="25"/>
  <c r="AQ27" i="25" s="1"/>
  <c r="Q4" i="25"/>
  <c r="P4" i="25" s="1"/>
  <c r="AS20" i="25"/>
  <c r="AQ20" i="25" s="1"/>
  <c r="T5" i="25"/>
  <c r="Q18" i="25"/>
  <c r="P18" i="25" s="1"/>
  <c r="Q8" i="25"/>
  <c r="P8" i="25" s="1"/>
  <c r="Q15" i="25"/>
  <c r="P15" i="25" s="1"/>
  <c r="Z24" i="25"/>
  <c r="X24" i="25" s="1"/>
  <c r="Q17" i="25"/>
  <c r="P17" i="25" s="1"/>
  <c r="Z18" i="25"/>
  <c r="X18" i="25" s="1"/>
  <c r="Z21" i="25"/>
  <c r="X21" i="25" s="1"/>
  <c r="Q23" i="25"/>
  <c r="P23" i="25" s="1"/>
  <c r="Z13" i="25"/>
  <c r="X13" i="25" s="1"/>
  <c r="Z26" i="25"/>
  <c r="X26" i="25" s="1"/>
  <c r="Z20" i="25"/>
  <c r="X20" i="25" s="1"/>
  <c r="Z28" i="25"/>
  <c r="X28" i="25" s="1"/>
  <c r="Z30" i="25"/>
  <c r="X30" i="25" s="1"/>
  <c r="Z12" i="25"/>
  <c r="X12" i="25" s="1"/>
  <c r="Q19" i="25"/>
  <c r="P19" i="25" s="1"/>
  <c r="AI5" i="25"/>
  <c r="AG5" i="25" s="1"/>
  <c r="Z4" i="25"/>
  <c r="X4" i="25" s="1"/>
  <c r="Z10" i="25"/>
  <c r="X10" i="25" s="1"/>
  <c r="AM5" i="25"/>
  <c r="AN5" i="25" s="1"/>
  <c r="Q13" i="25"/>
  <c r="P13" i="25" s="1"/>
  <c r="AX4" i="25"/>
  <c r="Q20" i="25"/>
  <c r="P20" i="25" s="1"/>
  <c r="AN4" i="25"/>
  <c r="Q14" i="25"/>
  <c r="P14" i="25" s="1"/>
  <c r="Q16" i="25"/>
  <c r="P16" i="25" s="1"/>
  <c r="Z17" i="25"/>
  <c r="X17" i="25" s="1"/>
  <c r="AS13" i="25"/>
  <c r="AQ13" i="25" s="1"/>
  <c r="Q22" i="25"/>
  <c r="P22" i="25" s="1"/>
  <c r="Q30" i="25"/>
  <c r="P30" i="25" s="1"/>
  <c r="Z16" i="25"/>
  <c r="X16" i="25" s="1"/>
  <c r="Z5" i="25"/>
  <c r="X5" i="25" s="1"/>
  <c r="AW5" i="25"/>
  <c r="AX5" i="25" s="1"/>
  <c r="Z7" i="25"/>
  <c r="X7" i="25" s="1"/>
  <c r="Z22" i="25"/>
  <c r="X22" i="25" s="1"/>
  <c r="Z19" i="25"/>
  <c r="X19" i="25" s="1"/>
  <c r="Z25" i="25"/>
  <c r="X25" i="25" s="1"/>
  <c r="Z29" i="25"/>
  <c r="X29" i="25" s="1"/>
  <c r="Z6" i="25"/>
  <c r="X6" i="25" s="1"/>
  <c r="Z9" i="25"/>
  <c r="X9" i="25" s="1"/>
  <c r="Z11" i="25"/>
  <c r="X11" i="25" s="1"/>
  <c r="Z23" i="25"/>
  <c r="X23" i="25" s="1"/>
  <c r="Z27" i="25"/>
  <c r="X27" i="25" s="1"/>
  <c r="Z14" i="25"/>
  <c r="X14" i="25" s="1"/>
  <c r="U5" i="25"/>
  <c r="Q5" i="25" s="1"/>
  <c r="P5" i="25" s="1"/>
  <c r="U6" i="25"/>
  <c r="Q6" i="25" s="1"/>
  <c r="P6" i="25" s="1"/>
  <c r="AA8" i="19"/>
  <c r="AE8" i="19" s="1"/>
  <c r="AA13" i="19"/>
  <c r="AE13" i="19" s="1"/>
  <c r="AA12" i="19"/>
  <c r="AE12" i="19" s="1"/>
  <c r="AA11" i="19"/>
  <c r="AE11" i="19" s="1"/>
  <c r="AA6" i="19"/>
  <c r="AE6" i="19" s="1"/>
  <c r="AA5" i="19"/>
  <c r="AE5" i="19" s="1"/>
  <c r="AA4" i="19"/>
  <c r="AE4" i="19" s="1"/>
  <c r="AU30" i="19"/>
  <c r="AU29" i="19"/>
  <c r="AU28" i="19"/>
  <c r="AU27" i="19"/>
  <c r="AU26" i="19"/>
  <c r="AU25" i="19"/>
  <c r="AU24" i="19"/>
  <c r="AU23" i="19"/>
  <c r="AU22" i="19"/>
  <c r="AU21" i="19"/>
  <c r="AU20" i="19"/>
  <c r="AU19" i="19"/>
  <c r="AU18" i="19"/>
  <c r="AU17" i="19"/>
  <c r="AU16" i="19"/>
  <c r="AU15" i="19"/>
  <c r="AU14" i="19"/>
  <c r="AU13" i="19"/>
  <c r="AU12" i="19"/>
  <c r="AU11" i="19"/>
  <c r="AU10" i="19"/>
  <c r="AU9" i="19"/>
  <c r="AU8" i="19"/>
  <c r="AU7" i="19"/>
  <c r="AU6" i="19"/>
  <c r="AU5" i="19"/>
  <c r="AU4" i="19"/>
  <c r="AK30" i="19"/>
  <c r="AK29" i="19"/>
  <c r="AK28" i="19"/>
  <c r="AK27" i="19"/>
  <c r="AK26" i="19"/>
  <c r="AK25" i="19"/>
  <c r="AK24" i="19"/>
  <c r="AK23" i="19"/>
  <c r="AK22" i="19"/>
  <c r="AK21" i="19"/>
  <c r="AK20" i="19"/>
  <c r="AK19" i="19"/>
  <c r="AK18" i="19"/>
  <c r="AK17" i="19"/>
  <c r="AK16" i="19"/>
  <c r="AK15" i="19"/>
  <c r="AK14" i="19"/>
  <c r="AK13" i="19"/>
  <c r="AK12" i="19"/>
  <c r="AK11" i="19"/>
  <c r="AK10" i="19"/>
  <c r="AK9" i="19"/>
  <c r="AK8" i="19"/>
  <c r="AK7" i="19"/>
  <c r="AK6" i="19"/>
  <c r="AK5" i="19"/>
  <c r="AK4" i="19"/>
  <c r="AA30" i="19"/>
  <c r="AE30" i="19" s="1"/>
  <c r="AA29" i="19"/>
  <c r="AE29" i="19" s="1"/>
  <c r="AA28" i="19"/>
  <c r="AE28" i="19" s="1"/>
  <c r="AA27" i="19"/>
  <c r="AE27" i="19" s="1"/>
  <c r="AA26" i="19"/>
  <c r="AE26" i="19" s="1"/>
  <c r="AA25" i="19"/>
  <c r="AE25" i="19" s="1"/>
  <c r="AA24" i="19"/>
  <c r="AE24" i="19" s="1"/>
  <c r="AA23" i="19"/>
  <c r="AE23" i="19" s="1"/>
  <c r="AA22" i="19"/>
  <c r="AE22" i="19" s="1"/>
  <c r="AA21" i="19"/>
  <c r="AE21" i="19" s="1"/>
  <c r="AA20" i="19"/>
  <c r="AE20" i="19" s="1"/>
  <c r="AA19" i="19"/>
  <c r="AE19" i="19" s="1"/>
  <c r="AA18" i="19"/>
  <c r="AE18" i="19" s="1"/>
  <c r="AA17" i="19"/>
  <c r="AE17" i="19" s="1"/>
  <c r="AA16" i="19"/>
  <c r="AE16" i="19" s="1"/>
  <c r="AA15" i="19"/>
  <c r="AE15" i="19" s="1"/>
  <c r="AA14" i="19"/>
  <c r="AE14" i="19" s="1"/>
  <c r="AA10" i="19"/>
  <c r="AE10" i="19" s="1"/>
  <c r="AA9" i="19"/>
  <c r="AE9" i="19" s="1"/>
  <c r="AA7" i="19"/>
  <c r="AE7" i="19" s="1"/>
  <c r="T4" i="19"/>
  <c r="AY30" i="19" l="1"/>
  <c r="AO30" i="19"/>
  <c r="V30" i="19"/>
  <c r="U30" i="19"/>
  <c r="Q30" i="19" s="1"/>
  <c r="J30" i="19"/>
  <c r="AW30" i="19" s="1"/>
  <c r="AT30" i="19" s="1"/>
  <c r="I30" i="19"/>
  <c r="AM30" i="19" s="1"/>
  <c r="AJ30" i="19" s="1"/>
  <c r="H30" i="19"/>
  <c r="AC30" i="19" s="1"/>
  <c r="AY29" i="19"/>
  <c r="AO29" i="19"/>
  <c r="V29" i="19"/>
  <c r="U29" i="19"/>
  <c r="J29" i="19"/>
  <c r="AW29" i="19" s="1"/>
  <c r="AT29" i="19" s="1"/>
  <c r="I29" i="19"/>
  <c r="AM29" i="19" s="1"/>
  <c r="AJ29" i="19" s="1"/>
  <c r="H29" i="19"/>
  <c r="AC29" i="19" s="1"/>
  <c r="AY28" i="19"/>
  <c r="AO28" i="19"/>
  <c r="V28" i="19"/>
  <c r="U28" i="19"/>
  <c r="J28" i="19"/>
  <c r="AW28" i="19" s="1"/>
  <c r="AT28" i="19" s="1"/>
  <c r="I28" i="19"/>
  <c r="AM28" i="19" s="1"/>
  <c r="AJ28" i="19" s="1"/>
  <c r="H28" i="19"/>
  <c r="AC28" i="19" s="1"/>
  <c r="Z28" i="19" s="1"/>
  <c r="AY27" i="19"/>
  <c r="AW27" i="19"/>
  <c r="AT27" i="19" s="1"/>
  <c r="AO27" i="19"/>
  <c r="AM27" i="19"/>
  <c r="AJ27" i="19" s="1"/>
  <c r="V27" i="19"/>
  <c r="H27" i="19"/>
  <c r="AC27" i="19" s="1"/>
  <c r="AY26" i="19"/>
  <c r="AW26" i="19"/>
  <c r="AT26" i="19" s="1"/>
  <c r="AO26" i="19"/>
  <c r="AM26" i="19"/>
  <c r="AJ26" i="19" s="1"/>
  <c r="V26" i="19"/>
  <c r="H26" i="19"/>
  <c r="AC26" i="19" s="1"/>
  <c r="AY25" i="19"/>
  <c r="AW25" i="19"/>
  <c r="AT25" i="19" s="1"/>
  <c r="AO25" i="19"/>
  <c r="AM25" i="19"/>
  <c r="AJ25" i="19" s="1"/>
  <c r="V25" i="19"/>
  <c r="H25" i="19"/>
  <c r="AC25" i="19" s="1"/>
  <c r="AY24" i="19"/>
  <c r="AW24" i="19"/>
  <c r="AT24" i="19" s="1"/>
  <c r="AO24" i="19"/>
  <c r="V24" i="19"/>
  <c r="U24" i="19"/>
  <c r="K24" i="19"/>
  <c r="I24" i="19"/>
  <c r="AM24" i="19" s="1"/>
  <c r="H24" i="19"/>
  <c r="AC24" i="19" s="1"/>
  <c r="AY23" i="19"/>
  <c r="AO23" i="19"/>
  <c r="V23" i="19"/>
  <c r="U23" i="19"/>
  <c r="K23" i="19"/>
  <c r="J23" i="19"/>
  <c r="AW23" i="19" s="1"/>
  <c r="AT23" i="19" s="1"/>
  <c r="I23" i="19"/>
  <c r="AM23" i="19" s="1"/>
  <c r="AJ23" i="19" s="1"/>
  <c r="H23" i="19"/>
  <c r="AC23" i="19" s="1"/>
  <c r="AY22" i="19"/>
  <c r="AO22" i="19"/>
  <c r="V22" i="19"/>
  <c r="U22" i="19"/>
  <c r="K22" i="19"/>
  <c r="J22" i="19"/>
  <c r="AW22" i="19" s="1"/>
  <c r="AT22" i="19" s="1"/>
  <c r="I22" i="19"/>
  <c r="AM22" i="19" s="1"/>
  <c r="AJ22" i="19" s="1"/>
  <c r="H22" i="19"/>
  <c r="AC22" i="19" s="1"/>
  <c r="AY21" i="19"/>
  <c r="AO21" i="19"/>
  <c r="V21" i="19"/>
  <c r="U21" i="19"/>
  <c r="K21" i="19"/>
  <c r="J21" i="19"/>
  <c r="AW21" i="19" s="1"/>
  <c r="AT21" i="19" s="1"/>
  <c r="I21" i="19"/>
  <c r="AM21" i="19" s="1"/>
  <c r="AJ21" i="19" s="1"/>
  <c r="H21" i="19"/>
  <c r="AC21" i="19" s="1"/>
  <c r="AY20" i="19"/>
  <c r="AO20" i="19"/>
  <c r="V20" i="19"/>
  <c r="U20" i="19"/>
  <c r="K20" i="19"/>
  <c r="J20" i="19"/>
  <c r="AW20" i="19" s="1"/>
  <c r="AT20" i="19" s="1"/>
  <c r="I20" i="19"/>
  <c r="AM20" i="19" s="1"/>
  <c r="H20" i="19"/>
  <c r="AC20" i="19" s="1"/>
  <c r="AY19" i="19"/>
  <c r="AO19" i="19"/>
  <c r="V19" i="19"/>
  <c r="U19" i="19"/>
  <c r="K19" i="19"/>
  <c r="J19" i="19"/>
  <c r="AW19" i="19" s="1"/>
  <c r="AT19" i="19" s="1"/>
  <c r="I19" i="19"/>
  <c r="AM19" i="19" s="1"/>
  <c r="AJ19" i="19" s="1"/>
  <c r="H19" i="19"/>
  <c r="AC19" i="19" s="1"/>
  <c r="AY18" i="19"/>
  <c r="AO18" i="19"/>
  <c r="V18" i="19"/>
  <c r="U18" i="19"/>
  <c r="K18" i="19"/>
  <c r="J18" i="19"/>
  <c r="AW18" i="19" s="1"/>
  <c r="AT18" i="19" s="1"/>
  <c r="I18" i="19"/>
  <c r="AM18" i="19" s="1"/>
  <c r="AJ18" i="19" s="1"/>
  <c r="H18" i="19"/>
  <c r="AC18" i="19" s="1"/>
  <c r="AY17" i="19"/>
  <c r="AO17" i="19"/>
  <c r="V17" i="19"/>
  <c r="U17" i="19"/>
  <c r="K17" i="19"/>
  <c r="J17" i="19"/>
  <c r="AW17" i="19" s="1"/>
  <c r="AT17" i="19" s="1"/>
  <c r="I17" i="19"/>
  <c r="AM17" i="19" s="1"/>
  <c r="AJ17" i="19" s="1"/>
  <c r="H17" i="19"/>
  <c r="AC17" i="19" s="1"/>
  <c r="AY16" i="19"/>
  <c r="AO16" i="19"/>
  <c r="V16" i="19"/>
  <c r="U16" i="19"/>
  <c r="K16" i="19"/>
  <c r="J16" i="19"/>
  <c r="AW16" i="19" s="1"/>
  <c r="AT16" i="19" s="1"/>
  <c r="I16" i="19"/>
  <c r="AM16" i="19" s="1"/>
  <c r="H16" i="19"/>
  <c r="AC16" i="19" s="1"/>
  <c r="AY15" i="19"/>
  <c r="AO15" i="19"/>
  <c r="V15" i="19"/>
  <c r="U15" i="19"/>
  <c r="K15" i="19"/>
  <c r="J15" i="19"/>
  <c r="AW15" i="19" s="1"/>
  <c r="AT15" i="19" s="1"/>
  <c r="I15" i="19"/>
  <c r="AM15" i="19" s="1"/>
  <c r="AJ15" i="19" s="1"/>
  <c r="H15" i="19"/>
  <c r="AC15" i="19" s="1"/>
  <c r="BA14" i="19"/>
  <c r="AX14" i="19" s="1"/>
  <c r="AY14" i="19" s="1"/>
  <c r="AW14" i="19"/>
  <c r="AT14" i="19" s="1"/>
  <c r="AN14" i="19"/>
  <c r="AO14" i="19" s="1"/>
  <c r="AM14" i="19"/>
  <c r="AJ14" i="19" s="1"/>
  <c r="AC14" i="19"/>
  <c r="V14" i="19"/>
  <c r="U14" i="19"/>
  <c r="T14" i="19"/>
  <c r="K14" i="19"/>
  <c r="BA13" i="19"/>
  <c r="AX13" i="19" s="1"/>
  <c r="AY13" i="19" s="1"/>
  <c r="AW13" i="19"/>
  <c r="AT13" i="19" s="1"/>
  <c r="AN13" i="19"/>
  <c r="AO13" i="19" s="1"/>
  <c r="AM13" i="19"/>
  <c r="AJ13" i="19" s="1"/>
  <c r="AC13" i="19"/>
  <c r="V13" i="19"/>
  <c r="U13" i="19"/>
  <c r="T13" i="19"/>
  <c r="BA12" i="19"/>
  <c r="AX12" i="19" s="1"/>
  <c r="AY12" i="19" s="1"/>
  <c r="AW12" i="19"/>
  <c r="AT12" i="19" s="1"/>
  <c r="AN12" i="19"/>
  <c r="AO12" i="19" s="1"/>
  <c r="AM12" i="19"/>
  <c r="AJ12" i="19" s="1"/>
  <c r="AC12" i="19"/>
  <c r="Z12" i="19" s="1"/>
  <c r="V12" i="19"/>
  <c r="T12" i="19"/>
  <c r="L12" i="19"/>
  <c r="U12" i="19" s="1"/>
  <c r="BA11" i="19"/>
  <c r="AX11" i="19" s="1"/>
  <c r="AY11" i="19" s="1"/>
  <c r="AW11" i="19"/>
  <c r="AT11" i="19" s="1"/>
  <c r="AN11" i="19"/>
  <c r="AO11" i="19" s="1"/>
  <c r="AM11" i="19"/>
  <c r="AJ11" i="19" s="1"/>
  <c r="AC11" i="19"/>
  <c r="V11" i="19"/>
  <c r="T11" i="19"/>
  <c r="L11" i="19"/>
  <c r="U11" i="19" s="1"/>
  <c r="BA10" i="19"/>
  <c r="AX10" i="19" s="1"/>
  <c r="AY10" i="19" s="1"/>
  <c r="AW10" i="19"/>
  <c r="AT10" i="19" s="1"/>
  <c r="AN10" i="19"/>
  <c r="AO10" i="19" s="1"/>
  <c r="AM10" i="19"/>
  <c r="AJ10" i="19" s="1"/>
  <c r="AC10" i="19"/>
  <c r="Z10" i="19" s="1"/>
  <c r="V10" i="19"/>
  <c r="U10" i="19"/>
  <c r="T10" i="19"/>
  <c r="BA9" i="19"/>
  <c r="AX9" i="19" s="1"/>
  <c r="AY9" i="19" s="1"/>
  <c r="AW9" i="19"/>
  <c r="AT9" i="19" s="1"/>
  <c r="AN9" i="19"/>
  <c r="AO9" i="19" s="1"/>
  <c r="AM9" i="19"/>
  <c r="AJ9" i="19" s="1"/>
  <c r="AC9" i="19"/>
  <c r="V9" i="19"/>
  <c r="U9" i="19"/>
  <c r="T9" i="19"/>
  <c r="BA8" i="19"/>
  <c r="AX8" i="19" s="1"/>
  <c r="AY8" i="19" s="1"/>
  <c r="AW8" i="19"/>
  <c r="AT8" i="19" s="1"/>
  <c r="AN8" i="19"/>
  <c r="AO8" i="19" s="1"/>
  <c r="AM8" i="19"/>
  <c r="AJ8" i="19" s="1"/>
  <c r="AC8" i="19"/>
  <c r="V8" i="19"/>
  <c r="U8" i="19"/>
  <c r="T8" i="19"/>
  <c r="BA7" i="19"/>
  <c r="AX7" i="19" s="1"/>
  <c r="AY7" i="19" s="1"/>
  <c r="AW7" i="19"/>
  <c r="AT7" i="19" s="1"/>
  <c r="AN7" i="19"/>
  <c r="AO7" i="19" s="1"/>
  <c r="V7" i="19"/>
  <c r="U7" i="19"/>
  <c r="T7" i="19"/>
  <c r="I7" i="19"/>
  <c r="AM7" i="19" s="1"/>
  <c r="AJ7" i="19" s="1"/>
  <c r="H7" i="19"/>
  <c r="AC7" i="19" s="1"/>
  <c r="AW6" i="19"/>
  <c r="AT6" i="19" s="1"/>
  <c r="AC6" i="19"/>
  <c r="V6" i="19"/>
  <c r="I6" i="19"/>
  <c r="AM6" i="19" s="1"/>
  <c r="AJ6" i="19" s="1"/>
  <c r="AW5" i="19"/>
  <c r="AT5" i="19" s="1"/>
  <c r="AM5" i="19"/>
  <c r="AJ5" i="19" s="1"/>
  <c r="AC5" i="19"/>
  <c r="V5" i="19"/>
  <c r="BA4" i="19"/>
  <c r="AX4" i="19" s="1"/>
  <c r="AX5" i="19" s="1"/>
  <c r="AY5" i="19" s="1"/>
  <c r="AW4" i="19"/>
  <c r="AT4" i="19" s="1"/>
  <c r="AN4" i="19"/>
  <c r="AN6" i="19" s="1"/>
  <c r="AO6" i="19" s="1"/>
  <c r="V4" i="19"/>
  <c r="U4" i="19"/>
  <c r="T5" i="19"/>
  <c r="I4" i="19"/>
  <c r="AM4" i="19" s="1"/>
  <c r="AJ4" i="19" s="1"/>
  <c r="H4" i="19"/>
  <c r="AC4" i="19" s="1"/>
  <c r="Z4" i="19" s="1"/>
  <c r="X4" i="19" s="1"/>
  <c r="Q28" i="19" l="1"/>
  <c r="P28" i="19" s="1"/>
  <c r="AJ16" i="19"/>
  <c r="AH16" i="19" s="1"/>
  <c r="AJ20" i="19"/>
  <c r="AH20" i="19" s="1"/>
  <c r="Q24" i="19"/>
  <c r="P24" i="19" s="1"/>
  <c r="AJ24" i="19"/>
  <c r="AH24" i="19" s="1"/>
  <c r="Z14" i="19"/>
  <c r="X14" i="19" s="1"/>
  <c r="Z26" i="19"/>
  <c r="X26" i="19" s="1"/>
  <c r="Z27" i="19"/>
  <c r="X27" i="19" s="1"/>
  <c r="Z7" i="19"/>
  <c r="X7" i="19" s="1"/>
  <c r="Z25" i="19"/>
  <c r="X25" i="19" s="1"/>
  <c r="Q14" i="19"/>
  <c r="P14" i="19" s="1"/>
  <c r="AR28" i="19"/>
  <c r="Z6" i="19"/>
  <c r="X6" i="19" s="1"/>
  <c r="Z8" i="19"/>
  <c r="X8" i="19" s="1"/>
  <c r="Z9" i="19"/>
  <c r="X9" i="19" s="1"/>
  <c r="Z11" i="19"/>
  <c r="X11" i="19" s="1"/>
  <c r="Z13" i="19"/>
  <c r="X13" i="19" s="1"/>
  <c r="Z16" i="19"/>
  <c r="X16" i="19" s="1"/>
  <c r="Z18" i="19"/>
  <c r="X18" i="19" s="1"/>
  <c r="Z20" i="19"/>
  <c r="X20" i="19" s="1"/>
  <c r="Z22" i="19"/>
  <c r="X22" i="19" s="1"/>
  <c r="Q11" i="19"/>
  <c r="P11" i="19" s="1"/>
  <c r="Z24" i="19"/>
  <c r="X24" i="19" s="1"/>
  <c r="X28" i="19"/>
  <c r="Z29" i="19"/>
  <c r="X29" i="19" s="1"/>
  <c r="Q4" i="19"/>
  <c r="P4" i="19" s="1"/>
  <c r="Z5" i="19"/>
  <c r="X5" i="19" s="1"/>
  <c r="Q7" i="19"/>
  <c r="P7" i="19" s="1"/>
  <c r="Q8" i="19"/>
  <c r="P8" i="19" s="1"/>
  <c r="Q9" i="19"/>
  <c r="P9" i="19" s="1"/>
  <c r="Q13" i="19"/>
  <c r="P13" i="19" s="1"/>
  <c r="Z15" i="19"/>
  <c r="X15" i="19" s="1"/>
  <c r="Q15" i="19"/>
  <c r="P15" i="19" s="1"/>
  <c r="Z17" i="19"/>
  <c r="X17" i="19" s="1"/>
  <c r="Z19" i="19"/>
  <c r="X19" i="19" s="1"/>
  <c r="Q19" i="19"/>
  <c r="P19" i="19" s="1"/>
  <c r="Z21" i="19"/>
  <c r="X21" i="19" s="1"/>
  <c r="Z23" i="19"/>
  <c r="X23" i="19" s="1"/>
  <c r="Q23" i="19"/>
  <c r="P23" i="19" s="1"/>
  <c r="Z30" i="19"/>
  <c r="X30" i="19" s="1"/>
  <c r="Q12" i="19"/>
  <c r="P12" i="19" s="1"/>
  <c r="Q17" i="19"/>
  <c r="P17" i="19" s="1"/>
  <c r="Q21" i="19"/>
  <c r="P21" i="19" s="1"/>
  <c r="Q10" i="19"/>
  <c r="P10" i="19" s="1"/>
  <c r="Q16" i="19"/>
  <c r="P16" i="19" s="1"/>
  <c r="Q18" i="19"/>
  <c r="P18" i="19" s="1"/>
  <c r="Q20" i="19"/>
  <c r="P20" i="19" s="1"/>
  <c r="Q22" i="19"/>
  <c r="P22" i="19" s="1"/>
  <c r="Q25" i="19"/>
  <c r="P25" i="19" s="1"/>
  <c r="Q26" i="19"/>
  <c r="P26" i="19" s="1"/>
  <c r="Q27" i="19"/>
  <c r="P27" i="19" s="1"/>
  <c r="Q29" i="19"/>
  <c r="P29" i="19" s="1"/>
  <c r="AR16" i="19"/>
  <c r="AH15" i="19"/>
  <c r="AH19" i="19"/>
  <c r="AR19" i="19"/>
  <c r="AR23" i="19"/>
  <c r="AH23" i="19"/>
  <c r="AR15" i="19"/>
  <c r="AR20" i="19"/>
  <c r="AH28" i="19"/>
  <c r="AR11" i="19"/>
  <c r="AR5" i="19"/>
  <c r="AH8" i="19"/>
  <c r="AH13" i="19"/>
  <c r="U6" i="19"/>
  <c r="Q6" i="19" s="1"/>
  <c r="AR10" i="19"/>
  <c r="AR29" i="19"/>
  <c r="AH30" i="19"/>
  <c r="AR14" i="19"/>
  <c r="P30" i="19"/>
  <c r="AR8" i="19"/>
  <c r="AH10" i="19"/>
  <c r="AR24" i="19"/>
  <c r="AR26" i="19"/>
  <c r="AR30" i="19"/>
  <c r="X12" i="19"/>
  <c r="U5" i="19"/>
  <c r="AH7" i="19"/>
  <c r="AR9" i="19"/>
  <c r="AH14" i="19"/>
  <c r="AR25" i="19"/>
  <c r="AH27" i="19"/>
  <c r="AH29" i="19"/>
  <c r="T6" i="19"/>
  <c r="AR12" i="19"/>
  <c r="AH17" i="19"/>
  <c r="AH21" i="19"/>
  <c r="AH25" i="19"/>
  <c r="X10" i="19"/>
  <c r="AH11" i="19"/>
  <c r="AR17" i="19"/>
  <c r="AR21" i="19"/>
  <c r="AH26" i="19"/>
  <c r="AR27" i="19"/>
  <c r="AH12" i="19"/>
  <c r="AR18" i="19"/>
  <c r="AH22" i="19"/>
  <c r="AN5" i="19"/>
  <c r="AO5" i="19" s="1"/>
  <c r="AH5" i="19" s="1"/>
  <c r="AO4" i="19"/>
  <c r="AH4" i="19" s="1"/>
  <c r="AY4" i="19"/>
  <c r="AR4" i="19" s="1"/>
  <c r="AX6" i="19"/>
  <c r="AY6" i="19" s="1"/>
  <c r="AR6" i="19" s="1"/>
  <c r="AH6" i="19"/>
  <c r="AR7" i="19"/>
  <c r="AH9" i="19"/>
  <c r="AR13" i="19"/>
  <c r="AH18" i="19"/>
  <c r="AR22" i="19"/>
  <c r="Q5" i="19" l="1"/>
  <c r="P5" i="19" s="1"/>
  <c r="P6" i="19"/>
  <c r="I29" i="10" l="1"/>
  <c r="G29" i="10"/>
  <c r="F29" i="10"/>
  <c r="I28" i="10"/>
  <c r="H28" i="10"/>
  <c r="G28" i="10"/>
  <c r="F28" i="10"/>
  <c r="I27" i="10"/>
  <c r="H27" i="10"/>
  <c r="G27" i="10"/>
  <c r="F27" i="10"/>
  <c r="I26" i="10"/>
  <c r="H26" i="10"/>
  <c r="G26" i="10"/>
  <c r="F26" i="10"/>
  <c r="I25" i="10"/>
  <c r="H25" i="10"/>
  <c r="G25" i="10"/>
  <c r="F25" i="10"/>
  <c r="I24" i="10"/>
  <c r="H24" i="10"/>
  <c r="G24" i="10"/>
  <c r="F24" i="10"/>
  <c r="I23" i="10"/>
  <c r="H23" i="10"/>
  <c r="G23" i="10"/>
  <c r="F23" i="10"/>
  <c r="I22" i="10"/>
  <c r="H22" i="10"/>
  <c r="G22" i="10"/>
  <c r="F22" i="10"/>
  <c r="I21" i="10"/>
  <c r="H21" i="10"/>
  <c r="G21" i="10"/>
  <c r="F21" i="10"/>
  <c r="I20" i="10"/>
  <c r="H20" i="10"/>
  <c r="G20" i="10"/>
  <c r="F20" i="10"/>
  <c r="G15" i="10"/>
  <c r="F15" i="10"/>
  <c r="G14" i="10"/>
  <c r="G12" i="10"/>
  <c r="F12" i="10"/>
  <c r="J7" i="10"/>
  <c r="J31" i="8" l="1"/>
  <c r="H31" i="8"/>
  <c r="F31" i="8"/>
  <c r="D31" i="8"/>
  <c r="J18" i="8"/>
  <c r="H18" i="8"/>
  <c r="F18" i="8"/>
  <c r="D18" i="8"/>
  <c r="J135" i="8"/>
  <c r="H135" i="8"/>
  <c r="F135" i="8"/>
  <c r="D135" i="8"/>
  <c r="J122" i="8"/>
  <c r="H122" i="8"/>
  <c r="F122" i="8"/>
  <c r="D122" i="8"/>
  <c r="J148" i="8"/>
  <c r="H148" i="8"/>
  <c r="F148" i="8"/>
  <c r="D148" i="8"/>
  <c r="J109" i="8"/>
  <c r="H109" i="8"/>
  <c r="F109" i="8"/>
  <c r="D109" i="8"/>
  <c r="J96" i="8"/>
  <c r="H96" i="8"/>
  <c r="F96" i="8"/>
  <c r="D96" i="8"/>
  <c r="J83" i="8"/>
  <c r="H83" i="8"/>
  <c r="F83" i="8"/>
  <c r="D83" i="8"/>
  <c r="J70" i="8"/>
  <c r="H70" i="8"/>
  <c r="F70" i="8"/>
  <c r="D70" i="8"/>
  <c r="J57" i="8"/>
  <c r="H57" i="8"/>
  <c r="F57" i="8"/>
  <c r="D57" i="8"/>
  <c r="J44" i="8"/>
  <c r="H44" i="8"/>
  <c r="F44" i="8"/>
  <c r="D44" i="8"/>
  <c r="K30" i="8" l="1"/>
  <c r="I30" i="8"/>
  <c r="G30" i="8"/>
  <c r="E30" i="8"/>
  <c r="K29" i="8"/>
  <c r="I29" i="8"/>
  <c r="G29" i="8"/>
  <c r="E29" i="8"/>
  <c r="K28" i="8"/>
  <c r="I28" i="8"/>
  <c r="G28" i="8"/>
  <c r="E28" i="8"/>
  <c r="K27" i="8"/>
  <c r="I27" i="8"/>
  <c r="G27" i="8"/>
  <c r="E27" i="8"/>
  <c r="K26" i="8"/>
  <c r="I26" i="8"/>
  <c r="G26" i="8"/>
  <c r="E26" i="8"/>
  <c r="K25" i="8"/>
  <c r="I25" i="8"/>
  <c r="G25" i="8"/>
  <c r="E25" i="8"/>
  <c r="K24" i="8"/>
  <c r="I24" i="8"/>
  <c r="G24" i="8"/>
  <c r="E24" i="8"/>
  <c r="K23" i="8"/>
  <c r="I23" i="8"/>
  <c r="G23" i="8"/>
  <c r="E23" i="8"/>
  <c r="K22" i="8"/>
  <c r="I22" i="8"/>
  <c r="G22" i="8"/>
  <c r="E22" i="8"/>
  <c r="K21" i="8"/>
  <c r="I21" i="8"/>
  <c r="G21" i="8"/>
  <c r="E21" i="8"/>
  <c r="K20" i="8"/>
  <c r="I20" i="8"/>
  <c r="G20" i="8"/>
  <c r="E20" i="8"/>
  <c r="K17" i="8"/>
  <c r="I17" i="8"/>
  <c r="G17" i="8"/>
  <c r="E17" i="8"/>
  <c r="K16" i="8"/>
  <c r="I16" i="8"/>
  <c r="G16" i="8"/>
  <c r="E16" i="8"/>
  <c r="K15" i="8"/>
  <c r="I15" i="8"/>
  <c r="G15" i="8"/>
  <c r="E15" i="8"/>
  <c r="K14" i="8"/>
  <c r="I14" i="8"/>
  <c r="G14" i="8"/>
  <c r="E14" i="8"/>
  <c r="K13" i="8"/>
  <c r="I13" i="8"/>
  <c r="G13" i="8"/>
  <c r="E13" i="8"/>
  <c r="K12" i="8"/>
  <c r="I12" i="8"/>
  <c r="G12" i="8"/>
  <c r="E12" i="8"/>
  <c r="K8" i="8"/>
  <c r="I8" i="8"/>
  <c r="G8" i="8"/>
  <c r="E8" i="8"/>
  <c r="K7" i="8"/>
  <c r="I7" i="8"/>
  <c r="G7" i="8"/>
  <c r="E7" i="8"/>
  <c r="K69" i="8"/>
  <c r="I69" i="8"/>
  <c r="G69" i="8"/>
  <c r="E69" i="8"/>
  <c r="K68" i="8"/>
  <c r="I68" i="8"/>
  <c r="G68" i="8"/>
  <c r="E68" i="8"/>
  <c r="K67" i="8"/>
  <c r="I67" i="8"/>
  <c r="G67" i="8"/>
  <c r="E67" i="8"/>
  <c r="K66" i="8"/>
  <c r="I66" i="8"/>
  <c r="G66" i="8"/>
  <c r="E66" i="8"/>
  <c r="K65" i="8"/>
  <c r="I65" i="8"/>
  <c r="G65" i="8"/>
  <c r="E65" i="8"/>
  <c r="K64" i="8"/>
  <c r="I64" i="8"/>
  <c r="G64" i="8"/>
  <c r="E64" i="8"/>
  <c r="K63" i="8"/>
  <c r="I63" i="8"/>
  <c r="G63" i="8"/>
  <c r="E63" i="8"/>
  <c r="K62" i="8"/>
  <c r="I62" i="8"/>
  <c r="G62" i="8"/>
  <c r="E62" i="8"/>
  <c r="K61" i="8"/>
  <c r="I61" i="8"/>
  <c r="G61" i="8"/>
  <c r="E61" i="8"/>
  <c r="K60" i="8"/>
  <c r="I60" i="8"/>
  <c r="G60" i="8"/>
  <c r="E60" i="8"/>
  <c r="K59" i="8"/>
  <c r="I59" i="8"/>
  <c r="G59" i="8"/>
  <c r="E59" i="8"/>
  <c r="K56" i="8"/>
  <c r="I56" i="8"/>
  <c r="G56" i="8"/>
  <c r="E56" i="8"/>
  <c r="K55" i="8"/>
  <c r="I55" i="8"/>
  <c r="G55" i="8"/>
  <c r="E55" i="8"/>
  <c r="K54" i="8"/>
  <c r="I54" i="8"/>
  <c r="G54" i="8"/>
  <c r="E54" i="8"/>
  <c r="K53" i="8"/>
  <c r="I53" i="8"/>
  <c r="G53" i="8"/>
  <c r="E53" i="8"/>
  <c r="K52" i="8"/>
  <c r="I52" i="8"/>
  <c r="G52" i="8"/>
  <c r="E52" i="8"/>
  <c r="K51" i="8"/>
  <c r="I51" i="8"/>
  <c r="G51" i="8"/>
  <c r="E51" i="8"/>
  <c r="K50" i="8"/>
  <c r="I50" i="8"/>
  <c r="G50" i="8"/>
  <c r="E50" i="8"/>
  <c r="K49" i="8"/>
  <c r="I49" i="8"/>
  <c r="G49" i="8"/>
  <c r="E49" i="8"/>
  <c r="K48" i="8"/>
  <c r="I48" i="8"/>
  <c r="G48" i="8"/>
  <c r="E48" i="8"/>
  <c r="K47" i="8"/>
  <c r="I47" i="8"/>
  <c r="G47" i="8"/>
  <c r="E47" i="8"/>
  <c r="K46" i="8"/>
  <c r="I46" i="8"/>
  <c r="G46" i="8"/>
  <c r="E46" i="8"/>
  <c r="K43" i="8"/>
  <c r="I43" i="8"/>
  <c r="G43" i="8"/>
  <c r="E43" i="8"/>
  <c r="K42" i="8"/>
  <c r="I42" i="8"/>
  <c r="G42" i="8"/>
  <c r="E42" i="8"/>
  <c r="K41" i="8"/>
  <c r="I41" i="8"/>
  <c r="G41" i="8"/>
  <c r="E41" i="8"/>
  <c r="K40" i="8"/>
  <c r="I40" i="8"/>
  <c r="G40" i="8"/>
  <c r="E40" i="8"/>
  <c r="K39" i="8"/>
  <c r="I39" i="8"/>
  <c r="G39" i="8"/>
  <c r="E39" i="8"/>
  <c r="K38" i="8"/>
  <c r="I38" i="8"/>
  <c r="G38" i="8"/>
  <c r="E38" i="8"/>
  <c r="K37" i="8"/>
  <c r="I37" i="8"/>
  <c r="G37" i="8"/>
  <c r="E37" i="8"/>
  <c r="K36" i="8"/>
  <c r="I36" i="8"/>
  <c r="G36" i="8"/>
  <c r="E36" i="8"/>
  <c r="K35" i="8"/>
  <c r="I35" i="8"/>
  <c r="G35" i="8"/>
  <c r="E35" i="8"/>
  <c r="K34" i="8"/>
  <c r="I34" i="8"/>
  <c r="G34" i="8"/>
  <c r="E34" i="8"/>
  <c r="K33" i="8"/>
  <c r="I33" i="8"/>
  <c r="G33" i="8"/>
  <c r="E3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mxgamm</author>
  </authors>
  <commentList>
    <comment ref="I8" authorId="0" shapeId="0" xr:uid="{99787DC2-AAB3-4332-BC84-75DA56F1D01F}">
      <text>
        <r>
          <rPr>
            <b/>
            <sz val="9"/>
            <color indexed="81"/>
            <rFont val="Tahoma"/>
            <family val="2"/>
          </rPr>
          <t>mxgamm:</t>
        </r>
        <r>
          <rPr>
            <sz val="9"/>
            <color indexed="81"/>
            <rFont val="Tahoma"/>
            <family val="2"/>
          </rPr>
          <t xml:space="preserve">
based on 2014 through 2018 average
</t>
        </r>
      </text>
    </comment>
  </commentList>
</comments>
</file>

<file path=xl/sharedStrings.xml><?xml version="1.0" encoding="utf-8"?>
<sst xmlns="http://schemas.openxmlformats.org/spreadsheetml/2006/main" count="3618" uniqueCount="229">
  <si>
    <t>Facility Name</t>
  </si>
  <si>
    <t>Facility Review Comments</t>
  </si>
  <si>
    <t>AKS-Middletown-OH</t>
  </si>
  <si>
    <t>Wilputte, B918</t>
  </si>
  <si>
    <t>N/A</t>
  </si>
  <si>
    <t>#2 COB</t>
  </si>
  <si>
    <t>NA</t>
  </si>
  <si>
    <t>USS-Clairton-PA</t>
  </si>
  <si>
    <t>B Battery</t>
  </si>
  <si>
    <t>Date</t>
  </si>
  <si>
    <r>
      <t xml:space="preserve">Enclosure 1 - Part VI:  Process and Emission Unit Operations, G. Battery Leaks (Regulated), Q89. </t>
    </r>
    <r>
      <rPr>
        <b/>
        <i/>
        <sz val="10"/>
        <rFont val="Arial"/>
        <family val="2"/>
      </rPr>
      <t>Please address the following information for all your coke oven batteries.</t>
    </r>
  </si>
  <si>
    <t>Facility ID</t>
  </si>
  <si>
    <r>
      <t xml:space="preserve">89. Method 303/303A Inspection Data Summary for 2015 for each battery operating in 2015 (by-product and heat&amp;nonrecovery plants). </t>
    </r>
    <r>
      <rPr>
        <b/>
        <i/>
        <sz val="10"/>
        <color indexed="8"/>
        <rFont val="Arial"/>
        <family val="2"/>
      </rPr>
      <t xml:space="preserve">Please complete the following for period January 1, 2015 – December 31, 2015. </t>
    </r>
    <r>
      <rPr>
        <b/>
        <sz val="10"/>
        <color indexed="8"/>
        <rFont val="Arial"/>
        <family val="2"/>
      </rPr>
      <t>If you report a shorter period, please specify reason. If a battery was not operating in all or any of 2015 but is operating in 2016, use your reported information for 2016 to comprise 12 months of data, if possible</t>
    </r>
    <r>
      <rPr>
        <b/>
        <i/>
        <sz val="10"/>
        <color indexed="8"/>
        <rFont val="Arial"/>
        <family val="2"/>
      </rPr>
      <t>.</t>
    </r>
  </si>
  <si>
    <t>89.a. Battery name/number</t>
  </si>
  <si>
    <r>
      <t xml:space="preserve">Average and Rolling Average VE - </t>
    </r>
    <r>
      <rPr>
        <b/>
        <sz val="10"/>
        <color rgb="FFFF0000"/>
        <rFont val="Arial"/>
        <family val="2"/>
      </rPr>
      <t>By-Product</t>
    </r>
    <r>
      <rPr>
        <b/>
        <sz val="10"/>
        <color indexed="8"/>
        <rFont val="Arial"/>
        <family val="2"/>
      </rPr>
      <t xml:space="preserve"> Batteries (Jan 2015 - Dec 2015)</t>
    </r>
  </si>
  <si>
    <r>
      <t xml:space="preserve">Average and Rolling Average VE - </t>
    </r>
    <r>
      <rPr>
        <b/>
        <sz val="10"/>
        <color rgb="FFFF0000"/>
        <rFont val="Arial"/>
        <family val="2"/>
      </rPr>
      <t>H&amp;NR</t>
    </r>
    <r>
      <rPr>
        <b/>
        <sz val="10"/>
        <color indexed="8"/>
        <rFont val="Arial"/>
        <family val="2"/>
      </rPr>
      <t xml:space="preserve"> Batteries (Jan 2015 - Dec 2015)</t>
    </r>
  </si>
  <si>
    <t>89.b. Average seconds per charge (s/chg)</t>
  </si>
  <si>
    <t>89.c. Average percent leaking doors (PLD)</t>
  </si>
  <si>
    <t>89.d. Average percent leaking lids (PLL)</t>
  </si>
  <si>
    <t>89.e. Average percent leaking offtakes (PLO)</t>
  </si>
  <si>
    <t>89.f. Average percent leaking collecting mains</t>
  </si>
  <si>
    <t>Monthly Average VE</t>
  </si>
  <si>
    <t>Rolling  Average VE</t>
  </si>
  <si>
    <t>Nr. 2 Coke Plant,
Wilputte Battery, AK Steel Middletown</t>
  </si>
  <si>
    <t>January 2015</t>
  </si>
  <si>
    <t>AK Steel has concerns about the relevancy of this question. The monthly average VE is already a 30-day log average, and taking the rolling 12-month average of these values makes no sense.</t>
  </si>
  <si>
    <t>See comment in Q89.b.</t>
  </si>
  <si>
    <t>February 2015</t>
  </si>
  <si>
    <t>March 2015</t>
  </si>
  <si>
    <t>April 2015</t>
  </si>
  <si>
    <t>May 2015</t>
  </si>
  <si>
    <t>June 2015</t>
  </si>
  <si>
    <t>July 2015</t>
  </si>
  <si>
    <t>August 2015</t>
  </si>
  <si>
    <t>September 2015</t>
  </si>
  <si>
    <t>October 2015</t>
  </si>
  <si>
    <t>November 2015</t>
  </si>
  <si>
    <t>December 2015</t>
  </si>
  <si>
    <t>AM-BurnsHarbor-IN</t>
  </si>
  <si>
    <t>#1 COB</t>
  </si>
  <si>
    <t>Average percent leaking collector mains is not a metric required under 63 subpart L</t>
  </si>
  <si>
    <t>AM-Monessen-PA</t>
  </si>
  <si>
    <t>Battery 1B</t>
  </si>
  <si>
    <t>Average percent leaking collecting mains is not a metric required under 63 Subpart L</t>
  </si>
  <si>
    <t>Battery 2</t>
  </si>
  <si>
    <t>AM-Warren-OH</t>
  </si>
  <si>
    <t>No. 4 Coke Oven Battery</t>
  </si>
  <si>
    <t>EES-RiverRouge-MI</t>
  </si>
  <si>
    <t>EES Coke RiverRouge</t>
  </si>
  <si>
    <t>n/a</t>
  </si>
  <si>
    <t>EC-Erie-PA</t>
  </si>
  <si>
    <t>Battery A</t>
  </si>
  <si>
    <t>Battery B</t>
  </si>
  <si>
    <t>AKS-Follansbee-WV</t>
  </si>
  <si>
    <t>No. 1 Battery (AKS Follansbee)</t>
  </si>
  <si>
    <t>MSC has concerns about the relevancy of this question. The monthly average VE is already a 30-day log average, and taking the rolling 12-month average of these values makes no sense.</t>
  </si>
  <si>
    <t>No. 1 Battery on Hot Idle during entire month (i.e. ovens were empty)</t>
  </si>
  <si>
    <t>No. 8 Battery (AKS Follansbee)</t>
  </si>
  <si>
    <t>SC-GraniteCity-IL</t>
  </si>
  <si>
    <t>Battery A-C</t>
  </si>
  <si>
    <t>SC-FranklinFurnace-OH</t>
  </si>
  <si>
    <t>P901 - Battery AB</t>
  </si>
  <si>
    <t>P902 - Battery CD</t>
  </si>
  <si>
    <t>SC-Middletown-OH</t>
  </si>
  <si>
    <t>P901 - Battery A-C</t>
  </si>
  <si>
    <t>Clairton Submitted a separate file</t>
  </si>
  <si>
    <t>From ACCCI</t>
  </si>
  <si>
    <t>Battery ID</t>
  </si>
  <si>
    <t>#Ovens Per Battery</t>
  </si>
  <si>
    <t>Type of Coke</t>
  </si>
  <si>
    <t>No. 1 Battery</t>
  </si>
  <si>
    <t>Blast furnace</t>
  </si>
  <si>
    <t>No. 2 Battery</t>
  </si>
  <si>
    <t>No. 3 Battery</t>
  </si>
  <si>
    <t>Foundry</t>
  </si>
  <si>
    <t>No. 8 Battery</t>
  </si>
  <si>
    <t>Coke Oven Battery</t>
  </si>
  <si>
    <t>Battery #1</t>
  </si>
  <si>
    <t>Battery #2</t>
  </si>
  <si>
    <t>No. 4 Battery</t>
  </si>
  <si>
    <t>Erie Coke Corporation</t>
  </si>
  <si>
    <t>Coke Battery #5</t>
  </si>
  <si>
    <t>Battery 1</t>
  </si>
  <si>
    <t>Battery 3</t>
  </si>
  <si>
    <t>Battery 13</t>
  </si>
  <si>
    <t>Battery 14</t>
  </si>
  <si>
    <t>Battery 15</t>
  </si>
  <si>
    <t>Battery 19</t>
  </si>
  <si>
    <t>Battery 20</t>
  </si>
  <si>
    <t>C Battery</t>
  </si>
  <si>
    <t>ABC-Tarrant-AL</t>
  </si>
  <si>
    <t>Coke Battery #1</t>
  </si>
  <si>
    <t>Coke Battery #6</t>
  </si>
  <si>
    <t>Coke Battery No. 3</t>
  </si>
  <si>
    <t>Coke Battery No. 4</t>
  </si>
  <si>
    <t>Coke Battery No. 5</t>
  </si>
  <si>
    <t>VE = average seconds of visible emissions per charge</t>
  </si>
  <si>
    <t>PLL = average percent leaking lids</t>
  </si>
  <si>
    <t>PLO = average percent leaking offtakes</t>
  </si>
  <si>
    <t>ICR Enc. 1</t>
  </si>
  <si>
    <t>charges/year</t>
  </si>
  <si>
    <t>0.0093 lb/10 seconds</t>
  </si>
  <si>
    <r>
      <t>BSO</t>
    </r>
    <r>
      <rPr>
        <b/>
        <vertAlign val="subscript"/>
        <sz val="10"/>
        <rFont val="Arial"/>
        <family val="2"/>
      </rPr>
      <t>charging</t>
    </r>
    <r>
      <rPr>
        <b/>
        <sz val="10"/>
        <rFont val="Arial"/>
        <family val="2"/>
      </rPr>
      <t xml:space="preserve"> = VE x (charges/year) x (0.0093 lb/10 seconds)</t>
    </r>
  </si>
  <si>
    <r>
      <t xml:space="preserve">Enclosure 1 - Part VI:  Process and Emission Unit Operations, G. Battery Leaks (Regulated), Q88-90. </t>
    </r>
    <r>
      <rPr>
        <b/>
        <i/>
        <sz val="10"/>
        <rFont val="Arial"/>
        <family val="2"/>
      </rPr>
      <t>Please address the following information for all your coke oven batteries. (Q89 is in next tab)</t>
    </r>
  </si>
  <si>
    <t>88. Identify the equipment subject to subpart L below, as per the following list:</t>
  </si>
  <si>
    <t>90. List your charging (s/chg) and leaking (PLD, PLL, PLO) limits under subpart L for each battery. If the limit is same as per EPA rule, you can just specify EPA rule either “MACT” or “LAER”. If “foundry” doors, please specify. If a lower state limit, please specify numeric value.</t>
  </si>
  <si>
    <t>88.a. Battery name&amp;number</t>
  </si>
  <si>
    <t>88.b. Number of lids per oven (average estimate)</t>
  </si>
  <si>
    <t>88.c. Number of offtakes per oven</t>
  </si>
  <si>
    <t>88.d. Total number of doors</t>
  </si>
  <si>
    <t>88.e. Total number of lids</t>
  </si>
  <si>
    <t>88.f. Total number of offtakes</t>
  </si>
  <si>
    <t>88.g. Charges per year, per oven (average estimate)</t>
  </si>
  <si>
    <t>88.h. Total charges per year (2015)</t>
  </si>
  <si>
    <t>88.i. Typical cycle time (total hours)</t>
  </si>
  <si>
    <t>90.a. Battery name/number</t>
  </si>
  <si>
    <t>90.b. Foundry doors?</t>
  </si>
  <si>
    <t>90.c. MACT or LAER or Other?</t>
  </si>
  <si>
    <t>90.d. Specify exact limit(s) for “Other”: s/chg, PLD, PLL, PLO</t>
  </si>
  <si>
    <t>AK Steel Corporation Middletown</t>
  </si>
  <si>
    <t>432
CY 2015</t>
  </si>
  <si>
    <t>Average of 8 minutes for lids being off during charging.</t>
  </si>
  <si>
    <t>MACT §63 Subpart L</t>
  </si>
  <si>
    <t>ArcelorMittal Burns Harbor, LLC #1 COB</t>
  </si>
  <si>
    <t>164/battery, 2 per oven</t>
  </si>
  <si>
    <t>328/ battery</t>
  </si>
  <si>
    <t>82/ battery</t>
  </si>
  <si>
    <t>See value 89.b</t>
  </si>
  <si>
    <t>no</t>
  </si>
  <si>
    <t>LAER</t>
  </si>
  <si>
    <t>ArcelorMittal Burns Harbor, LLC #2 COB</t>
  </si>
  <si>
    <t>ArcelorMittal Monessen LLC</t>
  </si>
  <si>
    <t xml:space="preserve">Coke Oven Battery (1B/2) </t>
  </si>
  <si>
    <t>4 lids/oven</t>
  </si>
  <si>
    <t>2 offtakes/oven</t>
  </si>
  <si>
    <t>112 doors
Battery 1B/2</t>
  </si>
  <si>
    <t>224 lids
Battery 1B/2</t>
  </si>
  <si>
    <t>112 offtakes
Battery 1B/2</t>
  </si>
  <si>
    <t>See Answer to Question 89.b.</t>
  </si>
  <si>
    <t>Not applicable</t>
  </si>
  <si>
    <t>ArcelorMittal Cleveland LLC dba ArcelorMittal Warren</t>
  </si>
  <si>
    <t>255 (3 lids /oven x 85 ovens)</t>
  </si>
  <si>
    <t>170 (2 offtakes /oven x 85 ovens)</t>
  </si>
  <si>
    <t>No. 4 Coke Oven battery</t>
  </si>
  <si>
    <t>EES Coke, L.L.C. RiverRouge</t>
  </si>
  <si>
    <t>EES Coke</t>
  </si>
  <si>
    <t>258.3 - 497.4</t>
  </si>
  <si>
    <t>Submitted as CBI</t>
  </si>
  <si>
    <t>5.33 min</t>
  </si>
  <si>
    <t>No</t>
  </si>
  <si>
    <t>MACT</t>
  </si>
  <si>
    <t>Charging :  12 sec/charge; PLD:  4%; PLL:  0.4%; PLO:  2.5%; Other charging:  55 sec/5chgs</t>
  </si>
  <si>
    <t>Yes</t>
  </si>
  <si>
    <t>Other</t>
  </si>
  <si>
    <t>12.0 sec/charge</t>
  </si>
  <si>
    <t>4.0 PLD; 0.4 PLL; 2.5PLO</t>
  </si>
  <si>
    <t>Mountain State Carbon (AKS Follansbee)</t>
  </si>
  <si>
    <t>124
(24 total ovens in service)</t>
  </si>
  <si>
    <t>Average  of 0.14 hrs for lids being off during charging.</t>
  </si>
  <si>
    <t>LAER §63 Subpart L</t>
  </si>
  <si>
    <t>Average  of 0.07 hrs for lids being off during charging.</t>
  </si>
  <si>
    <t>Gateway Energy and Coke Company LLC</t>
  </si>
  <si>
    <t>2 per oven, 240 total for battery A-C</t>
  </si>
  <si>
    <t>22,040 estimated</t>
  </si>
  <si>
    <t>Haverhill Coke Company, LLC</t>
  </si>
  <si>
    <t>P901 - PCM (Battery AB)</t>
  </si>
  <si>
    <t>2 per oven, 200 total for battery AB</t>
  </si>
  <si>
    <t>18,250 typical</t>
  </si>
  <si>
    <t>P902 - PCM (Battery CD)</t>
  </si>
  <si>
    <t>2 per oven, 200 total for battery CD</t>
  </si>
  <si>
    <t>Middletown Coke Company LLC</t>
  </si>
  <si>
    <t>2 per oven, 200 total for battery A-C</t>
  </si>
  <si>
    <t>United States Steel Corporation - Clairton Works</t>
  </si>
  <si>
    <t>1 (P001)</t>
  </si>
  <si>
    <t>See CBI response</t>
  </si>
  <si>
    <t>--</t>
  </si>
  <si>
    <t>2 (P002)</t>
  </si>
  <si>
    <t>3 (P003)</t>
  </si>
  <si>
    <t>13 (P007)</t>
  </si>
  <si>
    <t>14 (P008)</t>
  </si>
  <si>
    <t>15 (P009)</t>
  </si>
  <si>
    <t>19 (P010)</t>
  </si>
  <si>
    <t>20 (P011)</t>
  </si>
  <si>
    <t>B (P012)</t>
  </si>
  <si>
    <t>C (P046)</t>
  </si>
  <si>
    <r>
      <t>BSO</t>
    </r>
    <r>
      <rPr>
        <b/>
        <vertAlign val="subscript"/>
        <sz val="10"/>
        <rFont val="Arial"/>
        <family val="2"/>
      </rPr>
      <t>doors</t>
    </r>
    <r>
      <rPr>
        <b/>
        <sz val="10"/>
        <rFont val="Arial"/>
        <family val="2"/>
      </rPr>
      <t xml:space="preserve"> = N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 x (PLD/100) x (0.04 lb/hr) + N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 x (6% leaking/100) x (0.023 lb/hr)</t>
    </r>
  </si>
  <si>
    <r>
      <t>BSO</t>
    </r>
    <r>
      <rPr>
        <b/>
        <vertAlign val="subscript"/>
        <sz val="10"/>
        <rFont val="Arial"/>
        <family val="2"/>
      </rPr>
      <t>doors</t>
    </r>
    <r>
      <rPr>
        <b/>
        <sz val="10"/>
        <rFont val="Arial"/>
        <family val="2"/>
      </rPr>
      <t xml:space="preserve"> = BSO emission rate from door leaks (lb/hr)</t>
    </r>
  </si>
  <si>
    <r>
      <t>N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 = total number of doors on battery</t>
    </r>
  </si>
  <si>
    <t>0.04 lb/hr</t>
  </si>
  <si>
    <t>6% leaking/100</t>
  </si>
  <si>
    <t>0.023 lb/hr</t>
  </si>
  <si>
    <r>
      <t>BSO</t>
    </r>
    <r>
      <rPr>
        <b/>
        <vertAlign val="subscript"/>
        <sz val="10"/>
        <rFont val="Arial"/>
        <family val="2"/>
      </rPr>
      <t>lids</t>
    </r>
    <r>
      <rPr>
        <b/>
        <sz val="10"/>
        <rFont val="Arial"/>
        <family val="2"/>
      </rPr>
      <t xml:space="preserve"> = N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 xml:space="preserve"> x (PLL/100) x (0.0075 lb/hr)</t>
    </r>
  </si>
  <si>
    <r>
      <t>BSO</t>
    </r>
    <r>
      <rPr>
        <b/>
        <vertAlign val="subscript"/>
        <sz val="10"/>
        <rFont val="Arial"/>
        <family val="2"/>
      </rPr>
      <t>lids</t>
    </r>
    <r>
      <rPr>
        <b/>
        <sz val="10"/>
        <rFont val="Arial"/>
        <family val="2"/>
      </rPr>
      <t xml:space="preserve"> = BSO emission rate from lids (lb/hr)</t>
    </r>
  </si>
  <si>
    <r>
      <t>N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 xml:space="preserve"> = total number of lids on battery</t>
    </r>
  </si>
  <si>
    <t>PLL/100</t>
  </si>
  <si>
    <t>0.0075 lb/hr</t>
  </si>
  <si>
    <t>PLO/100</t>
  </si>
  <si>
    <t>Table C-1</t>
  </si>
  <si>
    <t>Table C-2</t>
  </si>
  <si>
    <t>Table C-1/C-2</t>
  </si>
  <si>
    <t>BLU-Birmingham-AL</t>
  </si>
  <si>
    <t>BSO Charging TPY</t>
  </si>
  <si>
    <t>Value for Modeling File</t>
  </si>
  <si>
    <t>BSO Doors TPY</t>
  </si>
  <si>
    <t>Operating Hours</t>
  </si>
  <si>
    <t>BSO Lids TPY</t>
  </si>
  <si>
    <t>BSO Offtakes TPY</t>
  </si>
  <si>
    <t>MACT Track July 14, 2005 Limits</t>
  </si>
  <si>
    <t>LAER Track Jan 1, 2010 Limits</t>
  </si>
  <si>
    <t>Limit per Track</t>
  </si>
  <si>
    <t>LAER Track Jan 1, 2010 Limits - Tall</t>
  </si>
  <si>
    <t>LAER Track Jan 1, 2010 Limits - Foundry</t>
  </si>
  <si>
    <t>ALLOWABLE</t>
  </si>
  <si>
    <t>Limit PLD % Leaking Door / 100</t>
  </si>
  <si>
    <t>Limit PLL % leaking lids / 100</t>
  </si>
  <si>
    <t>Limit PLO % leaking offtakes / 100</t>
  </si>
  <si>
    <t xml:space="preserve">Limit Charging s/charge </t>
  </si>
  <si>
    <t>LAER Track Jan 1, 2010 Limits - All other</t>
  </si>
  <si>
    <t>MACT Track July 14, 2005 Limits - All other</t>
  </si>
  <si>
    <t>REVISED</t>
  </si>
  <si>
    <t>bench ratio</t>
  </si>
  <si>
    <t xml:space="preserve">bench ratio*PLD/100 </t>
  </si>
  <si>
    <r>
      <t>BSO</t>
    </r>
    <r>
      <rPr>
        <b/>
        <vertAlign val="subscript"/>
        <sz val="10"/>
        <rFont val="Arial"/>
        <family val="2"/>
      </rPr>
      <t>charging</t>
    </r>
    <r>
      <rPr>
        <b/>
        <sz val="10"/>
        <rFont val="Arial"/>
        <family val="2"/>
      </rPr>
      <t xml:space="preserve"> = BSO emission rate from charging (lb/yr)</t>
    </r>
  </si>
  <si>
    <r>
      <t>BSO</t>
    </r>
    <r>
      <rPr>
        <b/>
        <vertAlign val="subscript"/>
        <sz val="10"/>
        <rFont val="Arial"/>
        <family val="2"/>
      </rPr>
      <t>offtakes</t>
    </r>
    <r>
      <rPr>
        <b/>
        <sz val="10"/>
        <rFont val="Arial"/>
        <family val="2"/>
      </rPr>
      <t xml:space="preserve"> = N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x (PLO/100) x (0.0075 lb/hr)</t>
    </r>
  </si>
  <si>
    <r>
      <t>BSO</t>
    </r>
    <r>
      <rPr>
        <b/>
        <vertAlign val="subscript"/>
        <sz val="10"/>
        <rFont val="Arial"/>
        <family val="2"/>
      </rPr>
      <t>offtakes</t>
    </r>
    <r>
      <rPr>
        <b/>
        <sz val="10"/>
        <rFont val="Arial"/>
        <family val="2"/>
      </rPr>
      <t xml:space="preserve"> = BSO emission rate from offtakes (lb/hr)</t>
    </r>
  </si>
  <si>
    <t>POST Control</t>
  </si>
  <si>
    <t>TPY/2</t>
  </si>
  <si>
    <r>
      <t>N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= total number of offtakes on battery</t>
    </r>
  </si>
  <si>
    <r>
      <t>BSO</t>
    </r>
    <r>
      <rPr>
        <b/>
        <vertAlign val="subscript"/>
        <sz val="10"/>
        <rFont val="Arial"/>
        <family val="2"/>
      </rPr>
      <t>doors</t>
    </r>
    <r>
      <rPr>
        <b/>
        <sz val="10"/>
        <rFont val="Arial"/>
        <family val="2"/>
      </rPr>
      <t xml:space="preserve"> = N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 x (PLD/100) x (0.04 lb/hr) + N</t>
    </r>
    <r>
      <rPr>
        <b/>
        <vertAlign val="subscript"/>
        <sz val="10"/>
        <rFont val="Arial"/>
        <family val="2"/>
      </rPr>
      <t>D</t>
    </r>
    <r>
      <rPr>
        <b/>
        <sz val="10"/>
        <rFont val="Arial"/>
        <family val="2"/>
      </rPr>
      <t xml:space="preserve"> x (bench ratio*PLD/100) x (0.023 lb/hr)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</si>
</sst>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###"/>
    <numFmt numFmtId="170" formatCode="#,##0.###%"/>
    <numFmt numFmtId="171" formatCode="#,##0.##"/>
    <numFmt numFmtId="172" formatCode="0.000%"/>
    <numFmt numFmtId="173" formatCode="0.000000"/>
    <numFmt numFmtId="174" formatCode="0.000"/>
    <numFmt numFmtId="175" formatCode="0.0000%"/>
    <numFmt numFmtId="176" formatCode="0.00000"/>
    <numFmt numFmtId="177" formatCode="0.0"/>
    <numFmt numFmtId="179" formatCode="0.00000%"/>
    <numFmt numFmtId="180" formatCode="0.0E+00"/>
    <numFmt numFmtId="184" formatCode="0.00000000"/>
  </numFmts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006100"/>
      <name val="Calibri"/>
      <family val="2"/>
      <scheme val="minor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b/>
      <vertAlign val="subscript"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color theme="8" tint="-0.24997711111789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lightUp"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lightUp"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6" borderId="0" applyNumberFormat="0" applyBorder="0" applyAlignment="0" applyProtection="0"/>
    <xf numFmtId="0" fontId="10" fillId="0" borderId="0"/>
    <xf numFmtId="0" fontId="2" fillId="0" borderId="0"/>
    <xf numFmtId="0" fontId="2" fillId="0" borderId="0"/>
  </cellStyleXfs>
  <cellXfs count="188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6" fillId="2" borderId="8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/>
    </xf>
    <xf numFmtId="17" fontId="3" fillId="0" borderId="1" xfId="0" quotePrefix="1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70" fontId="3" fillId="0" borderId="1" xfId="0" applyNumberFormat="1" applyFont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3" fillId="8" borderId="0" xfId="0" applyFont="1" applyFill="1"/>
    <xf numFmtId="0" fontId="3" fillId="3" borderId="1" xfId="0" applyFont="1" applyFill="1" applyBorder="1" applyAlignment="1">
      <alignment horizontal="left"/>
    </xf>
    <xf numFmtId="0" fontId="2" fillId="9" borderId="1" xfId="1" applyNumberFormat="1" applyFont="1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10" fontId="2" fillId="9" borderId="1" xfId="0" applyNumberFormat="1" applyFont="1" applyFill="1" applyBorder="1" applyAlignment="1">
      <alignment horizontal="left"/>
    </xf>
    <xf numFmtId="10" fontId="2" fillId="9" borderId="1" xfId="1" applyNumberFormat="1" applyFont="1" applyFill="1" applyBorder="1" applyAlignment="1">
      <alignment horizontal="left"/>
    </xf>
    <xf numFmtId="10" fontId="2" fillId="3" borderId="1" xfId="1" applyNumberFormat="1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10" fontId="3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2" fillId="10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10" borderId="1" xfId="0" applyFont="1" applyFill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0" fontId="9" fillId="3" borderId="1" xfId="0" quotePrefix="1" applyFont="1" applyFill="1" applyBorder="1" applyAlignment="1">
      <alignment horizontal="left"/>
    </xf>
    <xf numFmtId="17" fontId="3" fillId="9" borderId="1" xfId="0" quotePrefix="1" applyNumberFormat="1" applyFont="1" applyFill="1" applyBorder="1" applyAlignment="1">
      <alignment horizontal="left"/>
    </xf>
    <xf numFmtId="164" fontId="9" fillId="9" borderId="1" xfId="0" applyNumberFormat="1" applyFont="1" applyFill="1" applyBorder="1" applyAlignment="1">
      <alignment horizontal="left"/>
    </xf>
    <xf numFmtId="10" fontId="3" fillId="9" borderId="1" xfId="0" applyNumberFormat="1" applyFont="1" applyFill="1" applyBorder="1" applyAlignment="1">
      <alignment horizontal="left"/>
    </xf>
    <xf numFmtId="0" fontId="9" fillId="0" borderId="1" xfId="0" quotePrefix="1" applyFont="1" applyBorder="1" applyAlignment="1">
      <alignment horizontal="left"/>
    </xf>
    <xf numFmtId="164" fontId="3" fillId="9" borderId="1" xfId="0" applyNumberFormat="1" applyFont="1" applyFill="1" applyBorder="1" applyAlignment="1">
      <alignment horizontal="left"/>
    </xf>
    <xf numFmtId="2" fontId="3" fillId="9" borderId="1" xfId="0" applyNumberFormat="1" applyFont="1" applyFill="1" applyBorder="1" applyAlignment="1">
      <alignment horizontal="left"/>
    </xf>
    <xf numFmtId="164" fontId="3" fillId="9" borderId="1" xfId="0" applyNumberFormat="1" applyFont="1" applyFill="1" applyBorder="1"/>
    <xf numFmtId="0" fontId="9" fillId="0" borderId="1" xfId="0" applyFont="1" applyBorder="1"/>
    <xf numFmtId="171" fontId="3" fillId="9" borderId="1" xfId="0" applyNumberFormat="1" applyFont="1" applyFill="1" applyBorder="1" applyAlignment="1">
      <alignment horizontal="left"/>
    </xf>
    <xf numFmtId="0" fontId="3" fillId="11" borderId="1" xfId="0" applyFont="1" applyFill="1" applyBorder="1" applyAlignment="1">
      <alignment horizontal="left"/>
    </xf>
    <xf numFmtId="4" fontId="3" fillId="9" borderId="1" xfId="0" applyNumberFormat="1" applyFont="1" applyFill="1" applyBorder="1" applyAlignment="1">
      <alignment horizontal="left"/>
    </xf>
    <xf numFmtId="0" fontId="9" fillId="9" borderId="1" xfId="0" quotePrefix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9" fillId="0" borderId="0" xfId="0" applyFont="1"/>
    <xf numFmtId="0" fontId="9" fillId="0" borderId="1" xfId="0" applyFont="1" applyBorder="1" applyAlignment="1">
      <alignment horizontal="center"/>
    </xf>
    <xf numFmtId="164" fontId="3" fillId="8" borderId="0" xfId="0" applyNumberFormat="1" applyFont="1" applyFill="1" applyAlignment="1">
      <alignment horizontal="left"/>
    </xf>
    <xf numFmtId="172" fontId="3" fillId="8" borderId="0" xfId="0" applyNumberFormat="1" applyFont="1" applyFill="1" applyAlignment="1">
      <alignment horizontal="left"/>
    </xf>
    <xf numFmtId="174" fontId="3" fillId="8" borderId="0" xfId="0" applyNumberFormat="1" applyFont="1" applyFill="1" applyAlignment="1">
      <alignment horizontal="left"/>
    </xf>
    <xf numFmtId="174" fontId="3" fillId="8" borderId="0" xfId="0" applyNumberFormat="1" applyFont="1" applyFill="1"/>
    <xf numFmtId="0" fontId="2" fillId="0" borderId="1" xfId="0" applyFont="1" applyFill="1" applyBorder="1"/>
    <xf numFmtId="0" fontId="6" fillId="2" borderId="18" xfId="0" applyFont="1" applyFill="1" applyBorder="1" applyAlignment="1">
      <alignment horizontal="left" wrapText="1"/>
    </xf>
    <xf numFmtId="0" fontId="6" fillId="2" borderId="20" xfId="0" applyFont="1" applyFill="1" applyBorder="1" applyAlignment="1">
      <alignment horizontal="left" wrapText="1"/>
    </xf>
    <xf numFmtId="0" fontId="6" fillId="2" borderId="19" xfId="0" applyFont="1" applyFill="1" applyBorder="1" applyAlignment="1">
      <alignment horizontal="left" wrapText="1"/>
    </xf>
    <xf numFmtId="3" fontId="3" fillId="0" borderId="1" xfId="0" applyNumberFormat="1" applyFont="1" applyBorder="1" applyAlignment="1">
      <alignment horizontal="left"/>
    </xf>
    <xf numFmtId="0" fontId="2" fillId="9" borderId="1" xfId="0" applyFont="1" applyFill="1" applyBorder="1" applyAlignment="1">
      <alignment horizontal="left"/>
    </xf>
    <xf numFmtId="3" fontId="2" fillId="0" borderId="1" xfId="0" applyNumberFormat="1" applyFont="1" applyBorder="1" applyAlignment="1">
      <alignment horizontal="left"/>
    </xf>
    <xf numFmtId="3" fontId="9" fillId="0" borderId="1" xfId="0" applyNumberFormat="1" applyFont="1" applyBorder="1" applyAlignment="1">
      <alignment horizontal="left"/>
    </xf>
    <xf numFmtId="3" fontId="3" fillId="9" borderId="1" xfId="0" applyNumberFormat="1" applyFont="1" applyFill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9" fillId="0" borderId="0" xfId="0" applyFont="1" applyAlignment="1">
      <alignment horizontal="center"/>
    </xf>
    <xf numFmtId="0" fontId="6" fillId="2" borderId="2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wrapText="1"/>
    </xf>
    <xf numFmtId="0" fontId="1" fillId="12" borderId="1" xfId="2" applyFont="1" applyFill="1" applyBorder="1" applyAlignment="1">
      <alignment horizontal="center" wrapText="1"/>
    </xf>
    <xf numFmtId="0" fontId="1" fillId="13" borderId="1" xfId="2" applyFont="1" applyFill="1" applyBorder="1" applyAlignment="1">
      <alignment horizontal="center" wrapText="1"/>
    </xf>
    <xf numFmtId="0" fontId="1" fillId="5" borderId="1" xfId="2" applyFont="1" applyFill="1" applyBorder="1" applyAlignment="1">
      <alignment horizontal="center" wrapText="1"/>
    </xf>
    <xf numFmtId="0" fontId="1" fillId="4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12" borderId="1" xfId="0" applyFont="1" applyFill="1" applyBorder="1" applyAlignment="1">
      <alignment horizontal="center" wrapText="1"/>
    </xf>
    <xf numFmtId="0" fontId="1" fillId="13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5" borderId="1" xfId="2" applyFont="1" applyFill="1" applyBorder="1" applyAlignment="1"/>
    <xf numFmtId="0" fontId="1" fillId="12" borderId="1" xfId="2" applyFont="1" applyFill="1" applyBorder="1" applyAlignment="1"/>
    <xf numFmtId="0" fontId="1" fillId="13" borderId="1" xfId="2" applyFont="1" applyFill="1" applyBorder="1" applyAlignment="1"/>
    <xf numFmtId="17" fontId="16" fillId="9" borderId="1" xfId="0" quotePrefix="1" applyNumberFormat="1" applyFont="1" applyFill="1" applyBorder="1" applyAlignment="1">
      <alignment horizontal="left"/>
    </xf>
    <xf numFmtId="174" fontId="2" fillId="0" borderId="1" xfId="0" applyNumberFormat="1" applyFont="1" applyFill="1" applyBorder="1"/>
    <xf numFmtId="3" fontId="2" fillId="0" borderId="1" xfId="3" applyNumberFormat="1" applyFont="1" applyFill="1" applyBorder="1" applyAlignment="1">
      <alignment horizontal="right" vertical="center"/>
    </xf>
    <xf numFmtId="172" fontId="2" fillId="0" borderId="1" xfId="0" applyNumberFormat="1" applyFont="1" applyFill="1" applyBorder="1"/>
    <xf numFmtId="0" fontId="9" fillId="0" borderId="0" xfId="0" applyFont="1" applyFill="1"/>
    <xf numFmtId="0" fontId="9" fillId="0" borderId="25" xfId="0" applyFont="1" applyBorder="1"/>
    <xf numFmtId="0" fontId="6" fillId="2" borderId="5" xfId="0" applyFont="1" applyFill="1" applyBorder="1" applyAlignment="1">
      <alignment horizontal="center" wrapText="1"/>
    </xf>
    <xf numFmtId="0" fontId="3" fillId="10" borderId="2" xfId="0" applyFont="1" applyFill="1" applyBorder="1" applyAlignment="1">
      <alignment horizontal="left"/>
    </xf>
    <xf numFmtId="0" fontId="3" fillId="9" borderId="2" xfId="0" applyFont="1" applyFill="1" applyBorder="1" applyAlignment="1">
      <alignment horizontal="left"/>
    </xf>
    <xf numFmtId="0" fontId="3" fillId="7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10" borderId="2" xfId="0" applyFont="1" applyFill="1" applyBorder="1" applyAlignment="1">
      <alignment horizontal="left"/>
    </xf>
    <xf numFmtId="2" fontId="2" fillId="10" borderId="2" xfId="0" applyNumberFormat="1" applyFont="1" applyFill="1" applyBorder="1" applyAlignment="1">
      <alignment horizontal="left"/>
    </xf>
    <xf numFmtId="0" fontId="9" fillId="0" borderId="2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173" fontId="2" fillId="0" borderId="1" xfId="0" applyNumberFormat="1" applyFont="1" applyFill="1" applyBorder="1"/>
    <xf numFmtId="3" fontId="2" fillId="0" borderId="10" xfId="0" applyNumberFormat="1" applyFont="1" applyFill="1" applyBorder="1" applyAlignment="1">
      <alignment horizontal="center"/>
    </xf>
    <xf numFmtId="0" fontId="2" fillId="0" borderId="10" xfId="0" applyFont="1" applyFill="1" applyBorder="1"/>
    <xf numFmtId="0" fontId="1" fillId="12" borderId="1" xfId="2" applyFont="1" applyFill="1" applyBorder="1" applyAlignment="1">
      <alignment horizontal="left" wrapText="1"/>
    </xf>
    <xf numFmtId="0" fontId="1" fillId="12" borderId="1" xfId="2" applyFont="1" applyFill="1" applyBorder="1" applyAlignment="1">
      <alignment horizontal="left"/>
    </xf>
    <xf numFmtId="0" fontId="1" fillId="12" borderId="1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1" fillId="13" borderId="1" xfId="2" applyFont="1" applyFill="1" applyBorder="1"/>
    <xf numFmtId="174" fontId="2" fillId="0" borderId="10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0" fontId="1" fillId="13" borderId="2" xfId="2" applyFont="1" applyFill="1" applyBorder="1" applyAlignment="1">
      <alignment horizontal="center" wrapText="1"/>
    </xf>
    <xf numFmtId="0" fontId="1" fillId="13" borderId="4" xfId="2" applyFont="1" applyFill="1" applyBorder="1" applyAlignment="1">
      <alignment horizontal="center" wrapText="1"/>
    </xf>
    <xf numFmtId="177" fontId="2" fillId="0" borderId="10" xfId="0" applyNumberFormat="1" applyFont="1" applyFill="1" applyBorder="1" applyAlignment="1">
      <alignment horizontal="center"/>
    </xf>
    <xf numFmtId="4" fontId="2" fillId="0" borderId="10" xfId="0" applyNumberFormat="1" applyFont="1" applyFill="1" applyBorder="1"/>
    <xf numFmtId="173" fontId="2" fillId="0" borderId="10" xfId="0" applyNumberFormat="1" applyFont="1" applyFill="1" applyBorder="1"/>
    <xf numFmtId="180" fontId="2" fillId="0" borderId="10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/>
    <xf numFmtId="0" fontId="2" fillId="0" borderId="10" xfId="0" applyNumberFormat="1" applyFont="1" applyFill="1" applyBorder="1" applyAlignment="1"/>
    <xf numFmtId="0" fontId="2" fillId="0" borderId="0" xfId="0" applyFont="1" applyFill="1"/>
    <xf numFmtId="0" fontId="1" fillId="13" borderId="3" xfId="2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6" fillId="2" borderId="21" xfId="0" applyFont="1" applyFill="1" applyBorder="1" applyAlignment="1">
      <alignment horizontal="left" wrapText="1"/>
    </xf>
    <xf numFmtId="0" fontId="6" fillId="2" borderId="23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/>
    </xf>
    <xf numFmtId="0" fontId="11" fillId="2" borderId="24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/>
    </xf>
    <xf numFmtId="0" fontId="5" fillId="0" borderId="1" xfId="2" applyFont="1" applyFill="1" applyBorder="1" applyAlignment="1">
      <alignment horizontal="left"/>
    </xf>
    <xf numFmtId="1" fontId="2" fillId="0" borderId="10" xfId="0" applyNumberFormat="1" applyFont="1" applyFill="1" applyBorder="1" applyAlignment="1">
      <alignment horizontal="center"/>
    </xf>
    <xf numFmtId="172" fontId="2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74" fontId="2" fillId="0" borderId="1" xfId="0" applyNumberFormat="1" applyFont="1" applyFill="1" applyBorder="1" applyAlignment="1">
      <alignment horizontal="center"/>
    </xf>
    <xf numFmtId="172" fontId="2" fillId="0" borderId="1" xfId="0" applyNumberFormat="1" applyFont="1" applyFill="1" applyBorder="1" applyAlignment="1">
      <alignment horizontal="center"/>
    </xf>
    <xf numFmtId="175" fontId="2" fillId="0" borderId="1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77" fontId="2" fillId="0" borderId="10" xfId="0" applyNumberFormat="1" applyFont="1" applyFill="1" applyBorder="1"/>
    <xf numFmtId="3" fontId="2" fillId="0" borderId="10" xfId="0" applyNumberFormat="1" applyFont="1" applyFill="1" applyBorder="1"/>
    <xf numFmtId="176" fontId="2" fillId="0" borderId="10" xfId="0" applyNumberFormat="1" applyFont="1" applyFill="1" applyBorder="1"/>
    <xf numFmtId="11" fontId="2" fillId="0" borderId="10" xfId="0" applyNumberFormat="1" applyFont="1" applyFill="1" applyBorder="1" applyAlignment="1"/>
    <xf numFmtId="172" fontId="2" fillId="0" borderId="10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177" fontId="2" fillId="0" borderId="1" xfId="0" applyNumberFormat="1" applyFont="1" applyFill="1" applyBorder="1"/>
    <xf numFmtId="175" fontId="2" fillId="0" borderId="1" xfId="0" applyNumberFormat="1" applyFont="1" applyFill="1" applyBorder="1"/>
    <xf numFmtId="176" fontId="2" fillId="0" borderId="1" xfId="0" applyNumberFormat="1" applyFont="1" applyFill="1" applyBorder="1"/>
    <xf numFmtId="11" fontId="2" fillId="0" borderId="1" xfId="0" applyNumberFormat="1" applyFont="1" applyFill="1" applyBorder="1" applyAlignment="1"/>
    <xf numFmtId="10" fontId="2" fillId="0" borderId="1" xfId="0" applyNumberFormat="1" applyFont="1" applyFill="1" applyBorder="1"/>
    <xf numFmtId="173" fontId="2" fillId="0" borderId="1" xfId="0" applyNumberFormat="1" applyFont="1" applyFill="1" applyBorder="1" applyAlignment="1"/>
    <xf numFmtId="4" fontId="2" fillId="0" borderId="1" xfId="0" applyNumberFormat="1" applyFont="1" applyFill="1" applyBorder="1"/>
    <xf numFmtId="179" fontId="2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horizontal="right"/>
    </xf>
    <xf numFmtId="3" fontId="2" fillId="0" borderId="1" xfId="3" applyNumberFormat="1" applyFont="1" applyFill="1" applyBorder="1" applyAlignment="1">
      <alignment horizontal="center" vertical="center"/>
    </xf>
    <xf numFmtId="0" fontId="1" fillId="13" borderId="26" xfId="2" applyFont="1" applyFill="1" applyBorder="1" applyAlignment="1">
      <alignment horizontal="center" wrapText="1"/>
    </xf>
    <xf numFmtId="175" fontId="2" fillId="0" borderId="1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184" fontId="2" fillId="0" borderId="10" xfId="0" applyNumberFormat="1" applyFont="1" applyFill="1" applyBorder="1" applyAlignment="1">
      <alignment horizontal="center"/>
    </xf>
  </cellXfs>
  <cellStyles count="5">
    <cellStyle name="Good" xfId="1" builtinId="26"/>
    <cellStyle name="Normal" xfId="0" builtinId="0"/>
    <cellStyle name="Normal 2" xfId="3" xr:uid="{FF0BADBC-C744-4934-8CBA-6E19829DC1DA}"/>
    <cellStyle name="Normal 2 2" xfId="4" xr:uid="{A4A329F0-8A5D-4AFE-A526-BC298CA32BEA}"/>
    <cellStyle name="Normal_Steel plant info for ISIS" xfId="2" xr:uid="{C8955F52-5996-40F5-8804-3A4FEB31E08C}"/>
  </cellStyles>
  <dxfs count="0"/>
  <tableStyles count="0" defaultTableStyle="TableStyleMedium2" defaultPivotStyle="PivotStyleLight16"/>
  <colors>
    <mruColors>
      <color rgb="FF33E5FD"/>
      <color rgb="FF99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0210426-EPA_SPPD_(Opt3)/0210426.003.014-Post_Promul/Data_and_Tools/Mineral%20Wool%20(2009)/ICR/MW%20Test%20Methods%20Templates%20Not%20Supported%20by%20E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0217382-EPA_MME/0217382.012-Iron&amp;Steel/Data_and_Tools/Coke%20Ovens/Test%20Data%20Database/CokeOvens-Enclosure2-QA-Emissions-Data-Sept-2019-IndustryQA-Include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hrist/AppData/Local/Temp/Example%20Docs%20from%20other%20ICRs/WF%20Test%20Methods%20Template%20Not%20Supported%20by%20E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tilitymacticr.rti.org/Copy_of_FuelAnalysi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hrist/AppData/Local/Temp/Example%20Docs%20from%20other%20ICRs/Phosphate_ICR_HgASTM-D6784-02_(3-1-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rocess Unit Information"/>
      <sheetName val="CO Emission Data"/>
      <sheetName val="COS Emission Data"/>
      <sheetName val="Formaldehyde Emission Data"/>
      <sheetName val="Phenol Emission Data"/>
      <sheetName val="Methanol Emission Data"/>
      <sheetName val="Hg Emission Data-30B"/>
      <sheetName val="Hex Chromium Emission Data"/>
      <sheetName val="HF Emission Data"/>
      <sheetName val="HCl Emission"/>
      <sheetName val="O2 and CO2 Emission Data"/>
      <sheetName val="Picklists"/>
    </sheetNames>
    <sheetDataSet>
      <sheetData sheetId="0" refreshError="1"/>
      <sheetData sheetId="1">
        <row r="9">
          <cell r="D9" t="str">
            <v>Listed (by Equipment/process(es) controlled) on Form C-1 of questionnaire</v>
          </cell>
        </row>
        <row r="10">
          <cell r="D10" t="str">
            <v>Listed (by Equipment/process(es) controlled) on Form C-2 of questionnaire</v>
          </cell>
        </row>
        <row r="11">
          <cell r="D11" t="str">
            <v>Listed (by Equipment/process(es) controlled) on Form C-3 of questionnaire</v>
          </cell>
        </row>
        <row r="12">
          <cell r="D12" t="str">
            <v>Listed (by Equipment/process(es) controlled) on Form C-4 of questionnaire</v>
          </cell>
        </row>
        <row r="13">
          <cell r="D13" t="str">
            <v>Listed (by Equipment/process(es) controlled) on Form C-5 of questionnaire</v>
          </cell>
        </row>
        <row r="14">
          <cell r="D14" t="str">
            <v>Listed (by Equipment/process(es) controlled) on Form C-6 of questionnaire</v>
          </cell>
        </row>
        <row r="15">
          <cell r="D15" t="str">
            <v>Listed (by Equipment/process(es) controlled) on Form C-7 of questionnaire</v>
          </cell>
        </row>
        <row r="16">
          <cell r="D16" t="str">
            <v>Listed (by Equipment/process(es) controlled) on Form C-8 of questionnaire</v>
          </cell>
        </row>
        <row r="17">
          <cell r="D17" t="str">
            <v>Listed (by Equipment/process(es) controlled) on Form C-9 of questionnaire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">
          <cell r="B3" t="str">
            <v>anthracite</v>
          </cell>
        </row>
        <row r="4">
          <cell r="B4" t="str">
            <v>bituminous</v>
          </cell>
          <cell r="D4" t="str">
            <v>Acetone</v>
          </cell>
          <cell r="G4" t="str">
            <v>Acenaphthene</v>
          </cell>
        </row>
        <row r="5">
          <cell r="B5" t="str">
            <v>subbituminous</v>
          </cell>
          <cell r="D5" t="str">
            <v>Acetonitrile</v>
          </cell>
          <cell r="G5" t="str">
            <v>Acenaphthylene</v>
          </cell>
        </row>
        <row r="6">
          <cell r="B6" t="str">
            <v>lignite</v>
          </cell>
          <cell r="D6" t="str">
            <v>Acrolein (Propenal)</v>
          </cell>
          <cell r="G6" t="str">
            <v>Acetophenone</v>
          </cell>
        </row>
        <row r="7">
          <cell r="B7" t="str">
            <v>coal refuse (culm or gob)</v>
          </cell>
          <cell r="D7" t="str">
            <v>Acrylonitrile</v>
          </cell>
          <cell r="G7" t="str">
            <v>2-Acetylaminofluorene</v>
          </cell>
        </row>
        <row r="8">
          <cell r="B8" t="str">
            <v>No.2 Fuel Oil (distillate)</v>
          </cell>
          <cell r="D8" t="str">
            <v>Allyl alcohol</v>
          </cell>
          <cell r="G8" t="str">
            <v>1-Acetyl-2-thiourea</v>
          </cell>
        </row>
        <row r="9">
          <cell r="B9" t="str">
            <v>No.6 Fuel Oil (residual or bunker C)</v>
          </cell>
          <cell r="D9" t="str">
            <v>Allyl chloride</v>
          </cell>
          <cell r="G9" t="str">
            <v>Aldrin</v>
          </cell>
        </row>
        <row r="10">
          <cell r="B10" t="str">
            <v>synfuel</v>
          </cell>
          <cell r="D10" t="str">
            <v>Benzene</v>
          </cell>
          <cell r="G10" t="str">
            <v>2-Aminoanthraquinone</v>
          </cell>
        </row>
        <row r="11">
          <cell r="B11" t="str">
            <v>petroleum coke</v>
          </cell>
          <cell r="D11" t="str">
            <v>Benzyl chloride</v>
          </cell>
          <cell r="G11" t="str">
            <v>Aminoazobenzene</v>
          </cell>
        </row>
        <row r="12">
          <cell r="B12" t="str">
            <v>other</v>
          </cell>
          <cell r="D12" t="str">
            <v>Bis(2-chloroethyl)sulfide</v>
          </cell>
          <cell r="G12" t="str">
            <v>4-Aminobiphenyl</v>
          </cell>
        </row>
        <row r="13">
          <cell r="D13" t="str">
            <v>Bromoacetone</v>
          </cell>
          <cell r="G13" t="str">
            <v>3-Amino-9-ethylcarbazole</v>
          </cell>
        </row>
        <row r="14">
          <cell r="D14" t="str">
            <v>Bromochloromethane</v>
          </cell>
          <cell r="G14" t="str">
            <v>Anilazine</v>
          </cell>
        </row>
        <row r="15">
          <cell r="D15" t="str">
            <v>Bromodichloromethane</v>
          </cell>
          <cell r="G15" t="str">
            <v>Aniline</v>
          </cell>
        </row>
        <row r="16">
          <cell r="D16" t="str">
            <v>4-Bromofluorobenzene (surr)</v>
          </cell>
          <cell r="G16" t="str">
            <v>o-Anisidine</v>
          </cell>
        </row>
        <row r="17">
          <cell r="D17" t="str">
            <v>Bromoform</v>
          </cell>
          <cell r="G17" t="str">
            <v>Anthracene</v>
          </cell>
        </row>
        <row r="18">
          <cell r="D18" t="str">
            <v>Bromomethane</v>
          </cell>
          <cell r="G18" t="str">
            <v>Aramite</v>
          </cell>
        </row>
        <row r="19">
          <cell r="D19" t="str">
            <v>n-Butanol</v>
          </cell>
          <cell r="G19" t="str">
            <v>Aroclor 1016</v>
          </cell>
        </row>
        <row r="20">
          <cell r="D20" t="str">
            <v>2-Butanone (MEK)</v>
          </cell>
          <cell r="G20" t="str">
            <v>Aroclor 1221</v>
          </cell>
        </row>
        <row r="21">
          <cell r="B21" t="str">
            <v>MMBtu/hr</v>
          </cell>
          <cell r="D21" t="str">
            <v>t-Butyl alcohol</v>
          </cell>
          <cell r="G21" t="str">
            <v>Aroclor 1232</v>
          </cell>
        </row>
        <row r="22">
          <cell r="B22" t="str">
            <v>standard cubic feet per minute (scfm)</v>
          </cell>
          <cell r="D22" t="str">
            <v>Carbon disulfide</v>
          </cell>
          <cell r="G22" t="str">
            <v>Aroclor 1242</v>
          </cell>
        </row>
        <row r="23">
          <cell r="B23" t="str">
            <v>gallon/minute</v>
          </cell>
          <cell r="D23" t="str">
            <v>Carbon tetrachloride</v>
          </cell>
          <cell r="G23" t="str">
            <v>Aroclor 1248</v>
          </cell>
        </row>
        <row r="24">
          <cell r="B24" t="str">
            <v>lb/hour</v>
          </cell>
          <cell r="D24" t="str">
            <v>Chloral hydrate</v>
          </cell>
          <cell r="G24" t="str">
            <v>Aroclor 1254</v>
          </cell>
        </row>
        <row r="25">
          <cell r="B25" t="str">
            <v>ton/day</v>
          </cell>
          <cell r="D25" t="str">
            <v>Chlorobenzene</v>
          </cell>
          <cell r="G25" t="str">
            <v>Aroclor 1260</v>
          </cell>
        </row>
        <row r="26">
          <cell r="D26" t="str">
            <v>Chlorobenzene-d (IS)</v>
          </cell>
          <cell r="G26" t="str">
            <v>Azinphos-methyl</v>
          </cell>
        </row>
        <row r="27">
          <cell r="D27" t="str">
            <v>Chlorodibromomethane</v>
          </cell>
          <cell r="G27" t="str">
            <v>Barban</v>
          </cell>
        </row>
        <row r="28">
          <cell r="D28" t="str">
            <v>Chloroethane</v>
          </cell>
          <cell r="G28" t="str">
            <v>Benzidine</v>
          </cell>
        </row>
        <row r="29">
          <cell r="B29" t="str">
            <v>acfm</v>
          </cell>
          <cell r="D29" t="str">
            <v>2-Chloroethanol</v>
          </cell>
          <cell r="G29" t="str">
            <v>Benzoic acid</v>
          </cell>
        </row>
        <row r="30">
          <cell r="B30" t="str">
            <v>dscfm</v>
          </cell>
          <cell r="D30" t="str">
            <v>2-Chloroethyl vinyl ether</v>
          </cell>
          <cell r="G30" t="str">
            <v>Benz(a)anthracene</v>
          </cell>
        </row>
        <row r="31">
          <cell r="D31" t="str">
            <v>Chloroform</v>
          </cell>
          <cell r="G31" t="str">
            <v>Benzo(b)fluoranthene</v>
          </cell>
        </row>
        <row r="32">
          <cell r="D32" t="str">
            <v>Chloromethane</v>
          </cell>
          <cell r="G32" t="str">
            <v>Benzo(k)fluoranthene</v>
          </cell>
        </row>
        <row r="33">
          <cell r="D33" t="str">
            <v>Chloroprene</v>
          </cell>
          <cell r="G33" t="str">
            <v>Benzo(g,h,i)perylene</v>
          </cell>
        </row>
        <row r="34">
          <cell r="B34" t="str">
            <v>deg C</v>
          </cell>
          <cell r="D34" t="str">
            <v>3-Chloropropionitrile</v>
          </cell>
          <cell r="G34" t="str">
            <v>Benzo(a)pyrene</v>
          </cell>
        </row>
        <row r="35">
          <cell r="B35" t="str">
            <v>deg F</v>
          </cell>
          <cell r="D35" t="str">
            <v>Crotonaldehyde</v>
          </cell>
          <cell r="G35" t="str">
            <v>p-Benzoquinone</v>
          </cell>
        </row>
        <row r="36">
          <cell r="D36" t="str">
            <v>1,2-Dibromo-3-chloropropane</v>
          </cell>
          <cell r="G36" t="str">
            <v>Benzyl alcohol</v>
          </cell>
        </row>
        <row r="37">
          <cell r="D37" t="str">
            <v>1,2-Dibromoethane</v>
          </cell>
          <cell r="G37" t="str">
            <v>α-BHC</v>
          </cell>
        </row>
        <row r="38">
          <cell r="D38" t="str">
            <v>Dibromomethane</v>
          </cell>
          <cell r="G38" t="str">
            <v>β-BHC</v>
          </cell>
        </row>
        <row r="39">
          <cell r="B39" t="str">
            <v>F-Factor</v>
          </cell>
          <cell r="D39" t="str">
            <v>1,2-Dichlorobenzene</v>
          </cell>
          <cell r="G39" t="str">
            <v>δ-BHC</v>
          </cell>
        </row>
        <row r="40">
          <cell r="B40" t="str">
            <v>gas fuel meter</v>
          </cell>
          <cell r="D40" t="str">
            <v>1,3-Dichlorobenzene</v>
          </cell>
          <cell r="G40" t="str">
            <v>γ-BHC (Lindane)</v>
          </cell>
        </row>
        <row r="41">
          <cell r="B41" t="str">
            <v>boiler efficiency calculation</v>
          </cell>
          <cell r="D41" t="str">
            <v>1,4-Dichlorobenzene</v>
          </cell>
          <cell r="G41" t="str">
            <v>Bis(2-chloroethoxy)methane</v>
          </cell>
        </row>
        <row r="42">
          <cell r="B42" t="str">
            <v>Other</v>
          </cell>
          <cell r="D42" t="str">
            <v>1,4-Dichlorobenzene-d (IS)</v>
          </cell>
          <cell r="G42" t="str">
            <v>Bis(2-chloroethyl) ether</v>
          </cell>
        </row>
        <row r="43">
          <cell r="D43" t="str">
            <v>cis-1,4-Dichloro-2-butene</v>
          </cell>
          <cell r="G43" t="str">
            <v>Bis(2-chloroisopropyl) ether</v>
          </cell>
        </row>
        <row r="44">
          <cell r="D44" t="str">
            <v>trans-1,4-Dichloro-2-butene</v>
          </cell>
          <cell r="G44" t="str">
            <v>Bis(2-ethylhexyl) phthalate</v>
          </cell>
        </row>
        <row r="45">
          <cell r="D45" t="str">
            <v>Dichlorodifluoromethane</v>
          </cell>
          <cell r="G45" t="str">
            <v>4-Bromophenyl phenyl ether</v>
          </cell>
        </row>
        <row r="46">
          <cell r="B46" t="str">
            <v>U.S. EPA Method 10A</v>
          </cell>
          <cell r="D46" t="str">
            <v>1,1-Dichloroethane</v>
          </cell>
          <cell r="G46" t="str">
            <v>Bromoxynil</v>
          </cell>
        </row>
        <row r="47">
          <cell r="B47" t="str">
            <v>U.S. EPA Method 10B</v>
          </cell>
          <cell r="D47" t="str">
            <v>1,2-Dichloroethane</v>
          </cell>
          <cell r="G47" t="str">
            <v>Butyl benzyl phthalate</v>
          </cell>
        </row>
        <row r="48">
          <cell r="D48" t="str">
            <v>1,2-Dichloroethane-d (surr)</v>
          </cell>
          <cell r="G48" t="str">
            <v>Captafol</v>
          </cell>
        </row>
        <row r="49">
          <cell r="D49" t="str">
            <v>1,1-Dichloroethene</v>
          </cell>
          <cell r="G49" t="str">
            <v>Captan</v>
          </cell>
        </row>
        <row r="50">
          <cell r="D50" t="str">
            <v>trans-1,2-Dichloroethene</v>
          </cell>
          <cell r="G50" t="str">
            <v>Carbaryl</v>
          </cell>
        </row>
        <row r="51">
          <cell r="B51" t="str">
            <v>U.S. EPA Method 320</v>
          </cell>
          <cell r="D51" t="str">
            <v>1,2-Dichloropropane</v>
          </cell>
          <cell r="G51" t="str">
            <v>Carbofuran</v>
          </cell>
        </row>
        <row r="52">
          <cell r="D52" t="str">
            <v>1,3-Dichloro-2-propanol</v>
          </cell>
          <cell r="G52" t="str">
            <v>Carbophenothion</v>
          </cell>
        </row>
        <row r="53">
          <cell r="D53" t="str">
            <v>cis-1,3-Dichloropropene</v>
          </cell>
          <cell r="G53" t="str">
            <v>Chlordane (NOS)</v>
          </cell>
        </row>
        <row r="54">
          <cell r="D54" t="str">
            <v>trans-1,3-Dichloropropene</v>
          </cell>
          <cell r="G54" t="str">
            <v>Chlorfenvinphos</v>
          </cell>
        </row>
        <row r="55">
          <cell r="B55" t="str">
            <v>U.S. EPA Method 18</v>
          </cell>
          <cell r="D55" t="str">
            <v>1,2,3,4-Diepoxybutane</v>
          </cell>
          <cell r="G55" t="str">
            <v>4-Chloroaniline</v>
          </cell>
        </row>
        <row r="56">
          <cell r="B56" t="str">
            <v>U.S. EPA Method 320</v>
          </cell>
          <cell r="D56" t="str">
            <v>Diethyl ether</v>
          </cell>
          <cell r="G56" t="str">
            <v>Chlorobenzilate</v>
          </cell>
        </row>
        <row r="57">
          <cell r="D57" t="str">
            <v>1,4-Difluorobenzene (IS)</v>
          </cell>
          <cell r="G57" t="str">
            <v>5-Chloro-2-methylaniline</v>
          </cell>
        </row>
        <row r="58">
          <cell r="D58" t="str">
            <v>1,4-Dioxane</v>
          </cell>
          <cell r="G58" t="str">
            <v>4-Chloro-3-methylphenol</v>
          </cell>
        </row>
        <row r="59">
          <cell r="D59" t="str">
            <v>Epichlorohydrin</v>
          </cell>
          <cell r="G59" t="str">
            <v>3-(Chloromethyl)pyridine hydrochloride</v>
          </cell>
        </row>
        <row r="60">
          <cell r="B60" t="str">
            <v>U.S. EPA Method 6</v>
          </cell>
          <cell r="D60" t="str">
            <v>Ethanol</v>
          </cell>
          <cell r="G60" t="str">
            <v>1-Chloronaphthalene</v>
          </cell>
        </row>
        <row r="61">
          <cell r="D61" t="str">
            <v>Ethyl acetate</v>
          </cell>
          <cell r="G61" t="str">
            <v>2-Chloronaphthalene</v>
          </cell>
        </row>
        <row r="62">
          <cell r="D62" t="str">
            <v>Ethylbenzene</v>
          </cell>
          <cell r="G62" t="str">
            <v>2-Chlorophenol</v>
          </cell>
        </row>
        <row r="63">
          <cell r="D63" t="str">
            <v>Ethylene oxide</v>
          </cell>
          <cell r="G63" t="str">
            <v>4-Chloro-1,2-phenylenediamine</v>
          </cell>
        </row>
        <row r="64">
          <cell r="B64" t="str">
            <v>U.S. EPA Method 30B</v>
          </cell>
          <cell r="D64" t="str">
            <v>Ethyl methacrylate</v>
          </cell>
          <cell r="G64" t="str">
            <v>4-Chloro-1,3-phenylenediamine</v>
          </cell>
        </row>
        <row r="65">
          <cell r="D65" t="str">
            <v>Fluorobenzene (IS)</v>
          </cell>
          <cell r="G65" t="str">
            <v>4-Chlorophenyl phenyl ether</v>
          </cell>
        </row>
        <row r="66">
          <cell r="D66" t="str">
            <v>Hexachlorobutadiene</v>
          </cell>
          <cell r="G66" t="str">
            <v>Chrysene</v>
          </cell>
        </row>
        <row r="67">
          <cell r="D67" t="str">
            <v>Hexachloroethane</v>
          </cell>
          <cell r="G67" t="str">
            <v>Coumaphos</v>
          </cell>
        </row>
        <row r="68">
          <cell r="B68" t="str">
            <v>U.S. EPA Method 0031 with SW-846 Method 8260B</v>
          </cell>
          <cell r="D68" t="str">
            <v>2-Hexanone</v>
          </cell>
          <cell r="G68" t="str">
            <v>p-Cresidine</v>
          </cell>
        </row>
        <row r="69">
          <cell r="D69" t="str">
            <v>2-Hydroxypropionitrile</v>
          </cell>
          <cell r="G69" t="str">
            <v>Crotoxyphos</v>
          </cell>
        </row>
        <row r="70">
          <cell r="D70" t="str">
            <v>Iodomethane</v>
          </cell>
          <cell r="G70" t="str">
            <v>2-Cyclohexyl-4,6-dinitro-phenol</v>
          </cell>
        </row>
        <row r="71">
          <cell r="D71" t="str">
            <v>Isobutyl alcohol</v>
          </cell>
          <cell r="G71" t="str">
            <v>4,4'-DDD</v>
          </cell>
        </row>
        <row r="72">
          <cell r="B72" t="str">
            <v>U.S. EPA Method 0010 with SW-846 Method 8270D</v>
          </cell>
          <cell r="D72" t="str">
            <v>Isopropylbenzene</v>
          </cell>
          <cell r="G72" t="str">
            <v>4,4'-DDE</v>
          </cell>
        </row>
        <row r="73">
          <cell r="D73" t="str">
            <v>Malononitrile</v>
          </cell>
          <cell r="G73" t="str">
            <v>4,4'-DDT</v>
          </cell>
        </row>
        <row r="74">
          <cell r="D74" t="str">
            <v>Methacrylonitrile</v>
          </cell>
          <cell r="G74" t="str">
            <v>Demeton-O</v>
          </cell>
        </row>
        <row r="75">
          <cell r="D75" t="str">
            <v>Methanol</v>
          </cell>
          <cell r="G75" t="str">
            <v>Demeton-S</v>
          </cell>
        </row>
        <row r="76">
          <cell r="B76" t="str">
            <v>U.S. EPA Conditional Test Method 033 (CTM-033)</v>
          </cell>
          <cell r="D76" t="str">
            <v>Methylene chloride</v>
          </cell>
          <cell r="G76" t="str">
            <v>Diallate (cis or trans)</v>
          </cell>
        </row>
        <row r="77">
          <cell r="D77" t="str">
            <v>Methyl methacrylate</v>
          </cell>
          <cell r="G77" t="str">
            <v>2,4-Diaminotoluene</v>
          </cell>
        </row>
        <row r="78">
          <cell r="D78" t="str">
            <v>4-Methyl-2-pentanone (MIBK)</v>
          </cell>
          <cell r="G78" t="str">
            <v>Dibenz(a,j)acridine</v>
          </cell>
        </row>
        <row r="79">
          <cell r="D79" t="str">
            <v>Naphthalene</v>
          </cell>
          <cell r="G79" t="str">
            <v>Dibenz(a,h)anthracene</v>
          </cell>
        </row>
        <row r="80">
          <cell r="D80" t="str">
            <v>Nitrobenzene</v>
          </cell>
          <cell r="G80" t="str">
            <v>Dibenzofuran</v>
          </cell>
        </row>
        <row r="81">
          <cell r="D81" t="str">
            <v>2-Nitropropane</v>
          </cell>
          <cell r="G81" t="str">
            <v>Dibenzo(a,e)pyrene</v>
          </cell>
        </row>
        <row r="82">
          <cell r="D82" t="str">
            <v>N-Nitroso-di-n-butylamine</v>
          </cell>
          <cell r="G82" t="str">
            <v>1,2-Dibromo-3-chloropropane</v>
          </cell>
        </row>
        <row r="83">
          <cell r="D83" t="str">
            <v>Paraldehyde</v>
          </cell>
          <cell r="G83" t="str">
            <v>Di-n-butyl phthalate</v>
          </cell>
        </row>
        <row r="84">
          <cell r="B84" t="str">
            <v>U.S. EPA Method 7</v>
          </cell>
          <cell r="D84" t="str">
            <v>Pentachloroethane</v>
          </cell>
          <cell r="G84" t="str">
            <v>Dichlone</v>
          </cell>
        </row>
        <row r="85">
          <cell r="B85" t="str">
            <v>U.S. EPA Method 7A</v>
          </cell>
          <cell r="D85" t="str">
            <v>2-Pentanone</v>
          </cell>
          <cell r="G85" t="str">
            <v>1,2-Dichlorobenzene</v>
          </cell>
        </row>
        <row r="86">
          <cell r="B86" t="str">
            <v>U.S. EPA Method 7B</v>
          </cell>
          <cell r="D86" t="str">
            <v>2-Picoline</v>
          </cell>
          <cell r="G86" t="str">
            <v>1,3-Dichlorobenzene</v>
          </cell>
        </row>
        <row r="87">
          <cell r="B87" t="str">
            <v>U.S. EPA Method 7C</v>
          </cell>
          <cell r="D87" t="str">
            <v>1-Propanol</v>
          </cell>
          <cell r="G87" t="str">
            <v>1,4-Dichlorobenzene</v>
          </cell>
        </row>
        <row r="88">
          <cell r="B88" t="str">
            <v>U.S. EPA Method 7D</v>
          </cell>
          <cell r="D88" t="str">
            <v>2-Propanol</v>
          </cell>
          <cell r="G88" t="str">
            <v>3,3'-Dichlorobenzidine</v>
          </cell>
        </row>
        <row r="89">
          <cell r="D89" t="str">
            <v>Propargyl alcohol</v>
          </cell>
          <cell r="G89" t="str">
            <v>2,4-Dichlorophenol</v>
          </cell>
        </row>
        <row r="90">
          <cell r="D90" t="str">
            <v>$-Propiolactone</v>
          </cell>
          <cell r="G90" t="str">
            <v>2,6-Dichlorophenol</v>
          </cell>
        </row>
        <row r="91">
          <cell r="D91" t="str">
            <v>Propionitrile (ethyl cyanide)</v>
          </cell>
          <cell r="G91" t="str">
            <v>Dichlorovos</v>
          </cell>
        </row>
        <row r="92">
          <cell r="B92" t="str">
            <v>Standard Test Method for Filterable and Nonfilterable Matter in Water ASTM D5907</v>
          </cell>
          <cell r="D92" t="str">
            <v>n-Propylamine</v>
          </cell>
          <cell r="G92" t="str">
            <v>Dicrotophos</v>
          </cell>
        </row>
        <row r="93">
          <cell r="B93" t="str">
            <v>Standard Methods of the Examination of Water and Wastewater Method 2540B</v>
          </cell>
          <cell r="D93" t="str">
            <v>Pyridine</v>
          </cell>
          <cell r="G93" t="str">
            <v>Dieldrin</v>
          </cell>
        </row>
        <row r="94">
          <cell r="D94" t="str">
            <v>Styrene</v>
          </cell>
          <cell r="G94" t="str">
            <v>Diethyl phthalate</v>
          </cell>
        </row>
        <row r="95">
          <cell r="D95" t="str">
            <v>1,1,1,2-Tetrachloroethane</v>
          </cell>
          <cell r="G95" t="str">
            <v>Diethylstilbestrol</v>
          </cell>
        </row>
        <row r="96">
          <cell r="B96" t="str">
            <v>Listed (by boiler) in Question 16 (page 17) of the questionnaire</v>
          </cell>
          <cell r="D96" t="str">
            <v>1,1,2,2-Tetrachloroethane</v>
          </cell>
          <cell r="G96" t="str">
            <v>Diethyl sulfate</v>
          </cell>
        </row>
        <row r="97">
          <cell r="B97" t="str">
            <v>Listed (by boiler) in the Configuration Order Section of the Facility Unit Configurations Section of the Electronic ICR</v>
          </cell>
          <cell r="D97" t="str">
            <v>Tetrachloroethene</v>
          </cell>
          <cell r="G97" t="str">
            <v>Dimethoate</v>
          </cell>
        </row>
        <row r="98">
          <cell r="D98" t="str">
            <v>Toluene</v>
          </cell>
          <cell r="G98" t="str">
            <v>3,3'-Dimethoxybenzidine</v>
          </cell>
        </row>
        <row r="99">
          <cell r="D99" t="str">
            <v>Toluene-d (surr)</v>
          </cell>
          <cell r="G99" t="str">
            <v>Dimethylaminoazobenzene</v>
          </cell>
        </row>
        <row r="100">
          <cell r="D100" t="str">
            <v>o-Toluidine</v>
          </cell>
          <cell r="G100" t="str">
            <v>7,12-Dimethylbenz(a)-anthracene</v>
          </cell>
        </row>
        <row r="101">
          <cell r="B101" t="str">
            <v>ASTM Method D6784</v>
          </cell>
          <cell r="D101" t="str">
            <v>1,2,4-Trichlorobenzene</v>
          </cell>
          <cell r="G101" t="str">
            <v>3,3'-Dimethylbenzidine</v>
          </cell>
        </row>
        <row r="102">
          <cell r="D102" t="str">
            <v>1,1,1-Trichloroethane</v>
          </cell>
          <cell r="G102" t="str">
            <v>α,α-Dimethylphenethylamine</v>
          </cell>
        </row>
        <row r="103">
          <cell r="D103" t="str">
            <v>1,1,2-Trichloroethane</v>
          </cell>
          <cell r="G103" t="str">
            <v>2,4-Dimethylphenol</v>
          </cell>
        </row>
        <row r="104">
          <cell r="D104" t="str">
            <v>Trichloroethene</v>
          </cell>
          <cell r="G104" t="str">
            <v>Dimethyl phthalate</v>
          </cell>
        </row>
        <row r="105">
          <cell r="D105" t="str">
            <v>Trichlorofluoromethane</v>
          </cell>
          <cell r="G105" t="str">
            <v>1,2-Dinitrobenzene</v>
          </cell>
        </row>
        <row r="106">
          <cell r="D106" t="str">
            <v>1,2,3-Trichloropropane</v>
          </cell>
          <cell r="G106" t="str">
            <v>1,3-Dinitrobenzene</v>
          </cell>
        </row>
        <row r="107">
          <cell r="D107" t="str">
            <v>Vinyl acetate</v>
          </cell>
          <cell r="G107" t="str">
            <v>1,4-Dinitrobenzene</v>
          </cell>
        </row>
        <row r="108">
          <cell r="D108" t="str">
            <v>Vinyl chloride</v>
          </cell>
          <cell r="G108" t="str">
            <v>4,6-Dinitro-2-methylphenol</v>
          </cell>
        </row>
        <row r="109">
          <cell r="D109" t="str">
            <v>o-Xylene</v>
          </cell>
          <cell r="G109" t="str">
            <v>2,4-Dinitrophenol</v>
          </cell>
        </row>
        <row r="110">
          <cell r="D110" t="str">
            <v>m-Xylene</v>
          </cell>
          <cell r="G110" t="str">
            <v>2,4-Dinitrotoluene</v>
          </cell>
        </row>
        <row r="111">
          <cell r="D111" t="str">
            <v>p-Xylene</v>
          </cell>
          <cell r="G111" t="str">
            <v>2,6-Dinitrotoluene</v>
          </cell>
        </row>
        <row r="112">
          <cell r="G112" t="str">
            <v>Dinocap</v>
          </cell>
        </row>
        <row r="113">
          <cell r="G113" t="str">
            <v>Dinoseb</v>
          </cell>
        </row>
        <row r="114">
          <cell r="G114" t="str">
            <v>Diphenylamine</v>
          </cell>
        </row>
        <row r="115">
          <cell r="G115" t="str">
            <v>5,5-Diphenylhydantoin</v>
          </cell>
        </row>
        <row r="116">
          <cell r="G116" t="str">
            <v>1,2-Diphenylhydrazine</v>
          </cell>
        </row>
        <row r="117">
          <cell r="G117" t="str">
            <v>Di-n-octyl phthalate</v>
          </cell>
        </row>
        <row r="118">
          <cell r="G118" t="str">
            <v>Disulfoton</v>
          </cell>
        </row>
        <row r="119">
          <cell r="G119" t="str">
            <v>Endosulfan I</v>
          </cell>
        </row>
        <row r="120">
          <cell r="G120" t="str">
            <v>Endosulfan II</v>
          </cell>
        </row>
        <row r="121">
          <cell r="G121" t="str">
            <v>Endosulfan sulfate</v>
          </cell>
        </row>
        <row r="122">
          <cell r="G122" t="str">
            <v>Endrin</v>
          </cell>
        </row>
        <row r="123">
          <cell r="G123" t="str">
            <v>Endrin aldehyde</v>
          </cell>
        </row>
        <row r="124">
          <cell r="G124" t="str">
            <v>Endrin ketone 53494-70-5 X X ND X X</v>
          </cell>
        </row>
        <row r="125">
          <cell r="G125" t="str">
            <v>EPN</v>
          </cell>
        </row>
        <row r="126">
          <cell r="G126" t="str">
            <v>Ethion</v>
          </cell>
        </row>
        <row r="127">
          <cell r="G127" t="str">
            <v>Ethyl carbamate</v>
          </cell>
        </row>
        <row r="128">
          <cell r="G128" t="str">
            <v>Ethyl methanesulfonate</v>
          </cell>
        </row>
        <row r="129">
          <cell r="G129" t="str">
            <v>Famphur</v>
          </cell>
        </row>
        <row r="130">
          <cell r="G130" t="str">
            <v>Fensulfothion</v>
          </cell>
        </row>
        <row r="131">
          <cell r="G131" t="str">
            <v>Fenthion</v>
          </cell>
        </row>
        <row r="132">
          <cell r="G132" t="str">
            <v>Fluchloralin</v>
          </cell>
        </row>
        <row r="133">
          <cell r="G133" t="str">
            <v>Fluoranthene</v>
          </cell>
        </row>
        <row r="134">
          <cell r="G134" t="str">
            <v>Fluorene</v>
          </cell>
        </row>
        <row r="135">
          <cell r="G135" t="str">
            <v>2-Fluorobiphenyl (surr)</v>
          </cell>
        </row>
        <row r="136">
          <cell r="G136" t="str">
            <v>2-Fluorophenol (surr)</v>
          </cell>
        </row>
        <row r="137">
          <cell r="G137" t="str">
            <v>Heptachlor</v>
          </cell>
        </row>
        <row r="138">
          <cell r="G138" t="str">
            <v>Heptachlor epoxide</v>
          </cell>
        </row>
        <row r="139">
          <cell r="G139" t="str">
            <v>Hexachlorobenzene</v>
          </cell>
        </row>
        <row r="140">
          <cell r="G140" t="str">
            <v>Hexachlorobutadiene</v>
          </cell>
        </row>
        <row r="141">
          <cell r="G141" t="str">
            <v>Hexachlorocyclopentadiene</v>
          </cell>
        </row>
        <row r="142">
          <cell r="G142" t="str">
            <v>Hexachloroethane</v>
          </cell>
        </row>
        <row r="143">
          <cell r="G143" t="str">
            <v>Hexachlorophene</v>
          </cell>
        </row>
        <row r="144">
          <cell r="G144" t="str">
            <v>Hexachloropropene</v>
          </cell>
        </row>
        <row r="145">
          <cell r="G145" t="str">
            <v>Hexamethylphosphoramide</v>
          </cell>
        </row>
        <row r="146">
          <cell r="G146" t="str">
            <v>Hydroquinone</v>
          </cell>
        </row>
        <row r="147">
          <cell r="G147" t="str">
            <v>Indeno(1,2,3-cd)pyrene</v>
          </cell>
        </row>
        <row r="148">
          <cell r="G148" t="str">
            <v>Isodrin</v>
          </cell>
        </row>
        <row r="149">
          <cell r="G149" t="str">
            <v>Isophorone</v>
          </cell>
        </row>
        <row r="150">
          <cell r="G150" t="str">
            <v>Isosafrole</v>
          </cell>
        </row>
        <row r="151">
          <cell r="G151" t="str">
            <v>Kepone</v>
          </cell>
        </row>
        <row r="152">
          <cell r="G152" t="str">
            <v>Leptophos</v>
          </cell>
        </row>
        <row r="153">
          <cell r="G153" t="str">
            <v>Malathion</v>
          </cell>
        </row>
        <row r="154">
          <cell r="G154" t="str">
            <v>Maleic anhydride</v>
          </cell>
        </row>
        <row r="155">
          <cell r="G155" t="str">
            <v>Mestranol</v>
          </cell>
        </row>
        <row r="156">
          <cell r="G156" t="str">
            <v>Methapyrilene</v>
          </cell>
        </row>
        <row r="157">
          <cell r="G157" t="str">
            <v>Methoxychlor</v>
          </cell>
        </row>
        <row r="158">
          <cell r="G158" t="str">
            <v>3-Methylcholanthrene</v>
          </cell>
        </row>
        <row r="159">
          <cell r="G159" t="str">
            <v>4,4'-Methylenebis (2-chloroaniline)</v>
          </cell>
        </row>
        <row r="160">
          <cell r="G160" t="str">
            <v>4,4'-Methylenebis(N,N-dimethylaniline)</v>
          </cell>
        </row>
        <row r="161">
          <cell r="G161" t="str">
            <v>Methyl methanesulfonate</v>
          </cell>
        </row>
        <row r="162">
          <cell r="G162" t="str">
            <v>2-Methylnaphthalene</v>
          </cell>
        </row>
        <row r="163">
          <cell r="G163" t="str">
            <v>Methyl parathion</v>
          </cell>
        </row>
        <row r="164">
          <cell r="G164" t="str">
            <v>2-Methylphenol</v>
          </cell>
        </row>
        <row r="165">
          <cell r="G165" t="str">
            <v>3-Methylphenol</v>
          </cell>
        </row>
        <row r="166">
          <cell r="G166" t="str">
            <v>4-Methylphenol</v>
          </cell>
        </row>
        <row r="167">
          <cell r="G167" t="str">
            <v>Mevinphos</v>
          </cell>
        </row>
        <row r="168">
          <cell r="G168" t="str">
            <v>Mexacarbate</v>
          </cell>
        </row>
        <row r="169">
          <cell r="G169" t="str">
            <v>Mirex</v>
          </cell>
        </row>
        <row r="170">
          <cell r="G170" t="str">
            <v>Monocrotophos</v>
          </cell>
        </row>
        <row r="171">
          <cell r="G171" t="str">
            <v>Naled</v>
          </cell>
        </row>
        <row r="172">
          <cell r="G172" t="str">
            <v>Naphthalene</v>
          </cell>
        </row>
        <row r="173">
          <cell r="G173" t="str">
            <v>1,4-Naphthoquinone</v>
          </cell>
        </row>
        <row r="174">
          <cell r="G174" t="str">
            <v>1-Naphthylamine</v>
          </cell>
        </row>
        <row r="175">
          <cell r="G175" t="str">
            <v>2-Naphthylamine</v>
          </cell>
        </row>
        <row r="176">
          <cell r="G176" t="str">
            <v>Nicotine</v>
          </cell>
        </row>
        <row r="177">
          <cell r="G177" t="str">
            <v>5-Nitroacenaphthene</v>
          </cell>
        </row>
        <row r="178">
          <cell r="G178" t="str">
            <v>2-Nitroaniline</v>
          </cell>
        </row>
        <row r="179">
          <cell r="G179" t="str">
            <v>3-Nitroaniline</v>
          </cell>
        </row>
        <row r="180">
          <cell r="G180" t="str">
            <v>4-Nitroaniline</v>
          </cell>
        </row>
        <row r="181">
          <cell r="G181" t="str">
            <v>5-Nitro-o-anisidine</v>
          </cell>
        </row>
        <row r="182">
          <cell r="G182" t="str">
            <v>Nitrobenzene</v>
          </cell>
        </row>
        <row r="183">
          <cell r="G183" t="str">
            <v>4-Nitrobiphenyl</v>
          </cell>
        </row>
        <row r="184">
          <cell r="G184" t="str">
            <v>Nitrofen</v>
          </cell>
        </row>
        <row r="185">
          <cell r="G185" t="str">
            <v>2-Nitrophenol</v>
          </cell>
        </row>
        <row r="186">
          <cell r="G186" t="str">
            <v>4-Nitrophenol</v>
          </cell>
        </row>
        <row r="187">
          <cell r="G187" t="str">
            <v>5-Nitro-o-toluidine</v>
          </cell>
        </row>
        <row r="188">
          <cell r="G188" t="str">
            <v>Nitroquinoline-1-oxide</v>
          </cell>
        </row>
        <row r="189">
          <cell r="G189" t="str">
            <v>N-Nitrosodi-n-butylamine</v>
          </cell>
        </row>
        <row r="190">
          <cell r="G190" t="str">
            <v>N-Nitrosodiethylamine</v>
          </cell>
        </row>
        <row r="191">
          <cell r="G191" t="str">
            <v>N-Nitrosodimethylamine</v>
          </cell>
        </row>
        <row r="192">
          <cell r="G192" t="str">
            <v>N-Nitrosodiphenylamine</v>
          </cell>
        </row>
        <row r="193">
          <cell r="G193" t="str">
            <v>N-Nitrosodi-n-propylamine</v>
          </cell>
        </row>
        <row r="194">
          <cell r="G194" t="str">
            <v>N-Nitrosomethylethylamine</v>
          </cell>
        </row>
        <row r="195">
          <cell r="G195" t="str">
            <v>N-Nitrosomorpholine</v>
          </cell>
        </row>
        <row r="196">
          <cell r="G196" t="str">
            <v>N-Nitrosopiperidine</v>
          </cell>
        </row>
        <row r="197">
          <cell r="G197" t="str">
            <v>N-Nitrosopyrrolidine</v>
          </cell>
        </row>
        <row r="198">
          <cell r="G198" t="str">
            <v>Octamethyl pyrophosphoramide</v>
          </cell>
        </row>
        <row r="199">
          <cell r="G199" t="str">
            <v>4,4'-Oxydianiline</v>
          </cell>
        </row>
        <row r="200">
          <cell r="G200" t="str">
            <v>Parathion</v>
          </cell>
        </row>
        <row r="201">
          <cell r="G201" t="str">
            <v>Pentachlorobenzene</v>
          </cell>
        </row>
        <row r="202">
          <cell r="G202" t="str">
            <v>Pentachloronitrobenzene</v>
          </cell>
        </row>
        <row r="203">
          <cell r="G203" t="str">
            <v>Pentachlorophenol</v>
          </cell>
        </row>
        <row r="204">
          <cell r="G204" t="str">
            <v>Phenacetin</v>
          </cell>
        </row>
        <row r="205">
          <cell r="G205" t="str">
            <v>Phenanthrene</v>
          </cell>
        </row>
        <row r="206">
          <cell r="G206" t="str">
            <v>Phenobarbital</v>
          </cell>
        </row>
        <row r="207">
          <cell r="G207" t="str">
            <v>Phenol</v>
          </cell>
        </row>
        <row r="208">
          <cell r="G208" t="str">
            <v>1,4-Phenylenediamine</v>
          </cell>
        </row>
        <row r="209">
          <cell r="G209" t="str">
            <v>Phorate</v>
          </cell>
        </row>
        <row r="210">
          <cell r="G210" t="str">
            <v>Phosalone</v>
          </cell>
        </row>
        <row r="211">
          <cell r="G211" t="str">
            <v>Phosmet</v>
          </cell>
        </row>
        <row r="212">
          <cell r="G212" t="str">
            <v>Phosphamidon</v>
          </cell>
        </row>
        <row r="213">
          <cell r="G213" t="str">
            <v>Phthalic anhydride</v>
          </cell>
        </row>
        <row r="214">
          <cell r="G214" t="str">
            <v>2-Picoline (2-Methylpyridine)</v>
          </cell>
        </row>
        <row r="215">
          <cell r="G215" t="str">
            <v>Piperonyl sulfoxide</v>
          </cell>
        </row>
        <row r="216">
          <cell r="G216" t="str">
            <v>Pronamide</v>
          </cell>
        </row>
        <row r="217">
          <cell r="G217" t="str">
            <v>Propylthiouracil</v>
          </cell>
        </row>
        <row r="218">
          <cell r="G218" t="str">
            <v>Pyrene</v>
          </cell>
        </row>
        <row r="219">
          <cell r="G219" t="str">
            <v>Resorcinol</v>
          </cell>
        </row>
        <row r="220">
          <cell r="G220" t="str">
            <v>Safrole</v>
          </cell>
        </row>
        <row r="221">
          <cell r="G221" t="str">
            <v>Strychnine</v>
          </cell>
        </row>
        <row r="222">
          <cell r="G222" t="str">
            <v>Sulfallate</v>
          </cell>
        </row>
        <row r="223">
          <cell r="G223" t="str">
            <v>Terbufos</v>
          </cell>
        </row>
        <row r="224">
          <cell r="G224" t="str">
            <v>1,2,4,5-Tetrachlorobenzene</v>
          </cell>
        </row>
        <row r="225">
          <cell r="G225" t="str">
            <v>2,3,4,6-Tetrachlorophenol</v>
          </cell>
        </row>
        <row r="226">
          <cell r="G226" t="str">
            <v>Tetrachlorvinphos</v>
          </cell>
        </row>
        <row r="227">
          <cell r="G227" t="str">
            <v>Tetraethyl dithiopyrophosphate</v>
          </cell>
        </row>
        <row r="228">
          <cell r="G228" t="str">
            <v>Tetraethyl pyrophosphate</v>
          </cell>
        </row>
        <row r="229">
          <cell r="G229" t="str">
            <v>Thionazine</v>
          </cell>
        </row>
        <row r="230">
          <cell r="G230" t="str">
            <v>Thiophenol (Benzenethiol)</v>
          </cell>
        </row>
        <row r="231">
          <cell r="G231" t="str">
            <v>Toluene diisocyanate</v>
          </cell>
        </row>
        <row r="232">
          <cell r="G232" t="str">
            <v>o-Toluidine</v>
          </cell>
        </row>
        <row r="233">
          <cell r="G233" t="str">
            <v>Toxaphene</v>
          </cell>
        </row>
        <row r="234">
          <cell r="G234" t="str">
            <v>1,2,4-Trichlorobenzene</v>
          </cell>
        </row>
        <row r="235">
          <cell r="G235" t="str">
            <v>2,4,5-Trichlorophenol</v>
          </cell>
        </row>
        <row r="236">
          <cell r="G236" t="str">
            <v>2,4,6-Trichlorophenol</v>
          </cell>
        </row>
        <row r="237">
          <cell r="G237" t="str">
            <v>Trifluralin</v>
          </cell>
        </row>
        <row r="238">
          <cell r="G238" t="str">
            <v>2,4,5-Trimethylaniline</v>
          </cell>
        </row>
        <row r="239">
          <cell r="G239" t="str">
            <v>Trimethyl phosphate</v>
          </cell>
        </row>
        <row r="240">
          <cell r="G240" t="str">
            <v>1,3,5-Trinitrobenzene</v>
          </cell>
        </row>
        <row r="241">
          <cell r="G241" t="str">
            <v>Tris(2,3-dibromopropyl) phosphate</v>
          </cell>
        </row>
        <row r="242">
          <cell r="G242" t="str">
            <v>Tri-p-tolyl phosphate</v>
          </cell>
        </row>
        <row r="243">
          <cell r="G243" t="str">
            <v>O,O,O-Triethyl phosphorothioate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 Tracking"/>
      <sheetName val="Review Instructions"/>
      <sheetName val="A-1. Air Stack Tests"/>
      <sheetName val="A-2. Unit Conversions"/>
      <sheetName val="A-3. DF TEQ"/>
      <sheetName val="B-1. Table 2 Run Process Data"/>
      <sheetName val="B-2. Process Fuel Gas Annual"/>
      <sheetName val="B-3. Process Fuel Gas Testing"/>
      <sheetName val="C-1. Opacity M9"/>
      <sheetName val="C-2. Opacity Camera"/>
      <sheetName val="C-3. Visible Emissions M303"/>
      <sheetName val="C-4. Opacity COMS Hourly"/>
      <sheetName val="C-5. TDS Water Tests"/>
      <sheetName val="C-6. Other Water Tests"/>
      <sheetName val="C-7. Material Tests"/>
      <sheetName val="C-8. Flare"/>
      <sheetName val="C-9. COG Tests"/>
      <sheetName val="R-1. Resources"/>
      <sheetName val="R-2. Files"/>
      <sheetName val="R-3. Table 1A"/>
      <sheetName val="R-4. Pick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rocess Unit Information"/>
      <sheetName val="Form-Phen-Meth Emission Data"/>
      <sheetName val="Mercury Emission Data"/>
      <sheetName val="Hex. Chromium Emission Data"/>
      <sheetName val="HF &amp; HCl Emission Data"/>
      <sheetName val="O2 and CO2 Emission Data"/>
      <sheetName val="Drop Down List Sourc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Electrostatic Precipitator (ESP)</v>
          </cell>
        </row>
        <row r="2">
          <cell r="A2" t="str">
            <v>Scrubber</v>
          </cell>
        </row>
        <row r="3">
          <cell r="A3" t="str">
            <v>Mechanical Collector</v>
          </cell>
        </row>
        <row r="4">
          <cell r="A4" t="str">
            <v xml:space="preserve">Fabric Filter </v>
          </cell>
        </row>
        <row r="5">
          <cell r="A5" t="str">
            <v>Thermal Incinerator</v>
          </cell>
        </row>
        <row r="6">
          <cell r="A6" t="str">
            <v>High Velocity Air Filter (HVAF)</v>
          </cell>
        </row>
        <row r="7">
          <cell r="A7" t="str">
            <v>Mist Eliminator</v>
          </cell>
        </row>
        <row r="8">
          <cell r="A8" t="str">
            <v xml:space="preserve">Ventilation System </v>
          </cell>
        </row>
        <row r="9">
          <cell r="A9" t="str">
            <v>Other, please describe in "Other Supporting Information" cell</v>
          </cell>
        </row>
        <row r="10">
          <cell r="A10" t="str">
            <v>Combination of control devices, please describe in "Other Supporting Information" cell</v>
          </cell>
        </row>
        <row r="11">
          <cell r="A11" t="str">
            <v>Uncontrolled</v>
          </cell>
        </row>
        <row r="13">
          <cell r="A13" t="str">
            <v>EPA Method 318</v>
          </cell>
        </row>
        <row r="15">
          <cell r="A15" t="str">
            <v>EPA Method 30B</v>
          </cell>
        </row>
        <row r="17">
          <cell r="A17" t="str">
            <v>EPA Method 0061 with SW 845 Method 7199</v>
          </cell>
        </row>
        <row r="19">
          <cell r="A19" t="str">
            <v>EPA Method 320</v>
          </cell>
        </row>
        <row r="21">
          <cell r="A21" t="str">
            <v>EPA Method 3B</v>
          </cell>
        </row>
        <row r="23">
          <cell r="A23" t="str">
            <v>acfm</v>
          </cell>
        </row>
        <row r="24">
          <cell r="A24" t="str">
            <v>dscfm</v>
          </cell>
        </row>
        <row r="26">
          <cell r="A26" t="str">
            <v>°C</v>
          </cell>
        </row>
        <row r="27">
          <cell r="A27" t="str">
            <v>°F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"/>
      <sheetName val="Lookup"/>
    </sheetNames>
    <sheetDataSet>
      <sheetData sheetId="0"/>
      <sheetData sheetId="1">
        <row r="2">
          <cell r="C2" t="str">
            <v>(select)</v>
          </cell>
        </row>
        <row r="3">
          <cell r="C3" t="str">
            <v>Acetone: New and Used Solvent</v>
          </cell>
        </row>
        <row r="4">
          <cell r="C4" t="str">
            <v>Alcohol: Ethanol</v>
          </cell>
        </row>
        <row r="5">
          <cell r="C5" t="str">
            <v>Alcohol: Solvent</v>
          </cell>
        </row>
        <row r="6">
          <cell r="C6" t="str">
            <v>Animal Fat/Oils/Tallow</v>
          </cell>
        </row>
        <row r="7">
          <cell r="C7" t="str">
            <v xml:space="preserve">Ash pile char  </v>
          </cell>
        </row>
        <row r="8">
          <cell r="C8" t="str">
            <v>Bagasse</v>
          </cell>
        </row>
        <row r="9">
          <cell r="C9" t="str">
            <v>Bio liquids</v>
          </cell>
        </row>
        <row r="10">
          <cell r="C10" t="str">
            <v>Biogas</v>
          </cell>
        </row>
        <row r="11">
          <cell r="C11" t="str">
            <v>Biomass</v>
          </cell>
        </row>
        <row r="12">
          <cell r="C12" t="str">
            <v>Bitumen</v>
          </cell>
        </row>
        <row r="13">
          <cell r="C13" t="str">
            <v>Black Liquor</v>
          </cell>
        </row>
        <row r="14">
          <cell r="C14" t="str">
            <v>Blast Furnace Gas</v>
          </cell>
        </row>
        <row r="15">
          <cell r="C15" t="str">
            <v>Blond Fiber</v>
          </cell>
        </row>
        <row r="16">
          <cell r="C16" t="str">
            <v>Boiler ash</v>
          </cell>
        </row>
        <row r="17">
          <cell r="C17" t="str">
            <v>Cardboard</v>
          </cell>
        </row>
        <row r="18">
          <cell r="C18" t="str">
            <v>Carpet Scrap</v>
          </cell>
        </row>
        <row r="19">
          <cell r="C19" t="str">
            <v>Char</v>
          </cell>
        </row>
        <row r="20">
          <cell r="C20" t="str">
            <v>CO gas</v>
          </cell>
        </row>
        <row r="21">
          <cell r="C21" t="str">
            <v>coal refuse</v>
          </cell>
        </row>
        <row r="22">
          <cell r="C22" t="str">
            <v>coal tar</v>
          </cell>
        </row>
        <row r="23">
          <cell r="C23" t="str">
            <v>Coal: Anthracite</v>
          </cell>
        </row>
        <row r="24">
          <cell r="C24" t="str">
            <v>Coal: Bituminous</v>
          </cell>
        </row>
        <row r="25">
          <cell r="C25" t="str">
            <v>Coal: Lignite</v>
          </cell>
        </row>
        <row r="26">
          <cell r="C26" t="str">
            <v>Coal: Sub-bituminous</v>
          </cell>
        </row>
        <row r="27">
          <cell r="C27" t="str">
            <v>Coating Residues</v>
          </cell>
        </row>
        <row r="28">
          <cell r="C28" t="str">
            <v>Coke Oven Gas</v>
          </cell>
        </row>
        <row r="29">
          <cell r="C29" t="str">
            <v>Composite Water</v>
          </cell>
        </row>
        <row r="30">
          <cell r="C30" t="str">
            <v>Conforming Waste Materials</v>
          </cell>
        </row>
        <row r="31">
          <cell r="C31" t="str">
            <v>Construction/Demolition Derived Material</v>
          </cell>
        </row>
        <row r="32">
          <cell r="C32" t="str">
            <v>Corrugate Cardboard or Container Scraps</v>
          </cell>
        </row>
        <row r="33">
          <cell r="C33" t="str">
            <v>Cyanide</v>
          </cell>
        </row>
        <row r="34">
          <cell r="C34" t="str">
            <v>Decorative laminate/cast polymer scrap</v>
          </cell>
        </row>
        <row r="35">
          <cell r="C35" t="str">
            <v>Deinking residuals</v>
          </cell>
        </row>
        <row r="36">
          <cell r="C36" t="str">
            <v>Dewatered combustible residues</v>
          </cell>
        </row>
        <row r="37">
          <cell r="C37" t="str">
            <v>Diaper scraps</v>
          </cell>
        </row>
        <row r="38">
          <cell r="C38" t="str">
            <v>Diesel fuel</v>
          </cell>
        </row>
        <row r="39">
          <cell r="C39" t="str">
            <v>Envirofuel pellets</v>
          </cell>
        </row>
        <row r="40">
          <cell r="C40" t="str">
            <v>Filters</v>
          </cell>
        </row>
        <row r="41">
          <cell r="C41" t="str">
            <v>Foam Residues</v>
          </cell>
        </row>
        <row r="42">
          <cell r="C42" t="str">
            <v>Fuel cubes (paper diaper clippings/refuse)</v>
          </cell>
        </row>
        <row r="43">
          <cell r="C43" t="str">
            <v>Glycerol Distillation Byproduct</v>
          </cell>
        </row>
        <row r="44">
          <cell r="C44" t="str">
            <v>Heavy Recycle</v>
          </cell>
        </row>
        <row r="45">
          <cell r="C45" t="str">
            <v>High Caustic Fuel</v>
          </cell>
        </row>
        <row r="46">
          <cell r="C46" t="str">
            <v>Hog Fuel</v>
          </cell>
        </row>
        <row r="47">
          <cell r="C47" t="str">
            <v>Hydro pulper refuse</v>
          </cell>
        </row>
        <row r="48">
          <cell r="C48" t="str">
            <v>Hydrogen</v>
          </cell>
        </row>
        <row r="49">
          <cell r="C49" t="str">
            <v>Industrial Commercial or Municipal Sludge</v>
          </cell>
        </row>
        <row r="50">
          <cell r="C50" t="str">
            <v>Industrial plastics</v>
          </cell>
        </row>
        <row r="51">
          <cell r="C51" t="str">
            <v>Ink Solvents</v>
          </cell>
        </row>
        <row r="52">
          <cell r="C52" t="str">
            <v>JP-8 Aviation Fuel</v>
          </cell>
        </row>
        <row r="53">
          <cell r="C53" t="str">
            <v>Knots and Knotter Rejects</v>
          </cell>
        </row>
        <row r="54">
          <cell r="C54" t="str">
            <v>Landfill Gas</v>
          </cell>
        </row>
        <row r="55">
          <cell r="C55" t="str">
            <v>Latex Paint Water</v>
          </cell>
        </row>
        <row r="56">
          <cell r="C56" t="str">
            <v>Lightweight Asphalt</v>
          </cell>
        </row>
        <row r="57">
          <cell r="C57" t="str">
            <v>Lignin</v>
          </cell>
        </row>
        <row r="58">
          <cell r="C58" t="str">
            <v>Low carbonate corn fiber (LCCF)</v>
          </cell>
        </row>
        <row r="59">
          <cell r="C59" t="str">
            <v>LPG</v>
          </cell>
        </row>
        <row r="60">
          <cell r="C60" t="str">
            <v>Manure</v>
          </cell>
        </row>
        <row r="61">
          <cell r="C61" t="str">
            <v>Mechanical Pulp Mill Rejects</v>
          </cell>
        </row>
        <row r="62">
          <cell r="C62" t="str">
            <v>Mixed liquid residues</v>
          </cell>
        </row>
        <row r="63">
          <cell r="C63" t="str">
            <v>Natural gas</v>
          </cell>
        </row>
        <row r="64">
          <cell r="C64" t="str">
            <v>Neutralene</v>
          </cell>
        </row>
        <row r="65">
          <cell r="C65" t="str">
            <v>No. 2 Distillate</v>
          </cell>
        </row>
        <row r="66">
          <cell r="C66" t="str">
            <v>No. 4 Fuel oil</v>
          </cell>
        </row>
        <row r="67">
          <cell r="C67" t="str">
            <v>No. 5 Fuel oil</v>
          </cell>
        </row>
        <row r="68">
          <cell r="C68" t="str">
            <v>No. 6 Residual oil</v>
          </cell>
        </row>
        <row r="69">
          <cell r="C69" t="str">
            <v>Noncondensable Gas (includes stripper offgas)</v>
          </cell>
        </row>
        <row r="70">
          <cell r="C70" t="str">
            <v>Nonhalogenated solvent</v>
          </cell>
        </row>
        <row r="71">
          <cell r="C71" t="str">
            <v>Nonhazardous byproduct solvent</v>
          </cell>
        </row>
        <row r="72">
          <cell r="C72" t="str">
            <v>Oil Booms</v>
          </cell>
        </row>
        <row r="73">
          <cell r="C73" t="str">
            <v>Oily rags</v>
          </cell>
        </row>
        <row r="74">
          <cell r="C74" t="str">
            <v>Orimulsion</v>
          </cell>
        </row>
        <row r="75">
          <cell r="C75" t="str">
            <v>Other Petroleum-based Oils</v>
          </cell>
        </row>
        <row r="76">
          <cell r="C76" t="str">
            <v>Paint Rags/Residues</v>
          </cell>
        </row>
        <row r="77">
          <cell r="C77" t="str">
            <v>Paper and Paper Residues</v>
          </cell>
        </row>
        <row r="78">
          <cell r="C78" t="str">
            <v>Pathological: Animal or Human Remains</v>
          </cell>
        </row>
        <row r="79">
          <cell r="C79" t="str">
            <v>Peat</v>
          </cell>
        </row>
        <row r="80">
          <cell r="C80" t="str">
            <v>Petrochemical process gas</v>
          </cell>
        </row>
        <row r="81">
          <cell r="C81" t="str">
            <v>Petroleum Distillation Solvent</v>
          </cell>
        </row>
        <row r="82">
          <cell r="C82" t="str">
            <v>Pine tar</v>
          </cell>
        </row>
        <row r="83">
          <cell r="C83" t="str">
            <v>Plant-based Agricultural Residue</v>
          </cell>
        </row>
        <row r="84">
          <cell r="C84" t="str">
            <v>Plastics</v>
          </cell>
        </row>
        <row r="85">
          <cell r="C85" t="str">
            <v>Poultry litter</v>
          </cell>
        </row>
        <row r="86">
          <cell r="C86" t="str">
            <v>Process coproduct gas</v>
          </cell>
        </row>
        <row r="87">
          <cell r="C87" t="str">
            <v>Process coproduct liquid</v>
          </cell>
        </row>
        <row r="88">
          <cell r="C88" t="str">
            <v>Process coproduct solid</v>
          </cell>
        </row>
        <row r="89">
          <cell r="C89" t="str">
            <v>Process engineered fuels</v>
          </cell>
        </row>
        <row r="90">
          <cell r="C90" t="str">
            <v>Process gas</v>
          </cell>
        </row>
        <row r="91">
          <cell r="C91" t="str">
            <v>Propane</v>
          </cell>
        </row>
        <row r="92">
          <cell r="C92" t="str">
            <v>Pulp liquor</v>
          </cell>
        </row>
        <row r="93">
          <cell r="C93" t="str">
            <v>Pulp mill gas</v>
          </cell>
        </row>
        <row r="94">
          <cell r="C94" t="str">
            <v>Reclaimed Ink Solvent</v>
          </cell>
        </row>
        <row r="95">
          <cell r="C95" t="str">
            <v>Recovered Gaseous Butane</v>
          </cell>
        </row>
        <row r="96">
          <cell r="C96" t="str">
            <v>Rectified methanol</v>
          </cell>
        </row>
        <row r="97">
          <cell r="C97" t="str">
            <v>Red oil (steam stripper steam condensate, incl terpenes, terpenoids, methanol, TRS)</v>
          </cell>
        </row>
        <row r="98">
          <cell r="C98" t="str">
            <v>Refinery gas</v>
          </cell>
        </row>
        <row r="99">
          <cell r="C99" t="str">
            <v>Refuse</v>
          </cell>
        </row>
        <row r="100">
          <cell r="C100" t="str">
            <v>Refuse derived fuel (RDF)</v>
          </cell>
        </row>
        <row r="101">
          <cell r="C101" t="str">
            <v>Reinjection char</v>
          </cell>
        </row>
        <row r="102">
          <cell r="C102" t="str">
            <v>Resin Solid</v>
          </cell>
        </row>
        <row r="103">
          <cell r="C103" t="str">
            <v>Restaurant oils &amp; greases</v>
          </cell>
        </row>
        <row r="104">
          <cell r="C104" t="str">
            <v>Scrap X-Ray Film</v>
          </cell>
        </row>
        <row r="105">
          <cell r="C105" t="str">
            <v>Screen rejects</v>
          </cell>
        </row>
        <row r="106">
          <cell r="C106" t="str">
            <v>Shredded cloth</v>
          </cell>
        </row>
        <row r="107">
          <cell r="C107" t="str">
            <v>Solid paraffin</v>
          </cell>
        </row>
        <row r="108">
          <cell r="C108" t="str">
            <v>Solvents</v>
          </cell>
        </row>
        <row r="109">
          <cell r="C109" t="str">
            <v>Spent Coffee Grounds</v>
          </cell>
        </row>
        <row r="110">
          <cell r="C110" t="str">
            <v>Spent Oxide</v>
          </cell>
        </row>
        <row r="111">
          <cell r="C111" t="str">
            <v>Stripper condensate</v>
          </cell>
        </row>
        <row r="112">
          <cell r="C112" t="str">
            <v>Sulfur Free Organic Byproduct</v>
          </cell>
        </row>
        <row r="113">
          <cell r="C113" t="str">
            <v>Sunwax- Diatomaceous earth with sunflower oil wax</v>
          </cell>
        </row>
        <row r="114">
          <cell r="C114" t="str">
            <v>Tall oil, tall oil derivatives</v>
          </cell>
        </row>
        <row r="115">
          <cell r="C115" t="str">
            <v>Tar</v>
          </cell>
        </row>
        <row r="116">
          <cell r="C116" t="str">
            <v>Tire Derived Fuel (TDF)</v>
          </cell>
        </row>
        <row r="117">
          <cell r="C117" t="str">
            <v>Tires (whole)</v>
          </cell>
        </row>
        <row r="118">
          <cell r="C118" t="str">
            <v>Toluene</v>
          </cell>
        </row>
        <row r="119">
          <cell r="C119" t="str">
            <v>Trash</v>
          </cell>
        </row>
        <row r="120">
          <cell r="C120" t="str">
            <v>Turkey brood woodwaste</v>
          </cell>
        </row>
        <row r="121">
          <cell r="C121" t="str">
            <v>Turpentine</v>
          </cell>
        </row>
        <row r="122">
          <cell r="C122" t="str">
            <v>Used Alcohol</v>
          </cell>
        </row>
        <row r="123">
          <cell r="C123" t="str">
            <v>Used Petroleum-based Oils</v>
          </cell>
        </row>
        <row r="124">
          <cell r="C124" t="str">
            <v>Vegetable Oil</v>
          </cell>
        </row>
        <row r="125">
          <cell r="C125" t="str">
            <v>Waste Derived Liquid Fuel</v>
          </cell>
        </row>
        <row r="126">
          <cell r="C126" t="str">
            <v>Wax and cellophane wrapper and packaging trimmings</v>
          </cell>
        </row>
        <row r="127">
          <cell r="C127" t="str">
            <v>Wood: Bark</v>
          </cell>
        </row>
        <row r="128">
          <cell r="C128" t="str">
            <v>Wood: Painted or Varnished</v>
          </cell>
        </row>
        <row r="129">
          <cell r="C129" t="str">
            <v>Wood: Plywood, Particleboard (containing glues or resins)</v>
          </cell>
        </row>
        <row r="130">
          <cell r="C130" t="str">
            <v>Wood: Treated</v>
          </cell>
        </row>
        <row r="131">
          <cell r="C131" t="str">
            <v>Wood: Unadulterated Lumber</v>
          </cell>
        </row>
        <row r="132">
          <cell r="C132" t="str">
            <v>Wood: Unadulterated Timber</v>
          </cell>
        </row>
        <row r="133">
          <cell r="C133" t="str">
            <v>Other solid: please explain</v>
          </cell>
        </row>
        <row r="134">
          <cell r="C134" t="str">
            <v>Other liquid: please explain</v>
          </cell>
        </row>
        <row r="135">
          <cell r="C135" t="str">
            <v>Other gas: please explain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g Emissions ASTM-D6784-02"/>
      <sheetName val="Sheet2"/>
    </sheetNames>
    <sheetDataSet>
      <sheetData sheetId="0"/>
      <sheetData sheetId="1">
        <row r="9">
          <cell r="C9" t="str">
            <v>(select fuel input units)</v>
          </cell>
        </row>
        <row r="10">
          <cell r="C10" t="str">
            <v>mmBtu/hr</v>
          </cell>
        </row>
        <row r="11">
          <cell r="C11" t="str">
            <v>standard cubic feet per minute (scfm)</v>
          </cell>
        </row>
        <row r="12">
          <cell r="C12" t="str">
            <v>gallon/minute</v>
          </cell>
        </row>
        <row r="13">
          <cell r="C13" t="str">
            <v>lb/hour</v>
          </cell>
        </row>
        <row r="14">
          <cell r="C14" t="str">
            <v>ton/day</v>
          </cell>
        </row>
        <row r="15">
          <cell r="C15" t="str">
            <v>Other: Please Explain</v>
          </cell>
        </row>
        <row r="23">
          <cell r="J23" t="str">
            <v>Yes</v>
          </cell>
        </row>
        <row r="24">
          <cell r="J24" t="str">
            <v>No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F53C9-4097-493F-9099-2D9651BA2D14}">
  <dimension ref="B1:BA38"/>
  <sheetViews>
    <sheetView tabSelected="1" zoomScale="70" zoomScaleNormal="70" workbookViewId="0">
      <pane xSplit="3" ySplit="3" topLeftCell="D4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4.7109375" style="46" customWidth="1"/>
    <col min="2" max="2" width="21" style="46" bestFit="1" customWidth="1"/>
    <col min="3" max="3" width="17.7109375" style="46" customWidth="1"/>
    <col min="4" max="4" width="12.140625" style="46" customWidth="1"/>
    <col min="5" max="5" width="12.85546875" style="46" customWidth="1"/>
    <col min="6" max="15" width="13.7109375" style="46" customWidth="1"/>
    <col min="16" max="16" width="15.85546875" style="46" customWidth="1"/>
    <col min="17" max="17" width="13.7109375" style="46" customWidth="1"/>
    <col min="18" max="18" width="13.7109375" style="88" customWidth="1"/>
    <col min="19" max="19" width="38.5703125" style="105" customWidth="1"/>
    <col min="20" max="23" width="13.7109375" style="46" customWidth="1"/>
    <col min="24" max="25" width="15" style="46" customWidth="1"/>
    <col min="26" max="26" width="14.5703125" style="46" customWidth="1"/>
    <col min="27" max="27" width="13.7109375" style="46" customWidth="1"/>
    <col min="28" max="28" width="24.7109375" style="46" customWidth="1"/>
    <col min="29" max="29" width="46.28515625" style="46" customWidth="1"/>
    <col min="30" max="31" width="13.7109375" style="46" customWidth="1"/>
    <col min="32" max="32" width="18.85546875" style="46" customWidth="1"/>
    <col min="33" max="33" width="13.7109375" style="46" customWidth="1"/>
    <col min="34" max="34" width="16" style="46" customWidth="1"/>
    <col min="35" max="35" width="14.85546875" style="46" customWidth="1"/>
    <col min="36" max="36" width="13.7109375" style="46" customWidth="1"/>
    <col min="37" max="37" width="17.42578125" style="46" customWidth="1"/>
    <col min="38" max="38" width="38.5703125" style="46" customWidth="1"/>
    <col min="39" max="43" width="13.7109375" style="46" customWidth="1"/>
    <col min="44" max="44" width="15" style="46" customWidth="1"/>
    <col min="45" max="45" width="14.7109375" style="46" customWidth="1"/>
    <col min="46" max="46" width="13.7109375" style="46" customWidth="1"/>
    <col min="47" max="47" width="14" style="46" customWidth="1"/>
    <col min="48" max="48" width="38.5703125" style="46" customWidth="1"/>
    <col min="49" max="53" width="13.7109375" style="46" customWidth="1"/>
    <col min="54" max="16384" width="9.140625" style="46"/>
  </cols>
  <sheetData>
    <row r="1" spans="2:53" s="1" customFormat="1" ht="15" customHeight="1" thickBot="1" x14ac:dyDescent="0.25">
      <c r="B1" s="70"/>
      <c r="C1" s="70"/>
      <c r="D1" s="70" t="s">
        <v>197</v>
      </c>
      <c r="E1" s="70"/>
      <c r="F1" s="70" t="s">
        <v>197</v>
      </c>
      <c r="G1" s="70" t="s">
        <v>197</v>
      </c>
      <c r="H1" s="70" t="s">
        <v>197</v>
      </c>
      <c r="I1" s="70" t="s">
        <v>197</v>
      </c>
      <c r="J1" s="70" t="s">
        <v>197</v>
      </c>
      <c r="K1" s="70"/>
      <c r="L1" s="70" t="s">
        <v>199</v>
      </c>
      <c r="M1" s="70" t="s">
        <v>197</v>
      </c>
      <c r="N1" s="70"/>
      <c r="O1" s="70"/>
      <c r="P1" s="71" t="s">
        <v>212</v>
      </c>
      <c r="Q1" s="71"/>
      <c r="R1" s="71"/>
      <c r="S1" s="102"/>
      <c r="T1" s="71"/>
      <c r="U1" s="71"/>
      <c r="V1" s="71"/>
      <c r="W1" s="71" t="s">
        <v>198</v>
      </c>
      <c r="X1" s="72" t="s">
        <v>212</v>
      </c>
      <c r="Y1" s="72"/>
      <c r="Z1" s="72"/>
      <c r="AA1" s="83"/>
      <c r="AB1" s="83" t="s">
        <v>225</v>
      </c>
      <c r="AC1" s="72"/>
      <c r="AD1" s="72"/>
      <c r="AE1" s="110"/>
      <c r="AF1" s="110" t="s">
        <v>220</v>
      </c>
      <c r="AG1" s="111"/>
      <c r="AH1" s="73" t="s">
        <v>212</v>
      </c>
      <c r="AI1" s="73"/>
      <c r="AJ1" s="73"/>
      <c r="AK1" s="73" t="s">
        <v>225</v>
      </c>
      <c r="AL1" s="73"/>
      <c r="AM1" s="73"/>
      <c r="AN1" s="73"/>
      <c r="AO1" s="73"/>
      <c r="AP1" s="73"/>
      <c r="AQ1" s="73" t="s">
        <v>198</v>
      </c>
      <c r="AR1" s="74" t="s">
        <v>212</v>
      </c>
      <c r="AS1" s="74"/>
      <c r="AT1" s="116"/>
      <c r="AU1" s="116" t="s">
        <v>225</v>
      </c>
      <c r="AV1" s="116"/>
      <c r="AW1" s="116"/>
      <c r="AX1" s="116"/>
      <c r="AY1" s="116"/>
      <c r="AZ1" s="116"/>
      <c r="BA1" s="116" t="s">
        <v>198</v>
      </c>
    </row>
    <row r="2" spans="2:53" s="1" customFormat="1" ht="27" thickBot="1" x14ac:dyDescent="0.3">
      <c r="B2" s="70"/>
      <c r="C2" s="70" t="s">
        <v>99</v>
      </c>
      <c r="D2" s="70" t="s">
        <v>99</v>
      </c>
      <c r="E2" s="70" t="s">
        <v>66</v>
      </c>
      <c r="F2" s="70" t="s">
        <v>99</v>
      </c>
      <c r="G2" s="70" t="s">
        <v>99</v>
      </c>
      <c r="H2" s="70" t="s">
        <v>99</v>
      </c>
      <c r="I2" s="70" t="s">
        <v>99</v>
      </c>
      <c r="J2" s="70" t="s">
        <v>99</v>
      </c>
      <c r="K2" s="70" t="s">
        <v>99</v>
      </c>
      <c r="L2" s="70" t="s">
        <v>99</v>
      </c>
      <c r="M2" s="70" t="s">
        <v>99</v>
      </c>
      <c r="N2" s="70" t="s">
        <v>99</v>
      </c>
      <c r="O2" s="70" t="s">
        <v>99</v>
      </c>
      <c r="P2" s="71" t="s">
        <v>202</v>
      </c>
      <c r="Q2" s="82" t="s">
        <v>102</v>
      </c>
      <c r="R2" s="82"/>
      <c r="S2" s="103"/>
      <c r="T2" s="82"/>
      <c r="U2" s="82"/>
      <c r="V2" s="82"/>
      <c r="W2" s="71" t="s">
        <v>99</v>
      </c>
      <c r="X2" s="72" t="s">
        <v>219</v>
      </c>
      <c r="Y2" s="72"/>
      <c r="Z2" s="72"/>
      <c r="AA2" s="107" t="s">
        <v>228</v>
      </c>
      <c r="AB2" s="83"/>
      <c r="AC2" s="83"/>
      <c r="AD2" s="83"/>
      <c r="AE2" s="83"/>
      <c r="AF2" s="184">
        <v>0.94</v>
      </c>
      <c r="AG2" s="83"/>
      <c r="AH2" s="73" t="s">
        <v>202</v>
      </c>
      <c r="AI2" s="73"/>
      <c r="AJ2" s="81" t="s">
        <v>191</v>
      </c>
      <c r="AK2" s="81"/>
      <c r="AL2" s="81"/>
      <c r="AM2" s="81"/>
      <c r="AN2" s="81"/>
      <c r="AO2" s="81"/>
      <c r="AP2" s="81"/>
      <c r="AQ2" s="73" t="s">
        <v>99</v>
      </c>
      <c r="AR2" s="74" t="s">
        <v>202</v>
      </c>
      <c r="AS2" s="74"/>
      <c r="AT2" s="117" t="s">
        <v>223</v>
      </c>
      <c r="AU2" s="117"/>
      <c r="AV2" s="117"/>
      <c r="AW2" s="117"/>
      <c r="AX2" s="117"/>
      <c r="AY2" s="117"/>
      <c r="AZ2" s="117"/>
      <c r="BA2" s="74" t="s">
        <v>99</v>
      </c>
    </row>
    <row r="3" spans="2:53" s="1" customFormat="1" ht="65.25" x14ac:dyDescent="0.2">
      <c r="B3" s="70" t="s">
        <v>11</v>
      </c>
      <c r="C3" s="75" t="s">
        <v>67</v>
      </c>
      <c r="D3" s="76" t="s">
        <v>68</v>
      </c>
      <c r="E3" s="76" t="s">
        <v>69</v>
      </c>
      <c r="F3" s="76" t="s">
        <v>107</v>
      </c>
      <c r="G3" s="76" t="s">
        <v>108</v>
      </c>
      <c r="H3" s="76" t="s">
        <v>109</v>
      </c>
      <c r="I3" s="76" t="s">
        <v>110</v>
      </c>
      <c r="J3" s="76" t="s">
        <v>111</v>
      </c>
      <c r="K3" s="76" t="s">
        <v>112</v>
      </c>
      <c r="L3" s="76" t="s">
        <v>113</v>
      </c>
      <c r="M3" s="76" t="s">
        <v>114</v>
      </c>
      <c r="N3" s="76" t="s">
        <v>116</v>
      </c>
      <c r="O3" s="76" t="s">
        <v>117</v>
      </c>
      <c r="P3" s="71" t="s">
        <v>201</v>
      </c>
      <c r="Q3" s="77" t="s">
        <v>222</v>
      </c>
      <c r="R3" s="77" t="s">
        <v>216</v>
      </c>
      <c r="S3" s="104" t="s">
        <v>209</v>
      </c>
      <c r="T3" s="77" t="s">
        <v>96</v>
      </c>
      <c r="U3" s="77" t="s">
        <v>100</v>
      </c>
      <c r="V3" s="77" t="s">
        <v>101</v>
      </c>
      <c r="W3" s="77" t="s">
        <v>16</v>
      </c>
      <c r="X3" s="72" t="s">
        <v>203</v>
      </c>
      <c r="Y3" s="72" t="s">
        <v>226</v>
      </c>
      <c r="Z3" s="78" t="s">
        <v>204</v>
      </c>
      <c r="AA3" s="78" t="s">
        <v>186</v>
      </c>
      <c r="AB3" s="78" t="s">
        <v>213</v>
      </c>
      <c r="AC3" s="78" t="s">
        <v>209</v>
      </c>
      <c r="AD3" s="78" t="s">
        <v>187</v>
      </c>
      <c r="AE3" s="78" t="s">
        <v>188</v>
      </c>
      <c r="AF3" s="78" t="s">
        <v>221</v>
      </c>
      <c r="AG3" s="78" t="s">
        <v>190</v>
      </c>
      <c r="AH3" s="73" t="s">
        <v>205</v>
      </c>
      <c r="AI3" s="79" t="s">
        <v>204</v>
      </c>
      <c r="AJ3" s="79" t="s">
        <v>192</v>
      </c>
      <c r="AK3" s="79" t="s">
        <v>214</v>
      </c>
      <c r="AL3" s="79" t="s">
        <v>209</v>
      </c>
      <c r="AM3" s="79" t="s">
        <v>193</v>
      </c>
      <c r="AN3" s="79" t="s">
        <v>97</v>
      </c>
      <c r="AO3" s="79" t="s">
        <v>194</v>
      </c>
      <c r="AP3" s="79" t="s">
        <v>195</v>
      </c>
      <c r="AQ3" s="79" t="s">
        <v>18</v>
      </c>
      <c r="AR3" s="74" t="s">
        <v>206</v>
      </c>
      <c r="AS3" s="80" t="s">
        <v>204</v>
      </c>
      <c r="AT3" s="80" t="s">
        <v>224</v>
      </c>
      <c r="AU3" s="80" t="s">
        <v>215</v>
      </c>
      <c r="AV3" s="80" t="s">
        <v>209</v>
      </c>
      <c r="AW3" s="80" t="s">
        <v>227</v>
      </c>
      <c r="AX3" s="80" t="s">
        <v>98</v>
      </c>
      <c r="AY3" s="80" t="s">
        <v>196</v>
      </c>
      <c r="AZ3" s="80" t="s">
        <v>195</v>
      </c>
      <c r="BA3" s="80" t="s">
        <v>19</v>
      </c>
    </row>
    <row r="4" spans="2:53" s="119" customFormat="1" x14ac:dyDescent="0.2">
      <c r="B4" s="161" t="s">
        <v>53</v>
      </c>
      <c r="C4" s="161" t="s">
        <v>70</v>
      </c>
      <c r="D4" s="162">
        <v>47</v>
      </c>
      <c r="E4" s="101" t="s">
        <v>71</v>
      </c>
      <c r="F4" s="106">
        <v>4</v>
      </c>
      <c r="G4" s="106">
        <v>1</v>
      </c>
      <c r="H4" s="106">
        <f>47*2</f>
        <v>94</v>
      </c>
      <c r="I4" s="106">
        <f>47*4</f>
        <v>188</v>
      </c>
      <c r="J4" s="106">
        <v>47</v>
      </c>
      <c r="K4" s="106">
        <v>124</v>
      </c>
      <c r="L4" s="100">
        <v>2978</v>
      </c>
      <c r="M4" s="163" t="s">
        <v>158</v>
      </c>
      <c r="N4" s="106" t="s">
        <v>149</v>
      </c>
      <c r="O4" s="106" t="s">
        <v>129</v>
      </c>
      <c r="P4" s="108">
        <f>Q4/2000</f>
        <v>1.6617239999999998E-2</v>
      </c>
      <c r="Q4" s="113">
        <f>R4*U4*V4</f>
        <v>33.234479999999998</v>
      </c>
      <c r="R4" s="113">
        <v>12</v>
      </c>
      <c r="S4" s="153" t="s">
        <v>208</v>
      </c>
      <c r="T4" s="164">
        <f>W4</f>
        <v>7.416666666666667</v>
      </c>
      <c r="U4" s="165">
        <f>L4</f>
        <v>2978</v>
      </c>
      <c r="V4" s="106">
        <f>0.0093/10</f>
        <v>9.2999999999999995E-4</v>
      </c>
      <c r="W4" s="108">
        <v>7.416666666666667</v>
      </c>
      <c r="X4" s="109">
        <f>AA4*Z4/2000</f>
        <v>0.76110559200000005</v>
      </c>
      <c r="Y4" s="109">
        <f>X4/2</f>
        <v>0.38055279600000003</v>
      </c>
      <c r="Z4" s="106">
        <v>8760</v>
      </c>
      <c r="AA4" s="109">
        <f t="shared" ref="AA4:AA30" si="0">AD4*AB4*AE4+AD4*AF4*AG4</f>
        <v>0.17376839999999999</v>
      </c>
      <c r="AB4" s="98">
        <f>3/100</f>
        <v>0.03</v>
      </c>
      <c r="AC4" s="154" t="s">
        <v>217</v>
      </c>
      <c r="AD4" s="155">
        <f>H4</f>
        <v>94</v>
      </c>
      <c r="AE4" s="109">
        <v>0.04</v>
      </c>
      <c r="AF4" s="187">
        <f t="shared" ref="AF4:AF30" si="1">$AF$2*AB4</f>
        <v>2.8199999999999996E-2</v>
      </c>
      <c r="AG4" s="108">
        <v>2.3E-2</v>
      </c>
      <c r="AH4" s="115">
        <f>AJ4*AI4/2000</f>
        <v>1.2351599999999999E-2</v>
      </c>
      <c r="AI4" s="106">
        <v>8760</v>
      </c>
      <c r="AJ4" s="99">
        <f>AM4*AK4*AP4</f>
        <v>2.82E-3</v>
      </c>
      <c r="AK4" s="114">
        <f>0.2/100</f>
        <v>2E-3</v>
      </c>
      <c r="AL4" s="154" t="s">
        <v>208</v>
      </c>
      <c r="AM4" s="101">
        <f>I4</f>
        <v>188</v>
      </c>
      <c r="AN4" s="87">
        <f>AQ4</f>
        <v>0</v>
      </c>
      <c r="AO4" s="166">
        <f t="shared" ref="AO4:AO30" si="2">AN4</f>
        <v>0</v>
      </c>
      <c r="AP4" s="101">
        <v>7.4999999999999997E-3</v>
      </c>
      <c r="AQ4" s="156">
        <v>0</v>
      </c>
      <c r="AR4" s="115">
        <f>AT4*AS4/2000</f>
        <v>1.8527399999999999E-2</v>
      </c>
      <c r="AS4" s="106">
        <v>8760</v>
      </c>
      <c r="AT4" s="167">
        <f>AW4*AU4*AZ4</f>
        <v>4.2300000000000003E-3</v>
      </c>
      <c r="AU4" s="118">
        <f>1.2/100</f>
        <v>1.2E-2</v>
      </c>
      <c r="AV4" s="154" t="s">
        <v>208</v>
      </c>
      <c r="AW4" s="101">
        <f>J4</f>
        <v>47</v>
      </c>
      <c r="AX4" s="168">
        <f>BA4</f>
        <v>1.8888888888888888E-4</v>
      </c>
      <c r="AY4" s="166">
        <f>AX4</f>
        <v>1.8888888888888888E-4</v>
      </c>
      <c r="AZ4" s="101">
        <v>7.4999999999999997E-3</v>
      </c>
      <c r="BA4" s="156">
        <f>'Enc1 Part VI BL Q89'!J18</f>
        <v>1.8888888888888888E-4</v>
      </c>
    </row>
    <row r="5" spans="2:53" s="119" customFormat="1" x14ac:dyDescent="0.2">
      <c r="B5" s="163" t="s">
        <v>53</v>
      </c>
      <c r="C5" s="87" t="s">
        <v>72</v>
      </c>
      <c r="D5" s="169">
        <v>47</v>
      </c>
      <c r="E5" s="52" t="s">
        <v>71</v>
      </c>
      <c r="F5" s="98">
        <v>4</v>
      </c>
      <c r="G5" s="98">
        <v>1</v>
      </c>
      <c r="H5" s="98">
        <v>94</v>
      </c>
      <c r="I5" s="98">
        <v>188</v>
      </c>
      <c r="J5" s="98">
        <v>47</v>
      </c>
      <c r="K5" s="98"/>
      <c r="L5" s="170"/>
      <c r="M5" s="98" t="s">
        <v>4</v>
      </c>
      <c r="N5" s="106" t="s">
        <v>149</v>
      </c>
      <c r="O5" s="98" t="s">
        <v>129</v>
      </c>
      <c r="P5" s="108">
        <f t="shared" ref="P5:P30" si="3">Q5/2000</f>
        <v>1.6617239999999998E-2</v>
      </c>
      <c r="Q5" s="113">
        <f t="shared" ref="Q5:Q30" si="4">R5*U5*V5</f>
        <v>33.234479999999998</v>
      </c>
      <c r="R5" s="113">
        <v>12</v>
      </c>
      <c r="S5" s="153" t="s">
        <v>208</v>
      </c>
      <c r="T5" s="171">
        <f>T4</f>
        <v>7.416666666666667</v>
      </c>
      <c r="U5" s="86">
        <f>U4</f>
        <v>2978</v>
      </c>
      <c r="V5" s="106">
        <f t="shared" ref="V5:V7" si="5">0.0093/10</f>
        <v>9.2999999999999995E-4</v>
      </c>
      <c r="W5" s="52"/>
      <c r="X5" s="109">
        <f t="shared" ref="X5:X30" si="6">AA5*Z5/2000</f>
        <v>0.76110559200000005</v>
      </c>
      <c r="Y5" s="109">
        <f t="shared" ref="Y5:Y30" si="7">X5/2</f>
        <v>0.38055279600000003</v>
      </c>
      <c r="Z5" s="106">
        <v>8760</v>
      </c>
      <c r="AA5" s="121">
        <f t="shared" si="0"/>
        <v>0.17376839999999999</v>
      </c>
      <c r="AB5" s="98">
        <f t="shared" ref="AB5:AB14" si="8">3/100</f>
        <v>0.03</v>
      </c>
      <c r="AC5" s="154" t="s">
        <v>217</v>
      </c>
      <c r="AD5" s="157">
        <f>H5</f>
        <v>94</v>
      </c>
      <c r="AE5" s="109">
        <v>0.04</v>
      </c>
      <c r="AF5" s="187">
        <f t="shared" si="1"/>
        <v>2.8199999999999996E-2</v>
      </c>
      <c r="AG5" s="108">
        <v>2.3E-2</v>
      </c>
      <c r="AH5" s="115">
        <f t="shared" ref="AH5:AH30" si="9">AJ5*AI5/2000</f>
        <v>1.2351599999999999E-2</v>
      </c>
      <c r="AI5" s="106">
        <v>8760</v>
      </c>
      <c r="AJ5" s="99">
        <f t="shared" ref="AJ5:AJ30" si="10">AM5*AK5*AP5</f>
        <v>2.82E-3</v>
      </c>
      <c r="AK5" s="114">
        <f t="shared" ref="AK5:AK30" si="11">0.2/100</f>
        <v>2E-3</v>
      </c>
      <c r="AL5" s="154" t="s">
        <v>208</v>
      </c>
      <c r="AM5" s="52">
        <f>I5</f>
        <v>188</v>
      </c>
      <c r="AN5" s="87">
        <f>AN4</f>
        <v>0</v>
      </c>
      <c r="AO5" s="166">
        <f t="shared" si="2"/>
        <v>0</v>
      </c>
      <c r="AP5" s="101">
        <v>7.4999999999999997E-3</v>
      </c>
      <c r="AQ5" s="52"/>
      <c r="AR5" s="115">
        <f t="shared" ref="AR5:AR30" si="12">AT5*AS5/2000</f>
        <v>1.8527399999999999E-2</v>
      </c>
      <c r="AS5" s="106">
        <v>8760</v>
      </c>
      <c r="AT5" s="167">
        <f t="shared" ref="AT5:AT30" si="13">AW5*AU5*AZ5</f>
        <v>4.2300000000000003E-3</v>
      </c>
      <c r="AU5" s="118">
        <f t="shared" ref="AU5:AU30" si="14">1.2/100</f>
        <v>1.2E-2</v>
      </c>
      <c r="AV5" s="154" t="s">
        <v>208</v>
      </c>
      <c r="AW5" s="52">
        <f>J5</f>
        <v>47</v>
      </c>
      <c r="AX5" s="87">
        <f>AX4</f>
        <v>1.8888888888888888E-4</v>
      </c>
      <c r="AY5" s="166">
        <f>AX5</f>
        <v>1.8888888888888888E-4</v>
      </c>
      <c r="AZ5" s="101">
        <v>7.4999999999999997E-3</v>
      </c>
      <c r="BA5" s="52"/>
    </row>
    <row r="6" spans="2:53" s="119" customFormat="1" x14ac:dyDescent="0.2">
      <c r="B6" s="163" t="s">
        <v>53</v>
      </c>
      <c r="C6" s="87" t="s">
        <v>73</v>
      </c>
      <c r="D6" s="169">
        <v>51</v>
      </c>
      <c r="E6" s="52" t="s">
        <v>71</v>
      </c>
      <c r="F6" s="98">
        <v>4</v>
      </c>
      <c r="G6" s="98">
        <v>1</v>
      </c>
      <c r="H6" s="98">
        <v>102</v>
      </c>
      <c r="I6" s="98">
        <f>51*4</f>
        <v>204</v>
      </c>
      <c r="J6" s="98">
        <v>51</v>
      </c>
      <c r="K6" s="157"/>
      <c r="L6" s="170"/>
      <c r="M6" s="98" t="s">
        <v>4</v>
      </c>
      <c r="N6" s="106" t="s">
        <v>149</v>
      </c>
      <c r="O6" s="98" t="s">
        <v>129</v>
      </c>
      <c r="P6" s="108">
        <f t="shared" si="3"/>
        <v>1.6617239999999998E-2</v>
      </c>
      <c r="Q6" s="113">
        <f t="shared" si="4"/>
        <v>33.234479999999998</v>
      </c>
      <c r="R6" s="113">
        <v>12</v>
      </c>
      <c r="S6" s="153" t="s">
        <v>208</v>
      </c>
      <c r="T6" s="171">
        <f>T4</f>
        <v>7.416666666666667</v>
      </c>
      <c r="U6" s="86">
        <f>U4</f>
        <v>2978</v>
      </c>
      <c r="V6" s="106">
        <f t="shared" si="5"/>
        <v>9.2999999999999995E-4</v>
      </c>
      <c r="W6" s="52"/>
      <c r="X6" s="109">
        <f t="shared" si="6"/>
        <v>0.82588053599999989</v>
      </c>
      <c r="Y6" s="109">
        <f t="shared" si="7"/>
        <v>0.41294026799999994</v>
      </c>
      <c r="Z6" s="106">
        <v>8760</v>
      </c>
      <c r="AA6" s="121">
        <f t="shared" si="0"/>
        <v>0.18855719999999998</v>
      </c>
      <c r="AB6" s="98">
        <f t="shared" si="8"/>
        <v>0.03</v>
      </c>
      <c r="AC6" s="154" t="s">
        <v>217</v>
      </c>
      <c r="AD6" s="157">
        <f>H6</f>
        <v>102</v>
      </c>
      <c r="AE6" s="109">
        <v>0.04</v>
      </c>
      <c r="AF6" s="187">
        <f t="shared" si="1"/>
        <v>2.8199999999999996E-2</v>
      </c>
      <c r="AG6" s="108">
        <v>2.3E-2</v>
      </c>
      <c r="AH6" s="115">
        <f t="shared" si="9"/>
        <v>1.3402800000000001E-2</v>
      </c>
      <c r="AI6" s="106">
        <v>8760</v>
      </c>
      <c r="AJ6" s="99">
        <f t="shared" si="10"/>
        <v>3.0600000000000002E-3</v>
      </c>
      <c r="AK6" s="114">
        <f t="shared" si="11"/>
        <v>2E-3</v>
      </c>
      <c r="AL6" s="154" t="s">
        <v>208</v>
      </c>
      <c r="AM6" s="52">
        <f>I6</f>
        <v>204</v>
      </c>
      <c r="AN6" s="87">
        <f>AN4</f>
        <v>0</v>
      </c>
      <c r="AO6" s="166">
        <f t="shared" si="2"/>
        <v>0</v>
      </c>
      <c r="AP6" s="101">
        <v>7.4999999999999997E-3</v>
      </c>
      <c r="AQ6" s="52"/>
      <c r="AR6" s="115">
        <f t="shared" si="12"/>
        <v>2.0104199999999999E-2</v>
      </c>
      <c r="AS6" s="106">
        <v>8760</v>
      </c>
      <c r="AT6" s="167">
        <f t="shared" si="13"/>
        <v>4.5899999999999995E-3</v>
      </c>
      <c r="AU6" s="118">
        <f t="shared" si="14"/>
        <v>1.2E-2</v>
      </c>
      <c r="AV6" s="154" t="s">
        <v>208</v>
      </c>
      <c r="AW6" s="52">
        <f>J6</f>
        <v>51</v>
      </c>
      <c r="AX6" s="87">
        <f>AX4</f>
        <v>1.8888888888888888E-4</v>
      </c>
      <c r="AY6" s="166">
        <f>AX6</f>
        <v>1.8888888888888888E-4</v>
      </c>
      <c r="AZ6" s="101">
        <v>7.4999999999999997E-3</v>
      </c>
      <c r="BA6" s="52"/>
    </row>
    <row r="7" spans="2:53" s="119" customFormat="1" x14ac:dyDescent="0.2">
      <c r="B7" s="163" t="s">
        <v>53</v>
      </c>
      <c r="C7" s="163" t="s">
        <v>75</v>
      </c>
      <c r="D7" s="98">
        <v>79</v>
      </c>
      <c r="E7" s="52" t="s">
        <v>71</v>
      </c>
      <c r="F7" s="98">
        <v>4</v>
      </c>
      <c r="G7" s="98">
        <v>2</v>
      </c>
      <c r="H7" s="98">
        <f>79*2</f>
        <v>158</v>
      </c>
      <c r="I7" s="98">
        <f>79*4</f>
        <v>316</v>
      </c>
      <c r="J7" s="98">
        <v>158</v>
      </c>
      <c r="K7" s="98">
        <v>248</v>
      </c>
      <c r="L7" s="170">
        <v>19623</v>
      </c>
      <c r="M7" s="163" t="s">
        <v>160</v>
      </c>
      <c r="N7" s="106" t="s">
        <v>149</v>
      </c>
      <c r="O7" s="98" t="s">
        <v>129</v>
      </c>
      <c r="P7" s="108">
        <f t="shared" si="3"/>
        <v>0.10949633999999998</v>
      </c>
      <c r="Q7" s="113">
        <f t="shared" si="4"/>
        <v>218.99267999999998</v>
      </c>
      <c r="R7" s="113">
        <v>12</v>
      </c>
      <c r="S7" s="153" t="s">
        <v>208</v>
      </c>
      <c r="T7" s="171">
        <f>W7</f>
        <v>4.100833333333334</v>
      </c>
      <c r="U7" s="165">
        <f t="shared" ref="U7:U24" si="15">L7</f>
        <v>19623</v>
      </c>
      <c r="V7" s="106">
        <f t="shared" si="5"/>
        <v>9.2999999999999995E-4</v>
      </c>
      <c r="W7" s="158">
        <v>4.100833333333334</v>
      </c>
      <c r="X7" s="112">
        <f t="shared" si="6"/>
        <v>1.2793051440000001</v>
      </c>
      <c r="Y7" s="109">
        <f t="shared" si="7"/>
        <v>0.63965257200000003</v>
      </c>
      <c r="Z7" s="106">
        <v>8760</v>
      </c>
      <c r="AA7" s="121">
        <f t="shared" si="0"/>
        <v>0.29207880000000003</v>
      </c>
      <c r="AB7" s="98">
        <f t="shared" si="8"/>
        <v>0.03</v>
      </c>
      <c r="AC7" s="154" t="s">
        <v>210</v>
      </c>
      <c r="AD7" s="157">
        <f>H7</f>
        <v>158</v>
      </c>
      <c r="AE7" s="121">
        <v>0.04</v>
      </c>
      <c r="AF7" s="187">
        <f t="shared" si="1"/>
        <v>2.8199999999999996E-2</v>
      </c>
      <c r="AG7" s="158">
        <v>2.3E-2</v>
      </c>
      <c r="AH7" s="115">
        <f t="shared" si="9"/>
        <v>2.0761200000000004E-2</v>
      </c>
      <c r="AI7" s="106">
        <v>8760</v>
      </c>
      <c r="AJ7" s="99">
        <f t="shared" si="10"/>
        <v>4.7400000000000003E-3</v>
      </c>
      <c r="AK7" s="114">
        <f t="shared" si="11"/>
        <v>2E-3</v>
      </c>
      <c r="AL7" s="154" t="s">
        <v>208</v>
      </c>
      <c r="AM7" s="52">
        <f>I7</f>
        <v>316</v>
      </c>
      <c r="AN7" s="172">
        <f t="shared" ref="AN7:AN14" si="16">AQ7</f>
        <v>9.1666666666666695E-5</v>
      </c>
      <c r="AO7" s="173">
        <f t="shared" si="2"/>
        <v>9.1666666666666695E-5</v>
      </c>
      <c r="AP7" s="52">
        <v>7.4999999999999997E-3</v>
      </c>
      <c r="AQ7" s="159">
        <v>9.1666666666666695E-5</v>
      </c>
      <c r="AR7" s="115">
        <f t="shared" si="12"/>
        <v>6.2283600000000001E-2</v>
      </c>
      <c r="AS7" s="106">
        <v>8760</v>
      </c>
      <c r="AT7" s="174">
        <f t="shared" si="13"/>
        <v>1.422E-2</v>
      </c>
      <c r="AU7" s="118">
        <f t="shared" si="14"/>
        <v>1.2E-2</v>
      </c>
      <c r="AV7" s="154" t="s">
        <v>208</v>
      </c>
      <c r="AW7" s="52">
        <f>J7</f>
        <v>158</v>
      </c>
      <c r="AX7" s="175">
        <f>BA7</f>
        <v>9.300000000000001E-3</v>
      </c>
      <c r="AY7" s="173">
        <f t="shared" ref="AY7:AY30" si="17">AX7</f>
        <v>9.300000000000001E-3</v>
      </c>
      <c r="AZ7" s="52">
        <v>7.4999999999999997E-3</v>
      </c>
      <c r="BA7" s="159">
        <f>'Enc1 Part VI BL Q89'!J31</f>
        <v>9.300000000000001E-3</v>
      </c>
    </row>
    <row r="8" spans="2:53" s="119" customFormat="1" x14ac:dyDescent="0.2">
      <c r="B8" s="163" t="s">
        <v>2</v>
      </c>
      <c r="C8" s="163" t="s">
        <v>76</v>
      </c>
      <c r="D8" s="98">
        <v>76</v>
      </c>
      <c r="E8" s="52" t="s">
        <v>71</v>
      </c>
      <c r="F8" s="98">
        <v>3</v>
      </c>
      <c r="G8" s="98">
        <v>2</v>
      </c>
      <c r="H8" s="98">
        <v>152</v>
      </c>
      <c r="I8" s="98">
        <v>228</v>
      </c>
      <c r="J8" s="98">
        <v>152</v>
      </c>
      <c r="K8" s="98">
        <v>432</v>
      </c>
      <c r="L8" s="170">
        <v>32864</v>
      </c>
      <c r="M8" s="163" t="s">
        <v>121</v>
      </c>
      <c r="N8" s="106" t="s">
        <v>149</v>
      </c>
      <c r="O8" s="98" t="s">
        <v>129</v>
      </c>
      <c r="P8" s="108">
        <f t="shared" si="3"/>
        <v>0.18338111999999998</v>
      </c>
      <c r="Q8" s="113">
        <f t="shared" si="4"/>
        <v>366.76223999999996</v>
      </c>
      <c r="R8" s="113">
        <v>12</v>
      </c>
      <c r="S8" s="153" t="s">
        <v>207</v>
      </c>
      <c r="T8" s="171">
        <f t="shared" ref="T8:T14" si="18">W8</f>
        <v>5.8414418181441219</v>
      </c>
      <c r="U8" s="165">
        <f t="shared" si="15"/>
        <v>32864</v>
      </c>
      <c r="V8" s="106">
        <f>0.0093/10</f>
        <v>9.2999999999999995E-4</v>
      </c>
      <c r="W8" s="158">
        <v>5.8414418181441219</v>
      </c>
      <c r="X8" s="112">
        <f t="shared" si="6"/>
        <v>1.230723936</v>
      </c>
      <c r="Y8" s="109">
        <f t="shared" si="7"/>
        <v>0.61536196799999998</v>
      </c>
      <c r="Z8" s="106">
        <v>8760</v>
      </c>
      <c r="AA8" s="121">
        <f t="shared" si="0"/>
        <v>0.28098719999999999</v>
      </c>
      <c r="AB8" s="98">
        <f t="shared" si="8"/>
        <v>0.03</v>
      </c>
      <c r="AC8" s="154" t="s">
        <v>218</v>
      </c>
      <c r="AD8" s="157">
        <f>H8</f>
        <v>152</v>
      </c>
      <c r="AE8" s="121">
        <v>0.04</v>
      </c>
      <c r="AF8" s="187">
        <f t="shared" si="1"/>
        <v>2.8199999999999996E-2</v>
      </c>
      <c r="AG8" s="158">
        <v>2.3E-2</v>
      </c>
      <c r="AH8" s="115">
        <f t="shared" si="9"/>
        <v>1.4979599999999999E-2</v>
      </c>
      <c r="AI8" s="106">
        <v>8760</v>
      </c>
      <c r="AJ8" s="99">
        <f t="shared" si="10"/>
        <v>3.4199999999999999E-3</v>
      </c>
      <c r="AK8" s="114">
        <f t="shared" si="11"/>
        <v>2E-3</v>
      </c>
      <c r="AL8" s="154" t="s">
        <v>207</v>
      </c>
      <c r="AM8" s="52">
        <f>I8</f>
        <v>228</v>
      </c>
      <c r="AN8" s="172">
        <f t="shared" si="16"/>
        <v>5.3055555555555545E-5</v>
      </c>
      <c r="AO8" s="99">
        <f t="shared" si="2"/>
        <v>5.3055555555555545E-5</v>
      </c>
      <c r="AP8" s="52">
        <v>7.4999999999999997E-3</v>
      </c>
      <c r="AQ8" s="160">
        <v>5.3055555555555545E-5</v>
      </c>
      <c r="AR8" s="115">
        <f t="shared" si="12"/>
        <v>5.9918399999999997E-2</v>
      </c>
      <c r="AS8" s="106">
        <v>8760</v>
      </c>
      <c r="AT8" s="176">
        <f t="shared" si="13"/>
        <v>1.3679999999999999E-2</v>
      </c>
      <c r="AU8" s="118">
        <f t="shared" si="14"/>
        <v>1.2E-2</v>
      </c>
      <c r="AV8" s="154" t="s">
        <v>207</v>
      </c>
      <c r="AW8" s="52">
        <f>J8</f>
        <v>152</v>
      </c>
      <c r="AX8" s="87">
        <f t="shared" ref="AX8:AX14" si="19">BA8</f>
        <v>1.3906301824212272E-4</v>
      </c>
      <c r="AY8" s="173">
        <f t="shared" si="17"/>
        <v>1.3906301824212272E-4</v>
      </c>
      <c r="AZ8" s="52">
        <v>7.4999999999999997E-3</v>
      </c>
      <c r="BA8" s="159">
        <f>'Enc1 Part VI BL Q89'!J44</f>
        <v>1.3906301824212272E-4</v>
      </c>
    </row>
    <row r="9" spans="2:53" s="119" customFormat="1" x14ac:dyDescent="0.2">
      <c r="B9" s="163" t="s">
        <v>38</v>
      </c>
      <c r="C9" s="163" t="s">
        <v>77</v>
      </c>
      <c r="D9" s="98">
        <v>82</v>
      </c>
      <c r="E9" s="52" t="s">
        <v>71</v>
      </c>
      <c r="F9" s="98">
        <v>4</v>
      </c>
      <c r="G9" s="98">
        <v>1</v>
      </c>
      <c r="H9" s="98">
        <v>164</v>
      </c>
      <c r="I9" s="98">
        <v>328</v>
      </c>
      <c r="J9" s="98">
        <v>82</v>
      </c>
      <c r="K9" s="98">
        <v>467.4</v>
      </c>
      <c r="L9" s="170">
        <v>38330</v>
      </c>
      <c r="M9" s="163" t="s">
        <v>127</v>
      </c>
      <c r="N9" s="106" t="s">
        <v>149</v>
      </c>
      <c r="O9" s="98" t="s">
        <v>129</v>
      </c>
      <c r="P9" s="109">
        <f t="shared" si="3"/>
        <v>0.21388139999999997</v>
      </c>
      <c r="Q9" s="113">
        <f t="shared" si="4"/>
        <v>427.76279999999997</v>
      </c>
      <c r="R9" s="113">
        <v>12</v>
      </c>
      <c r="S9" s="153" t="s">
        <v>208</v>
      </c>
      <c r="T9" s="171">
        <f t="shared" si="18"/>
        <v>9.0208333333333339</v>
      </c>
      <c r="U9" s="165">
        <f t="shared" si="15"/>
        <v>38330</v>
      </c>
      <c r="V9" s="106">
        <f t="shared" ref="V9:V12" si="20">0.0093/10</f>
        <v>9.2999999999999995E-4</v>
      </c>
      <c r="W9" s="158">
        <v>9.0208333333333339</v>
      </c>
      <c r="X9" s="112">
        <f t="shared" si="6"/>
        <v>1.3278863519999999</v>
      </c>
      <c r="Y9" s="109">
        <f t="shared" si="7"/>
        <v>0.66394317599999997</v>
      </c>
      <c r="Z9" s="106">
        <v>8760</v>
      </c>
      <c r="AA9" s="121">
        <f t="shared" si="0"/>
        <v>0.30317040000000001</v>
      </c>
      <c r="AB9" s="98">
        <f t="shared" si="8"/>
        <v>0.03</v>
      </c>
      <c r="AC9" s="154" t="s">
        <v>210</v>
      </c>
      <c r="AD9" s="157">
        <f>H9</f>
        <v>164</v>
      </c>
      <c r="AE9" s="121">
        <v>0.04</v>
      </c>
      <c r="AF9" s="187">
        <f t="shared" si="1"/>
        <v>2.8199999999999996E-2</v>
      </c>
      <c r="AG9" s="158">
        <v>2.3E-2</v>
      </c>
      <c r="AH9" s="115">
        <f t="shared" si="9"/>
        <v>2.1549599999999999E-2</v>
      </c>
      <c r="AI9" s="106">
        <v>8760</v>
      </c>
      <c r="AJ9" s="99">
        <f t="shared" si="10"/>
        <v>4.9199999999999999E-3</v>
      </c>
      <c r="AK9" s="114">
        <f t="shared" si="11"/>
        <v>2E-3</v>
      </c>
      <c r="AL9" s="154" t="s">
        <v>208</v>
      </c>
      <c r="AM9" s="52">
        <f>I9</f>
        <v>328</v>
      </c>
      <c r="AN9" s="87">
        <f t="shared" si="16"/>
        <v>6.0000000000000006E-4</v>
      </c>
      <c r="AO9" s="173">
        <f t="shared" si="2"/>
        <v>6.0000000000000006E-4</v>
      </c>
      <c r="AP9" s="52">
        <v>7.4999999999999997E-3</v>
      </c>
      <c r="AQ9" s="159">
        <v>6.0000000000000006E-4</v>
      </c>
      <c r="AR9" s="115">
        <f t="shared" si="12"/>
        <v>3.2324399999999996E-2</v>
      </c>
      <c r="AS9" s="106">
        <v>8760</v>
      </c>
      <c r="AT9" s="176">
        <f t="shared" si="13"/>
        <v>7.3799999999999994E-3</v>
      </c>
      <c r="AU9" s="118">
        <f t="shared" si="14"/>
        <v>1.2E-2</v>
      </c>
      <c r="AV9" s="154" t="s">
        <v>208</v>
      </c>
      <c r="AW9" s="52">
        <f>J9</f>
        <v>82</v>
      </c>
      <c r="AX9" s="175">
        <f t="shared" si="19"/>
        <v>5.3999999999999994E-3</v>
      </c>
      <c r="AY9" s="173">
        <f t="shared" si="17"/>
        <v>5.3999999999999994E-3</v>
      </c>
      <c r="AZ9" s="52">
        <v>7.4999999999999997E-3</v>
      </c>
      <c r="BA9" s="159">
        <f>'Enc1 Part VI BL Q89'!J57</f>
        <v>5.3999999999999994E-3</v>
      </c>
    </row>
    <row r="10" spans="2:53" s="119" customFormat="1" x14ac:dyDescent="0.2">
      <c r="B10" s="163" t="s">
        <v>38</v>
      </c>
      <c r="C10" s="163" t="s">
        <v>78</v>
      </c>
      <c r="D10" s="98">
        <v>82</v>
      </c>
      <c r="E10" s="52" t="s">
        <v>71</v>
      </c>
      <c r="F10" s="98">
        <v>4</v>
      </c>
      <c r="G10" s="98">
        <v>1</v>
      </c>
      <c r="H10" s="98">
        <v>164</v>
      </c>
      <c r="I10" s="98">
        <v>328</v>
      </c>
      <c r="J10" s="98">
        <v>82</v>
      </c>
      <c r="K10" s="98">
        <v>468.6</v>
      </c>
      <c r="L10" s="170">
        <v>38426</v>
      </c>
      <c r="M10" s="163" t="s">
        <v>127</v>
      </c>
      <c r="N10" s="106" t="s">
        <v>149</v>
      </c>
      <c r="O10" s="98" t="s">
        <v>129</v>
      </c>
      <c r="P10" s="109">
        <f t="shared" si="3"/>
        <v>0.21441708000000001</v>
      </c>
      <c r="Q10" s="113">
        <f t="shared" si="4"/>
        <v>428.83416</v>
      </c>
      <c r="R10" s="113">
        <v>12</v>
      </c>
      <c r="S10" s="153" t="s">
        <v>208</v>
      </c>
      <c r="T10" s="171">
        <f t="shared" si="18"/>
        <v>9.6758333333333351</v>
      </c>
      <c r="U10" s="165">
        <f t="shared" si="15"/>
        <v>38426</v>
      </c>
      <c r="V10" s="106">
        <f t="shared" si="20"/>
        <v>9.2999999999999995E-4</v>
      </c>
      <c r="W10" s="158">
        <v>9.6758333333333351</v>
      </c>
      <c r="X10" s="112">
        <f t="shared" si="6"/>
        <v>1.3278863519999999</v>
      </c>
      <c r="Y10" s="109">
        <f t="shared" si="7"/>
        <v>0.66394317599999997</v>
      </c>
      <c r="Z10" s="106">
        <v>8760</v>
      </c>
      <c r="AA10" s="121">
        <f t="shared" si="0"/>
        <v>0.30317040000000001</v>
      </c>
      <c r="AB10" s="98">
        <f t="shared" si="8"/>
        <v>0.03</v>
      </c>
      <c r="AC10" s="154" t="s">
        <v>210</v>
      </c>
      <c r="AD10" s="157">
        <f>H10</f>
        <v>164</v>
      </c>
      <c r="AE10" s="121">
        <v>0.04</v>
      </c>
      <c r="AF10" s="187">
        <f t="shared" si="1"/>
        <v>2.8199999999999996E-2</v>
      </c>
      <c r="AG10" s="158">
        <v>2.3E-2</v>
      </c>
      <c r="AH10" s="115">
        <f t="shared" si="9"/>
        <v>2.1549599999999999E-2</v>
      </c>
      <c r="AI10" s="106">
        <v>8760</v>
      </c>
      <c r="AJ10" s="99">
        <f t="shared" si="10"/>
        <v>4.9199999999999999E-3</v>
      </c>
      <c r="AK10" s="114">
        <f t="shared" si="11"/>
        <v>2E-3</v>
      </c>
      <c r="AL10" s="154" t="s">
        <v>208</v>
      </c>
      <c r="AM10" s="52">
        <f>I10</f>
        <v>328</v>
      </c>
      <c r="AN10" s="175">
        <f t="shared" si="16"/>
        <v>1.3916666666666667E-3</v>
      </c>
      <c r="AO10" s="173">
        <f t="shared" si="2"/>
        <v>1.3916666666666667E-3</v>
      </c>
      <c r="AP10" s="52">
        <v>7.4999999999999997E-3</v>
      </c>
      <c r="AQ10" s="159">
        <v>1.3916666666666667E-3</v>
      </c>
      <c r="AR10" s="115">
        <f t="shared" si="12"/>
        <v>3.2324399999999996E-2</v>
      </c>
      <c r="AS10" s="106">
        <v>8760</v>
      </c>
      <c r="AT10" s="176">
        <f t="shared" si="13"/>
        <v>7.3799999999999994E-3</v>
      </c>
      <c r="AU10" s="118">
        <f t="shared" si="14"/>
        <v>1.2E-2</v>
      </c>
      <c r="AV10" s="154" t="s">
        <v>208</v>
      </c>
      <c r="AW10" s="52">
        <f>J10</f>
        <v>82</v>
      </c>
      <c r="AX10" s="175">
        <f t="shared" si="19"/>
        <v>7.7250000000000001E-3</v>
      </c>
      <c r="AY10" s="173">
        <f t="shared" si="17"/>
        <v>7.7250000000000001E-3</v>
      </c>
      <c r="AZ10" s="52">
        <v>7.4999999999999997E-3</v>
      </c>
      <c r="BA10" s="159">
        <f>'Enc1 Part VI BL Q89'!J70</f>
        <v>7.7250000000000001E-3</v>
      </c>
    </row>
    <row r="11" spans="2:53" s="119" customFormat="1" x14ac:dyDescent="0.2">
      <c r="B11" s="163" t="s">
        <v>41</v>
      </c>
      <c r="C11" s="163" t="s">
        <v>42</v>
      </c>
      <c r="D11" s="98">
        <v>37</v>
      </c>
      <c r="E11" s="52" t="s">
        <v>71</v>
      </c>
      <c r="F11" s="98">
        <v>4</v>
      </c>
      <c r="G11" s="98">
        <v>2</v>
      </c>
      <c r="H11" s="98">
        <v>74</v>
      </c>
      <c r="I11" s="98">
        <v>148</v>
      </c>
      <c r="J11" s="98">
        <v>74</v>
      </c>
      <c r="K11" s="170">
        <v>471.96428571428572</v>
      </c>
      <c r="L11" s="170">
        <f>17463</f>
        <v>17463</v>
      </c>
      <c r="M11" s="163" t="s">
        <v>138</v>
      </c>
      <c r="N11" s="106" t="s">
        <v>149</v>
      </c>
      <c r="O11" s="98" t="s">
        <v>129</v>
      </c>
      <c r="P11" s="108">
        <f t="shared" si="3"/>
        <v>9.7443539999999995E-2</v>
      </c>
      <c r="Q11" s="177">
        <f t="shared" si="4"/>
        <v>194.88708</v>
      </c>
      <c r="R11" s="113">
        <v>12</v>
      </c>
      <c r="S11" s="153" t="s">
        <v>208</v>
      </c>
      <c r="T11" s="171">
        <f t="shared" si="18"/>
        <v>6.3308333333333335</v>
      </c>
      <c r="U11" s="165">
        <f t="shared" si="15"/>
        <v>17463</v>
      </c>
      <c r="V11" s="106">
        <f t="shared" si="20"/>
        <v>9.2999999999999995E-4</v>
      </c>
      <c r="W11" s="158">
        <v>6.3308333333333335</v>
      </c>
      <c r="X11" s="109">
        <f t="shared" si="6"/>
        <v>0.59916823200000002</v>
      </c>
      <c r="Y11" s="109">
        <f t="shared" si="7"/>
        <v>0.29958411600000001</v>
      </c>
      <c r="Z11" s="106">
        <v>8760</v>
      </c>
      <c r="AA11" s="121">
        <f t="shared" si="0"/>
        <v>0.13679639999999998</v>
      </c>
      <c r="AB11" s="98">
        <f t="shared" si="8"/>
        <v>0.03</v>
      </c>
      <c r="AC11" s="154" t="s">
        <v>217</v>
      </c>
      <c r="AD11" s="157">
        <f>H11</f>
        <v>74</v>
      </c>
      <c r="AE11" s="121">
        <v>0.04</v>
      </c>
      <c r="AF11" s="187">
        <f t="shared" si="1"/>
        <v>2.8199999999999996E-2</v>
      </c>
      <c r="AG11" s="158">
        <v>2.3E-2</v>
      </c>
      <c r="AH11" s="115">
        <f t="shared" si="9"/>
        <v>9.7235999999999989E-3</v>
      </c>
      <c r="AI11" s="106">
        <v>8760</v>
      </c>
      <c r="AJ11" s="99">
        <f t="shared" si="10"/>
        <v>2.2199999999999998E-3</v>
      </c>
      <c r="AK11" s="114">
        <f t="shared" si="11"/>
        <v>2E-3</v>
      </c>
      <c r="AL11" s="154" t="s">
        <v>208</v>
      </c>
      <c r="AM11" s="52">
        <f>I11</f>
        <v>148</v>
      </c>
      <c r="AN11" s="87">
        <f t="shared" si="16"/>
        <v>0</v>
      </c>
      <c r="AO11" s="173">
        <f t="shared" si="2"/>
        <v>0</v>
      </c>
      <c r="AP11" s="52">
        <v>7.4999999999999997E-3</v>
      </c>
      <c r="AQ11" s="159">
        <v>0</v>
      </c>
      <c r="AR11" s="115">
        <f t="shared" si="12"/>
        <v>2.91708E-2</v>
      </c>
      <c r="AS11" s="106">
        <v>8760</v>
      </c>
      <c r="AT11" s="176">
        <f t="shared" si="13"/>
        <v>6.6600000000000001E-3</v>
      </c>
      <c r="AU11" s="118">
        <f t="shared" si="14"/>
        <v>1.2E-2</v>
      </c>
      <c r="AV11" s="154" t="s">
        <v>208</v>
      </c>
      <c r="AW11" s="52">
        <f>J11</f>
        <v>74</v>
      </c>
      <c r="AX11" s="175">
        <f t="shared" si="19"/>
        <v>4.816666666666667E-3</v>
      </c>
      <c r="AY11" s="173">
        <f t="shared" si="17"/>
        <v>4.816666666666667E-3</v>
      </c>
      <c r="AZ11" s="52">
        <v>7.4999999999999997E-3</v>
      </c>
      <c r="BA11" s="159">
        <f>'Enc1 Part VI BL Q89'!J83/100</f>
        <v>4.816666666666667E-3</v>
      </c>
    </row>
    <row r="12" spans="2:53" s="119" customFormat="1" x14ac:dyDescent="0.2">
      <c r="B12" s="163" t="s">
        <v>41</v>
      </c>
      <c r="C12" s="163" t="s">
        <v>44</v>
      </c>
      <c r="D12" s="98">
        <v>19</v>
      </c>
      <c r="E12" s="52" t="s">
        <v>71</v>
      </c>
      <c r="F12" s="98">
        <v>4</v>
      </c>
      <c r="G12" s="98">
        <v>2</v>
      </c>
      <c r="H12" s="98">
        <v>38</v>
      </c>
      <c r="I12" s="98">
        <v>76</v>
      </c>
      <c r="J12" s="98">
        <v>38</v>
      </c>
      <c r="K12" s="170">
        <v>471.96428571428572</v>
      </c>
      <c r="L12" s="170">
        <f>8967</f>
        <v>8967</v>
      </c>
      <c r="M12" s="163"/>
      <c r="N12" s="106" t="s">
        <v>149</v>
      </c>
      <c r="O12" s="98" t="s">
        <v>129</v>
      </c>
      <c r="P12" s="108">
        <f t="shared" si="3"/>
        <v>5.0035860000000001E-2</v>
      </c>
      <c r="Q12" s="177">
        <f t="shared" si="4"/>
        <v>100.07172</v>
      </c>
      <c r="R12" s="113">
        <v>12</v>
      </c>
      <c r="S12" s="153" t="s">
        <v>208</v>
      </c>
      <c r="T12" s="171">
        <f t="shared" si="18"/>
        <v>6.3308333333333335</v>
      </c>
      <c r="U12" s="165">
        <f t="shared" si="15"/>
        <v>8967</v>
      </c>
      <c r="V12" s="106">
        <f t="shared" si="20"/>
        <v>9.2999999999999995E-4</v>
      </c>
      <c r="W12" s="158">
        <v>6.3308333333333335</v>
      </c>
      <c r="X12" s="109">
        <f t="shared" si="6"/>
        <v>0.30768098399999999</v>
      </c>
      <c r="Y12" s="109">
        <f t="shared" si="7"/>
        <v>0.153840492</v>
      </c>
      <c r="Z12" s="106">
        <v>8760</v>
      </c>
      <c r="AA12" s="121">
        <f t="shared" si="0"/>
        <v>7.0246799999999998E-2</v>
      </c>
      <c r="AB12" s="98">
        <f t="shared" si="8"/>
        <v>0.03</v>
      </c>
      <c r="AC12" s="154" t="s">
        <v>217</v>
      </c>
      <c r="AD12" s="157">
        <f>H12</f>
        <v>38</v>
      </c>
      <c r="AE12" s="121">
        <v>0.04</v>
      </c>
      <c r="AF12" s="187">
        <f t="shared" si="1"/>
        <v>2.8199999999999996E-2</v>
      </c>
      <c r="AG12" s="158">
        <v>2.3E-2</v>
      </c>
      <c r="AH12" s="115">
        <f t="shared" si="9"/>
        <v>4.9931999999999997E-3</v>
      </c>
      <c r="AI12" s="106">
        <v>8760</v>
      </c>
      <c r="AJ12" s="99">
        <f t="shared" si="10"/>
        <v>1.14E-3</v>
      </c>
      <c r="AK12" s="114">
        <f t="shared" si="11"/>
        <v>2E-3</v>
      </c>
      <c r="AL12" s="154" t="s">
        <v>208</v>
      </c>
      <c r="AM12" s="52">
        <f>I12</f>
        <v>76</v>
      </c>
      <c r="AN12" s="87">
        <f t="shared" si="16"/>
        <v>0</v>
      </c>
      <c r="AO12" s="173">
        <f t="shared" si="2"/>
        <v>0</v>
      </c>
      <c r="AP12" s="52">
        <v>7.4999999999999997E-3</v>
      </c>
      <c r="AQ12" s="159">
        <v>0</v>
      </c>
      <c r="AR12" s="115">
        <f t="shared" si="12"/>
        <v>1.4979599999999999E-2</v>
      </c>
      <c r="AS12" s="106">
        <v>8760</v>
      </c>
      <c r="AT12" s="176">
        <f t="shared" si="13"/>
        <v>3.4199999999999999E-3</v>
      </c>
      <c r="AU12" s="118">
        <f t="shared" si="14"/>
        <v>1.2E-2</v>
      </c>
      <c r="AV12" s="154" t="s">
        <v>208</v>
      </c>
      <c r="AW12" s="52">
        <f>J12</f>
        <v>38</v>
      </c>
      <c r="AX12" s="175">
        <f t="shared" si="19"/>
        <v>2.075E-3</v>
      </c>
      <c r="AY12" s="173">
        <f t="shared" si="17"/>
        <v>2.075E-3</v>
      </c>
      <c r="AZ12" s="52">
        <v>7.4999999999999997E-3</v>
      </c>
      <c r="BA12" s="159">
        <f>'Enc1 Part VI BL Q89'!J96/100</f>
        <v>2.075E-3</v>
      </c>
    </row>
    <row r="13" spans="2:53" s="119" customFormat="1" x14ac:dyDescent="0.2">
      <c r="B13" s="163" t="s">
        <v>45</v>
      </c>
      <c r="C13" s="163" t="s">
        <v>79</v>
      </c>
      <c r="D13" s="98">
        <v>85</v>
      </c>
      <c r="E13" s="52" t="s">
        <v>71</v>
      </c>
      <c r="F13" s="98">
        <v>3</v>
      </c>
      <c r="G13" s="98">
        <v>2</v>
      </c>
      <c r="H13" s="98">
        <v>170</v>
      </c>
      <c r="I13" s="98">
        <v>255</v>
      </c>
      <c r="J13" s="98">
        <v>170</v>
      </c>
      <c r="K13" s="98">
        <v>424</v>
      </c>
      <c r="L13" s="170">
        <v>30078</v>
      </c>
      <c r="M13" s="163" t="s">
        <v>138</v>
      </c>
      <c r="N13" s="106" t="s">
        <v>149</v>
      </c>
      <c r="O13" s="98" t="s">
        <v>129</v>
      </c>
      <c r="P13" s="108">
        <f t="shared" si="3"/>
        <v>0.16783524</v>
      </c>
      <c r="Q13" s="113">
        <f t="shared" si="4"/>
        <v>335.67048</v>
      </c>
      <c r="R13" s="113">
        <v>12</v>
      </c>
      <c r="S13" s="153" t="s">
        <v>208</v>
      </c>
      <c r="T13" s="171">
        <f t="shared" si="18"/>
        <v>3.5150832053251411</v>
      </c>
      <c r="U13" s="165">
        <f t="shared" si="15"/>
        <v>30078</v>
      </c>
      <c r="V13" s="106">
        <f>0.0093/10</f>
        <v>9.2999999999999995E-4</v>
      </c>
      <c r="W13" s="158">
        <v>3.5150832053251411</v>
      </c>
      <c r="X13" s="112">
        <f t="shared" si="6"/>
        <v>1.37646756</v>
      </c>
      <c r="Y13" s="109">
        <f t="shared" si="7"/>
        <v>0.68823378000000002</v>
      </c>
      <c r="Z13" s="106">
        <v>8760</v>
      </c>
      <c r="AA13" s="121">
        <f t="shared" si="0"/>
        <v>0.31426199999999999</v>
      </c>
      <c r="AB13" s="98">
        <f t="shared" si="8"/>
        <v>0.03</v>
      </c>
      <c r="AC13" s="154" t="s">
        <v>217</v>
      </c>
      <c r="AD13" s="157">
        <f>H13</f>
        <v>170</v>
      </c>
      <c r="AE13" s="121">
        <v>0.04</v>
      </c>
      <c r="AF13" s="187">
        <f t="shared" si="1"/>
        <v>2.8199999999999996E-2</v>
      </c>
      <c r="AG13" s="158">
        <v>2.3E-2</v>
      </c>
      <c r="AH13" s="115">
        <f t="shared" si="9"/>
        <v>1.6753499999999998E-2</v>
      </c>
      <c r="AI13" s="106">
        <v>8760</v>
      </c>
      <c r="AJ13" s="99">
        <f t="shared" si="10"/>
        <v>3.8249999999999998E-3</v>
      </c>
      <c r="AK13" s="114">
        <f t="shared" si="11"/>
        <v>2E-3</v>
      </c>
      <c r="AL13" s="154" t="s">
        <v>208</v>
      </c>
      <c r="AM13" s="52">
        <f>I13</f>
        <v>255</v>
      </c>
      <c r="AN13" s="87">
        <f t="shared" si="16"/>
        <v>3.8722691496092659E-4</v>
      </c>
      <c r="AO13" s="173">
        <f t="shared" si="2"/>
        <v>3.8722691496092659E-4</v>
      </c>
      <c r="AP13" s="52">
        <v>7.4999999999999997E-3</v>
      </c>
      <c r="AQ13" s="159">
        <v>3.8722691496092659E-4</v>
      </c>
      <c r="AR13" s="115">
        <f t="shared" si="12"/>
        <v>6.701399999999999E-2</v>
      </c>
      <c r="AS13" s="106">
        <v>8760</v>
      </c>
      <c r="AT13" s="176">
        <f t="shared" si="13"/>
        <v>1.5299999999999999E-2</v>
      </c>
      <c r="AU13" s="118">
        <f t="shared" si="14"/>
        <v>1.2E-2</v>
      </c>
      <c r="AV13" s="154" t="s">
        <v>208</v>
      </c>
      <c r="AW13" s="52">
        <f>J13</f>
        <v>170</v>
      </c>
      <c r="AX13" s="175">
        <f t="shared" si="19"/>
        <v>8.0456297763695627E-3</v>
      </c>
      <c r="AY13" s="173">
        <f t="shared" si="17"/>
        <v>8.0456297763695627E-3</v>
      </c>
      <c r="AZ13" s="52">
        <v>7.4999999999999997E-3</v>
      </c>
      <c r="BA13" s="159">
        <f>'Enc1 Part VI BL Q89'!J109</f>
        <v>8.0456297763695627E-3</v>
      </c>
    </row>
    <row r="14" spans="2:53" s="119" customFormat="1" x14ac:dyDescent="0.2">
      <c r="B14" s="163" t="s">
        <v>47</v>
      </c>
      <c r="C14" s="163" t="s">
        <v>81</v>
      </c>
      <c r="D14" s="98">
        <v>85</v>
      </c>
      <c r="E14" s="52" t="s">
        <v>71</v>
      </c>
      <c r="F14" s="98">
        <v>4</v>
      </c>
      <c r="G14" s="98">
        <v>2</v>
      </c>
      <c r="H14" s="98">
        <v>170</v>
      </c>
      <c r="I14" s="98">
        <v>340</v>
      </c>
      <c r="J14" s="98">
        <v>170</v>
      </c>
      <c r="K14" s="98">
        <f>AVERAGE(258.3,497.4)</f>
        <v>377.85</v>
      </c>
      <c r="L14" s="170">
        <v>42355</v>
      </c>
      <c r="M14" s="163" t="s">
        <v>148</v>
      </c>
      <c r="N14" s="106" t="s">
        <v>149</v>
      </c>
      <c r="O14" s="98" t="s">
        <v>150</v>
      </c>
      <c r="P14" s="108">
        <f t="shared" si="3"/>
        <v>0.23634089999999996</v>
      </c>
      <c r="Q14" s="113">
        <f t="shared" si="4"/>
        <v>472.68179999999995</v>
      </c>
      <c r="R14" s="113">
        <v>12</v>
      </c>
      <c r="S14" s="153" t="s">
        <v>208</v>
      </c>
      <c r="T14" s="171">
        <f t="shared" si="18"/>
        <v>1.3083333333333333</v>
      </c>
      <c r="U14" s="165">
        <f t="shared" si="15"/>
        <v>42355</v>
      </c>
      <c r="V14" s="106">
        <f>0.0093/10</f>
        <v>9.2999999999999995E-4</v>
      </c>
      <c r="W14" s="158">
        <v>1.3083333333333333</v>
      </c>
      <c r="X14" s="112">
        <f t="shared" si="6"/>
        <v>1.37646756</v>
      </c>
      <c r="Y14" s="109">
        <f t="shared" si="7"/>
        <v>0.68823378000000002</v>
      </c>
      <c r="Z14" s="106">
        <v>8760</v>
      </c>
      <c r="AA14" s="121">
        <f t="shared" si="0"/>
        <v>0.31426199999999999</v>
      </c>
      <c r="AB14" s="98">
        <f t="shared" si="8"/>
        <v>0.03</v>
      </c>
      <c r="AC14" s="154" t="s">
        <v>210</v>
      </c>
      <c r="AD14" s="157">
        <f>H14</f>
        <v>170</v>
      </c>
      <c r="AE14" s="121">
        <v>0.04</v>
      </c>
      <c r="AF14" s="187">
        <f t="shared" si="1"/>
        <v>2.8199999999999996E-2</v>
      </c>
      <c r="AG14" s="158">
        <v>2.3E-2</v>
      </c>
      <c r="AH14" s="115">
        <f t="shared" si="9"/>
        <v>2.2338E-2</v>
      </c>
      <c r="AI14" s="106">
        <v>8760</v>
      </c>
      <c r="AJ14" s="99">
        <f t="shared" si="10"/>
        <v>5.1000000000000004E-3</v>
      </c>
      <c r="AK14" s="114">
        <f t="shared" si="11"/>
        <v>2E-3</v>
      </c>
      <c r="AL14" s="154" t="s">
        <v>208</v>
      </c>
      <c r="AM14" s="52">
        <f>I14</f>
        <v>340</v>
      </c>
      <c r="AN14" s="178">
        <f t="shared" si="16"/>
        <v>8.3333333333333337E-6</v>
      </c>
      <c r="AO14" s="173">
        <f t="shared" si="2"/>
        <v>8.3333333333333337E-6</v>
      </c>
      <c r="AP14" s="52">
        <v>7.4999999999999997E-3</v>
      </c>
      <c r="AQ14" s="159">
        <v>8.3333333333333337E-6</v>
      </c>
      <c r="AR14" s="115">
        <f t="shared" si="12"/>
        <v>6.701399999999999E-2</v>
      </c>
      <c r="AS14" s="106">
        <v>8760</v>
      </c>
      <c r="AT14" s="176">
        <f t="shared" si="13"/>
        <v>1.5299999999999999E-2</v>
      </c>
      <c r="AU14" s="118">
        <f t="shared" si="14"/>
        <v>1.2E-2</v>
      </c>
      <c r="AV14" s="154" t="s">
        <v>208</v>
      </c>
      <c r="AW14" s="52">
        <f>J14</f>
        <v>170</v>
      </c>
      <c r="AX14" s="87">
        <f t="shared" si="19"/>
        <v>1.4999999999999999E-4</v>
      </c>
      <c r="AY14" s="173">
        <f t="shared" si="17"/>
        <v>1.4999999999999999E-4</v>
      </c>
      <c r="AZ14" s="52">
        <v>7.4999999999999997E-3</v>
      </c>
      <c r="BA14" s="159">
        <f>'Enc1 Part VI BL Q89'!J148/100</f>
        <v>1.4999999999999999E-4</v>
      </c>
    </row>
    <row r="15" spans="2:53" s="119" customFormat="1" x14ac:dyDescent="0.2">
      <c r="B15" s="163" t="s">
        <v>7</v>
      </c>
      <c r="C15" s="163" t="s">
        <v>82</v>
      </c>
      <c r="D15" s="98">
        <v>64</v>
      </c>
      <c r="E15" s="52" t="s">
        <v>71</v>
      </c>
      <c r="F15" s="98">
        <v>4</v>
      </c>
      <c r="G15" s="98">
        <v>2</v>
      </c>
      <c r="H15" s="98">
        <f>64*2</f>
        <v>128</v>
      </c>
      <c r="I15" s="98">
        <f>4*64</f>
        <v>256</v>
      </c>
      <c r="J15" s="98">
        <f>2*64</f>
        <v>128</v>
      </c>
      <c r="K15" s="157">
        <f>L15/64</f>
        <v>332.515625</v>
      </c>
      <c r="L15" s="170">
        <v>21281</v>
      </c>
      <c r="M15" s="163" t="s">
        <v>174</v>
      </c>
      <c r="N15" s="106" t="s">
        <v>149</v>
      </c>
      <c r="O15" s="98" t="s">
        <v>153</v>
      </c>
      <c r="P15" s="108">
        <f t="shared" si="3"/>
        <v>0.11874798</v>
      </c>
      <c r="Q15" s="113">
        <f t="shared" si="4"/>
        <v>237.49596</v>
      </c>
      <c r="R15" s="113">
        <v>12</v>
      </c>
      <c r="S15" s="153" t="s">
        <v>208</v>
      </c>
      <c r="T15" s="179">
        <v>4.4580000000000002</v>
      </c>
      <c r="U15" s="165">
        <f t="shared" si="15"/>
        <v>21281</v>
      </c>
      <c r="V15" s="106">
        <f t="shared" ref="V15:V30" si="21">0.0093/10</f>
        <v>9.2999999999999995E-4</v>
      </c>
      <c r="W15" s="52"/>
      <c r="X15" s="109">
        <f>AA15*Z15/2000</f>
        <v>0.34546636799999997</v>
      </c>
      <c r="Y15" s="109">
        <f t="shared" si="7"/>
        <v>0.17273318399999998</v>
      </c>
      <c r="Z15" s="106">
        <v>8760</v>
      </c>
      <c r="AA15" s="121">
        <f t="shared" si="0"/>
        <v>7.8873600000000002E-2</v>
      </c>
      <c r="AB15" s="98">
        <f>1/100</f>
        <v>0.01</v>
      </c>
      <c r="AC15" s="154" t="s">
        <v>217</v>
      </c>
      <c r="AD15" s="157">
        <f>H15</f>
        <v>128</v>
      </c>
      <c r="AE15" s="121">
        <v>0.04</v>
      </c>
      <c r="AF15" s="187">
        <f t="shared" si="1"/>
        <v>9.4000000000000004E-3</v>
      </c>
      <c r="AG15" s="158">
        <v>2.3E-2</v>
      </c>
      <c r="AH15" s="115">
        <f t="shared" si="9"/>
        <v>1.6819200000000003E-2</v>
      </c>
      <c r="AI15" s="106">
        <v>8760</v>
      </c>
      <c r="AJ15" s="99">
        <f t="shared" si="10"/>
        <v>3.8400000000000001E-3</v>
      </c>
      <c r="AK15" s="114">
        <f t="shared" si="11"/>
        <v>2E-3</v>
      </c>
      <c r="AL15" s="154" t="s">
        <v>208</v>
      </c>
      <c r="AM15" s="52">
        <f>I15</f>
        <v>256</v>
      </c>
      <c r="AN15" s="87">
        <v>0</v>
      </c>
      <c r="AO15" s="173">
        <f t="shared" si="2"/>
        <v>0</v>
      </c>
      <c r="AP15" s="52">
        <v>7.4999999999999997E-3</v>
      </c>
      <c r="AQ15" s="52"/>
      <c r="AR15" s="115">
        <f t="shared" si="12"/>
        <v>5.0457599999999991E-2</v>
      </c>
      <c r="AS15" s="106">
        <v>8760</v>
      </c>
      <c r="AT15" s="176">
        <f t="shared" si="13"/>
        <v>1.1519999999999999E-2</v>
      </c>
      <c r="AU15" s="118">
        <f t="shared" si="14"/>
        <v>1.2E-2</v>
      </c>
      <c r="AV15" s="154" t="s">
        <v>208</v>
      </c>
      <c r="AW15" s="52">
        <f>J15</f>
        <v>128</v>
      </c>
      <c r="AX15" s="175">
        <v>6.1999999999999998E-3</v>
      </c>
      <c r="AY15" s="173">
        <f t="shared" si="17"/>
        <v>6.1999999999999998E-3</v>
      </c>
      <c r="AZ15" s="52">
        <v>7.4999999999999997E-3</v>
      </c>
      <c r="BA15" s="52"/>
    </row>
    <row r="16" spans="2:53" s="119" customFormat="1" x14ac:dyDescent="0.2">
      <c r="B16" s="163" t="s">
        <v>7</v>
      </c>
      <c r="C16" s="163" t="s">
        <v>44</v>
      </c>
      <c r="D16" s="98">
        <v>64</v>
      </c>
      <c r="E16" s="52" t="s">
        <v>71</v>
      </c>
      <c r="F16" s="98">
        <v>4</v>
      </c>
      <c r="G16" s="98">
        <v>2</v>
      </c>
      <c r="H16" s="98">
        <f>64*2</f>
        <v>128</v>
      </c>
      <c r="I16" s="98">
        <f t="shared" ref="I16:I17" si="22">4*64</f>
        <v>256</v>
      </c>
      <c r="J16" s="98">
        <f t="shared" ref="J16:J17" si="23">2*64</f>
        <v>128</v>
      </c>
      <c r="K16" s="157">
        <f t="shared" ref="K16:K17" si="24">L16/64</f>
        <v>332.515625</v>
      </c>
      <c r="L16" s="170">
        <v>21281</v>
      </c>
      <c r="M16" s="163"/>
      <c r="N16" s="106" t="s">
        <v>149</v>
      </c>
      <c r="O16" s="98" t="s">
        <v>153</v>
      </c>
      <c r="P16" s="108">
        <f t="shared" si="3"/>
        <v>0.11874798</v>
      </c>
      <c r="Q16" s="113">
        <f t="shared" si="4"/>
        <v>237.49596</v>
      </c>
      <c r="R16" s="113">
        <v>12</v>
      </c>
      <c r="S16" s="153" t="s">
        <v>208</v>
      </c>
      <c r="T16" s="179">
        <v>4.532</v>
      </c>
      <c r="U16" s="165">
        <f t="shared" si="15"/>
        <v>21281</v>
      </c>
      <c r="V16" s="106">
        <f t="shared" si="21"/>
        <v>9.2999999999999995E-4</v>
      </c>
      <c r="W16" s="52"/>
      <c r="X16" s="109">
        <f t="shared" si="6"/>
        <v>0.34546636799999997</v>
      </c>
      <c r="Y16" s="109">
        <f t="shared" si="7"/>
        <v>0.17273318399999998</v>
      </c>
      <c r="Z16" s="106">
        <v>8760</v>
      </c>
      <c r="AA16" s="121">
        <f t="shared" si="0"/>
        <v>7.8873600000000002E-2</v>
      </c>
      <c r="AB16" s="98">
        <f t="shared" ref="AB16:AB22" si="25">1/100</f>
        <v>0.01</v>
      </c>
      <c r="AC16" s="154" t="s">
        <v>217</v>
      </c>
      <c r="AD16" s="157">
        <f>H16</f>
        <v>128</v>
      </c>
      <c r="AE16" s="121">
        <v>0.04</v>
      </c>
      <c r="AF16" s="187">
        <f t="shared" si="1"/>
        <v>9.4000000000000004E-3</v>
      </c>
      <c r="AG16" s="158">
        <v>2.3E-2</v>
      </c>
      <c r="AH16" s="115">
        <f t="shared" si="9"/>
        <v>1.6819200000000003E-2</v>
      </c>
      <c r="AI16" s="106">
        <v>8760</v>
      </c>
      <c r="AJ16" s="99">
        <f t="shared" si="10"/>
        <v>3.8400000000000001E-3</v>
      </c>
      <c r="AK16" s="114">
        <f t="shared" si="11"/>
        <v>2E-3</v>
      </c>
      <c r="AL16" s="154" t="s">
        <v>208</v>
      </c>
      <c r="AM16" s="52">
        <f>I16</f>
        <v>256</v>
      </c>
      <c r="AN16" s="87">
        <v>1E-4</v>
      </c>
      <c r="AO16" s="173">
        <f t="shared" si="2"/>
        <v>1E-4</v>
      </c>
      <c r="AP16" s="52">
        <v>7.4999999999999997E-3</v>
      </c>
      <c r="AQ16" s="52"/>
      <c r="AR16" s="115">
        <f t="shared" si="12"/>
        <v>5.0457599999999991E-2</v>
      </c>
      <c r="AS16" s="106">
        <v>8760</v>
      </c>
      <c r="AT16" s="176">
        <f t="shared" si="13"/>
        <v>1.1519999999999999E-2</v>
      </c>
      <c r="AU16" s="118">
        <f t="shared" si="14"/>
        <v>1.2E-2</v>
      </c>
      <c r="AV16" s="154" t="s">
        <v>208</v>
      </c>
      <c r="AW16" s="52">
        <f>J16</f>
        <v>128</v>
      </c>
      <c r="AX16" s="175">
        <v>5.5999999999999999E-3</v>
      </c>
      <c r="AY16" s="173">
        <f t="shared" si="17"/>
        <v>5.5999999999999999E-3</v>
      </c>
      <c r="AZ16" s="52">
        <v>7.4999999999999997E-3</v>
      </c>
      <c r="BA16" s="52"/>
    </row>
    <row r="17" spans="2:53" s="119" customFormat="1" x14ac:dyDescent="0.2">
      <c r="B17" s="163" t="s">
        <v>7</v>
      </c>
      <c r="C17" s="163" t="s">
        <v>83</v>
      </c>
      <c r="D17" s="98">
        <v>64</v>
      </c>
      <c r="E17" s="52" t="s">
        <v>71</v>
      </c>
      <c r="F17" s="98">
        <v>4</v>
      </c>
      <c r="G17" s="98">
        <v>2</v>
      </c>
      <c r="H17" s="98">
        <f>64*2</f>
        <v>128</v>
      </c>
      <c r="I17" s="98">
        <f t="shared" si="22"/>
        <v>256</v>
      </c>
      <c r="J17" s="98">
        <f t="shared" si="23"/>
        <v>128</v>
      </c>
      <c r="K17" s="157">
        <f t="shared" si="24"/>
        <v>332.515625</v>
      </c>
      <c r="L17" s="170">
        <v>21281</v>
      </c>
      <c r="M17" s="163"/>
      <c r="N17" s="106" t="s">
        <v>149</v>
      </c>
      <c r="O17" s="98" t="s">
        <v>153</v>
      </c>
      <c r="P17" s="108">
        <f t="shared" si="3"/>
        <v>0.11874798</v>
      </c>
      <c r="Q17" s="113">
        <f t="shared" si="4"/>
        <v>237.49596</v>
      </c>
      <c r="R17" s="113">
        <v>12</v>
      </c>
      <c r="S17" s="153" t="s">
        <v>208</v>
      </c>
      <c r="T17" s="179">
        <v>4.6880000000000006</v>
      </c>
      <c r="U17" s="165">
        <f t="shared" si="15"/>
        <v>21281</v>
      </c>
      <c r="V17" s="106">
        <f t="shared" si="21"/>
        <v>9.2999999999999995E-4</v>
      </c>
      <c r="W17" s="52"/>
      <c r="X17" s="109">
        <f t="shared" si="6"/>
        <v>0.34546636799999997</v>
      </c>
      <c r="Y17" s="109">
        <f t="shared" si="7"/>
        <v>0.17273318399999998</v>
      </c>
      <c r="Z17" s="106">
        <v>8760</v>
      </c>
      <c r="AA17" s="121">
        <f t="shared" si="0"/>
        <v>7.8873600000000002E-2</v>
      </c>
      <c r="AB17" s="98">
        <f t="shared" si="25"/>
        <v>0.01</v>
      </c>
      <c r="AC17" s="154" t="s">
        <v>217</v>
      </c>
      <c r="AD17" s="157">
        <f>H17</f>
        <v>128</v>
      </c>
      <c r="AE17" s="121">
        <v>0.04</v>
      </c>
      <c r="AF17" s="187">
        <f t="shared" si="1"/>
        <v>9.4000000000000004E-3</v>
      </c>
      <c r="AG17" s="158">
        <v>2.3E-2</v>
      </c>
      <c r="AH17" s="115">
        <f t="shared" si="9"/>
        <v>1.6819200000000003E-2</v>
      </c>
      <c r="AI17" s="106">
        <v>8760</v>
      </c>
      <c r="AJ17" s="99">
        <f t="shared" si="10"/>
        <v>3.8400000000000001E-3</v>
      </c>
      <c r="AK17" s="114">
        <f t="shared" si="11"/>
        <v>2E-3</v>
      </c>
      <c r="AL17" s="154" t="s">
        <v>208</v>
      </c>
      <c r="AM17" s="52">
        <f>I17</f>
        <v>256</v>
      </c>
      <c r="AN17" s="87">
        <v>0</v>
      </c>
      <c r="AO17" s="173">
        <f t="shared" si="2"/>
        <v>0</v>
      </c>
      <c r="AP17" s="52">
        <v>7.4999999999999997E-3</v>
      </c>
      <c r="AQ17" s="52"/>
      <c r="AR17" s="115">
        <f t="shared" si="12"/>
        <v>5.0457599999999991E-2</v>
      </c>
      <c r="AS17" s="106">
        <v>8760</v>
      </c>
      <c r="AT17" s="176">
        <f t="shared" si="13"/>
        <v>1.1519999999999999E-2</v>
      </c>
      <c r="AU17" s="118">
        <f t="shared" si="14"/>
        <v>1.2E-2</v>
      </c>
      <c r="AV17" s="154" t="s">
        <v>208</v>
      </c>
      <c r="AW17" s="52">
        <f>J17</f>
        <v>128</v>
      </c>
      <c r="AX17" s="175">
        <v>7.1999999999999998E-3</v>
      </c>
      <c r="AY17" s="173">
        <f t="shared" si="17"/>
        <v>7.1999999999999998E-3</v>
      </c>
      <c r="AZ17" s="52">
        <v>7.4999999999999997E-3</v>
      </c>
      <c r="BA17" s="52"/>
    </row>
    <row r="18" spans="2:53" s="119" customFormat="1" x14ac:dyDescent="0.2">
      <c r="B18" s="163" t="s">
        <v>7</v>
      </c>
      <c r="C18" s="163" t="s">
        <v>84</v>
      </c>
      <c r="D18" s="98">
        <v>61</v>
      </c>
      <c r="E18" s="52" t="s">
        <v>71</v>
      </c>
      <c r="F18" s="98">
        <v>4</v>
      </c>
      <c r="G18" s="98">
        <v>2</v>
      </c>
      <c r="H18" s="98">
        <f>61*2</f>
        <v>122</v>
      </c>
      <c r="I18" s="98">
        <f>4*61</f>
        <v>244</v>
      </c>
      <c r="J18" s="98">
        <f>2*61</f>
        <v>122</v>
      </c>
      <c r="K18" s="157">
        <f>L18/61</f>
        <v>335.22950819672133</v>
      </c>
      <c r="L18" s="170">
        <v>20449</v>
      </c>
      <c r="M18" s="163"/>
      <c r="N18" s="106" t="s">
        <v>149</v>
      </c>
      <c r="O18" s="98" t="s">
        <v>153</v>
      </c>
      <c r="P18" s="108">
        <f t="shared" si="3"/>
        <v>0.11410542</v>
      </c>
      <c r="Q18" s="113">
        <f t="shared" si="4"/>
        <v>228.21083999999999</v>
      </c>
      <c r="R18" s="113">
        <v>12</v>
      </c>
      <c r="S18" s="153" t="s">
        <v>208</v>
      </c>
      <c r="T18" s="179">
        <v>3.6100000000000003</v>
      </c>
      <c r="U18" s="165">
        <f t="shared" si="15"/>
        <v>20449</v>
      </c>
      <c r="V18" s="106">
        <f t="shared" si="21"/>
        <v>9.2999999999999995E-4</v>
      </c>
      <c r="W18" s="52"/>
      <c r="X18" s="109">
        <f t="shared" si="6"/>
        <v>0.32927263200000007</v>
      </c>
      <c r="Y18" s="109">
        <f t="shared" si="7"/>
        <v>0.16463631600000003</v>
      </c>
      <c r="Z18" s="106">
        <v>8760</v>
      </c>
      <c r="AA18" s="121">
        <f t="shared" si="0"/>
        <v>7.5176400000000004E-2</v>
      </c>
      <c r="AB18" s="98">
        <f t="shared" si="25"/>
        <v>0.01</v>
      </c>
      <c r="AC18" s="154" t="s">
        <v>217</v>
      </c>
      <c r="AD18" s="157">
        <f>H18</f>
        <v>122</v>
      </c>
      <c r="AE18" s="121">
        <v>0.04</v>
      </c>
      <c r="AF18" s="187">
        <f t="shared" si="1"/>
        <v>9.4000000000000004E-3</v>
      </c>
      <c r="AG18" s="158">
        <v>2.3E-2</v>
      </c>
      <c r="AH18" s="115">
        <f t="shared" si="9"/>
        <v>1.6030799999999998E-2</v>
      </c>
      <c r="AI18" s="106">
        <v>8760</v>
      </c>
      <c r="AJ18" s="99">
        <f t="shared" si="10"/>
        <v>3.6599999999999996E-3</v>
      </c>
      <c r="AK18" s="114">
        <f t="shared" si="11"/>
        <v>2E-3</v>
      </c>
      <c r="AL18" s="154" t="s">
        <v>208</v>
      </c>
      <c r="AM18" s="52">
        <f>I18</f>
        <v>244</v>
      </c>
      <c r="AN18" s="87">
        <v>0</v>
      </c>
      <c r="AO18" s="173">
        <f t="shared" si="2"/>
        <v>0</v>
      </c>
      <c r="AP18" s="52">
        <v>7.4999999999999997E-3</v>
      </c>
      <c r="AQ18" s="52"/>
      <c r="AR18" s="115">
        <f t="shared" si="12"/>
        <v>4.80924E-2</v>
      </c>
      <c r="AS18" s="106">
        <v>8760</v>
      </c>
      <c r="AT18" s="176">
        <f t="shared" si="13"/>
        <v>1.098E-2</v>
      </c>
      <c r="AU18" s="118">
        <f t="shared" si="14"/>
        <v>1.2E-2</v>
      </c>
      <c r="AV18" s="154" t="s">
        <v>208</v>
      </c>
      <c r="AW18" s="52">
        <f>J18</f>
        <v>122</v>
      </c>
      <c r="AX18" s="175">
        <v>5.7000000000000002E-3</v>
      </c>
      <c r="AY18" s="173">
        <f t="shared" si="17"/>
        <v>5.7000000000000002E-3</v>
      </c>
      <c r="AZ18" s="52">
        <v>7.4999999999999997E-3</v>
      </c>
      <c r="BA18" s="52"/>
    </row>
    <row r="19" spans="2:53" s="119" customFormat="1" x14ac:dyDescent="0.2">
      <c r="B19" s="163" t="s">
        <v>7</v>
      </c>
      <c r="C19" s="163" t="s">
        <v>85</v>
      </c>
      <c r="D19" s="98">
        <v>61</v>
      </c>
      <c r="E19" s="52" t="s">
        <v>71</v>
      </c>
      <c r="F19" s="98">
        <v>4</v>
      </c>
      <c r="G19" s="98">
        <v>2</v>
      </c>
      <c r="H19" s="98">
        <f>61*2</f>
        <v>122</v>
      </c>
      <c r="I19" s="98">
        <f t="shared" ref="I19:I20" si="26">4*61</f>
        <v>244</v>
      </c>
      <c r="J19" s="98">
        <f t="shared" ref="J19:J20" si="27">2*61</f>
        <v>122</v>
      </c>
      <c r="K19" s="157">
        <f t="shared" ref="K19:K20" si="28">L19/61</f>
        <v>335.22950819672133</v>
      </c>
      <c r="L19" s="170">
        <v>20449</v>
      </c>
      <c r="M19" s="163"/>
      <c r="N19" s="106" t="s">
        <v>149</v>
      </c>
      <c r="O19" s="98" t="s">
        <v>153</v>
      </c>
      <c r="P19" s="108">
        <f t="shared" si="3"/>
        <v>0.11410542</v>
      </c>
      <c r="Q19" s="113">
        <f t="shared" si="4"/>
        <v>228.21083999999999</v>
      </c>
      <c r="R19" s="113">
        <v>12</v>
      </c>
      <c r="S19" s="153" t="s">
        <v>208</v>
      </c>
      <c r="T19" s="179">
        <v>3.7719999999999998</v>
      </c>
      <c r="U19" s="165">
        <f t="shared" si="15"/>
        <v>20449</v>
      </c>
      <c r="V19" s="106">
        <f t="shared" si="21"/>
        <v>9.2999999999999995E-4</v>
      </c>
      <c r="W19" s="52"/>
      <c r="X19" s="109">
        <f t="shared" si="6"/>
        <v>0.32927263200000007</v>
      </c>
      <c r="Y19" s="109">
        <f t="shared" si="7"/>
        <v>0.16463631600000003</v>
      </c>
      <c r="Z19" s="106">
        <v>8760</v>
      </c>
      <c r="AA19" s="121">
        <f t="shared" si="0"/>
        <v>7.5176400000000004E-2</v>
      </c>
      <c r="AB19" s="98">
        <f t="shared" si="25"/>
        <v>0.01</v>
      </c>
      <c r="AC19" s="154" t="s">
        <v>217</v>
      </c>
      <c r="AD19" s="157">
        <f>H19</f>
        <v>122</v>
      </c>
      <c r="AE19" s="121">
        <v>0.04</v>
      </c>
      <c r="AF19" s="187">
        <f t="shared" si="1"/>
        <v>9.4000000000000004E-3</v>
      </c>
      <c r="AG19" s="158">
        <v>2.3E-2</v>
      </c>
      <c r="AH19" s="115">
        <f t="shared" si="9"/>
        <v>1.6030799999999998E-2</v>
      </c>
      <c r="AI19" s="106">
        <v>8760</v>
      </c>
      <c r="AJ19" s="99">
        <f t="shared" si="10"/>
        <v>3.6599999999999996E-3</v>
      </c>
      <c r="AK19" s="114">
        <f t="shared" si="11"/>
        <v>2E-3</v>
      </c>
      <c r="AL19" s="154" t="s">
        <v>208</v>
      </c>
      <c r="AM19" s="52">
        <f>I19</f>
        <v>244</v>
      </c>
      <c r="AN19" s="87">
        <v>0</v>
      </c>
      <c r="AO19" s="173">
        <f t="shared" si="2"/>
        <v>0</v>
      </c>
      <c r="AP19" s="52">
        <v>7.4999999999999997E-3</v>
      </c>
      <c r="AQ19" s="52"/>
      <c r="AR19" s="115">
        <f t="shared" si="12"/>
        <v>4.80924E-2</v>
      </c>
      <c r="AS19" s="106">
        <v>8760</v>
      </c>
      <c r="AT19" s="176">
        <f t="shared" si="13"/>
        <v>1.098E-2</v>
      </c>
      <c r="AU19" s="118">
        <f t="shared" si="14"/>
        <v>1.2E-2</v>
      </c>
      <c r="AV19" s="154" t="s">
        <v>208</v>
      </c>
      <c r="AW19" s="52">
        <f>J19</f>
        <v>122</v>
      </c>
      <c r="AX19" s="175">
        <v>7.1999999999999998E-3</v>
      </c>
      <c r="AY19" s="173">
        <f t="shared" si="17"/>
        <v>7.1999999999999998E-3</v>
      </c>
      <c r="AZ19" s="52">
        <v>7.4999999999999997E-3</v>
      </c>
      <c r="BA19" s="52"/>
    </row>
    <row r="20" spans="2:53" s="119" customFormat="1" x14ac:dyDescent="0.2">
      <c r="B20" s="163" t="s">
        <v>7</v>
      </c>
      <c r="C20" s="163" t="s">
        <v>86</v>
      </c>
      <c r="D20" s="98">
        <v>61</v>
      </c>
      <c r="E20" s="52" t="s">
        <v>71</v>
      </c>
      <c r="F20" s="98">
        <v>4</v>
      </c>
      <c r="G20" s="98">
        <v>2</v>
      </c>
      <c r="H20" s="98">
        <f>61*2</f>
        <v>122</v>
      </c>
      <c r="I20" s="98">
        <f t="shared" si="26"/>
        <v>244</v>
      </c>
      <c r="J20" s="98">
        <f t="shared" si="27"/>
        <v>122</v>
      </c>
      <c r="K20" s="157">
        <f t="shared" si="28"/>
        <v>335.22950819672133</v>
      </c>
      <c r="L20" s="170">
        <v>20449</v>
      </c>
      <c r="M20" s="163"/>
      <c r="N20" s="106" t="s">
        <v>149</v>
      </c>
      <c r="O20" s="98" t="s">
        <v>153</v>
      </c>
      <c r="P20" s="108">
        <f t="shared" si="3"/>
        <v>0.11410542</v>
      </c>
      <c r="Q20" s="113">
        <f t="shared" si="4"/>
        <v>228.21083999999999</v>
      </c>
      <c r="R20" s="113">
        <v>12</v>
      </c>
      <c r="S20" s="153" t="s">
        <v>208</v>
      </c>
      <c r="T20" s="179">
        <v>3.7679999999999998</v>
      </c>
      <c r="U20" s="165">
        <f t="shared" si="15"/>
        <v>20449</v>
      </c>
      <c r="V20" s="106">
        <f t="shared" si="21"/>
        <v>9.2999999999999995E-4</v>
      </c>
      <c r="W20" s="52"/>
      <c r="X20" s="109">
        <f t="shared" si="6"/>
        <v>0.32927263200000007</v>
      </c>
      <c r="Y20" s="109">
        <f t="shared" si="7"/>
        <v>0.16463631600000003</v>
      </c>
      <c r="Z20" s="106">
        <v>8760</v>
      </c>
      <c r="AA20" s="121">
        <f t="shared" si="0"/>
        <v>7.5176400000000004E-2</v>
      </c>
      <c r="AB20" s="98">
        <f t="shared" si="25"/>
        <v>0.01</v>
      </c>
      <c r="AC20" s="154" t="s">
        <v>217</v>
      </c>
      <c r="AD20" s="157">
        <f>H20</f>
        <v>122</v>
      </c>
      <c r="AE20" s="121">
        <v>0.04</v>
      </c>
      <c r="AF20" s="187">
        <f t="shared" si="1"/>
        <v>9.4000000000000004E-3</v>
      </c>
      <c r="AG20" s="158">
        <v>2.3E-2</v>
      </c>
      <c r="AH20" s="115">
        <f t="shared" si="9"/>
        <v>1.6030799999999998E-2</v>
      </c>
      <c r="AI20" s="106">
        <v>8760</v>
      </c>
      <c r="AJ20" s="99">
        <f t="shared" si="10"/>
        <v>3.6599999999999996E-3</v>
      </c>
      <c r="AK20" s="114">
        <f t="shared" si="11"/>
        <v>2E-3</v>
      </c>
      <c r="AL20" s="154" t="s">
        <v>208</v>
      </c>
      <c r="AM20" s="52">
        <f>I20</f>
        <v>244</v>
      </c>
      <c r="AN20" s="87">
        <v>0</v>
      </c>
      <c r="AO20" s="173">
        <f t="shared" si="2"/>
        <v>0</v>
      </c>
      <c r="AP20" s="52">
        <v>7.4999999999999997E-3</v>
      </c>
      <c r="AQ20" s="52"/>
      <c r="AR20" s="115">
        <f t="shared" si="12"/>
        <v>4.80924E-2</v>
      </c>
      <c r="AS20" s="106">
        <v>8760</v>
      </c>
      <c r="AT20" s="176">
        <f t="shared" si="13"/>
        <v>1.098E-2</v>
      </c>
      <c r="AU20" s="118">
        <f t="shared" si="14"/>
        <v>1.2E-2</v>
      </c>
      <c r="AV20" s="154" t="s">
        <v>208</v>
      </c>
      <c r="AW20" s="52">
        <f>J20</f>
        <v>122</v>
      </c>
      <c r="AX20" s="175">
        <v>3.8999999999999998E-3</v>
      </c>
      <c r="AY20" s="173">
        <f t="shared" si="17"/>
        <v>3.8999999999999998E-3</v>
      </c>
      <c r="AZ20" s="52">
        <v>7.4999999999999997E-3</v>
      </c>
      <c r="BA20" s="52"/>
    </row>
    <row r="21" spans="2:53" s="119" customFormat="1" x14ac:dyDescent="0.2">
      <c r="B21" s="163" t="s">
        <v>7</v>
      </c>
      <c r="C21" s="163" t="s">
        <v>87</v>
      </c>
      <c r="D21" s="98">
        <v>87</v>
      </c>
      <c r="E21" s="52" t="s">
        <v>71</v>
      </c>
      <c r="F21" s="98">
        <v>4</v>
      </c>
      <c r="G21" s="98">
        <v>2</v>
      </c>
      <c r="H21" s="98">
        <f>87*2</f>
        <v>174</v>
      </c>
      <c r="I21" s="98">
        <f>4*87</f>
        <v>348</v>
      </c>
      <c r="J21" s="98">
        <f>2*87</f>
        <v>174</v>
      </c>
      <c r="K21" s="157">
        <f>L21/87</f>
        <v>348.32183908045977</v>
      </c>
      <c r="L21" s="170">
        <v>30304</v>
      </c>
      <c r="M21" s="163"/>
      <c r="N21" s="106" t="s">
        <v>149</v>
      </c>
      <c r="O21" s="98" t="s">
        <v>153</v>
      </c>
      <c r="P21" s="108">
        <f t="shared" si="3"/>
        <v>0.16909631999999999</v>
      </c>
      <c r="Q21" s="113">
        <f t="shared" si="4"/>
        <v>338.19263999999998</v>
      </c>
      <c r="R21" s="113">
        <v>12</v>
      </c>
      <c r="S21" s="153" t="s">
        <v>208</v>
      </c>
      <c r="T21" s="179">
        <v>4.4659999999999993</v>
      </c>
      <c r="U21" s="165">
        <f t="shared" si="15"/>
        <v>30304</v>
      </c>
      <c r="V21" s="106">
        <f t="shared" si="21"/>
        <v>9.2999999999999995E-4</v>
      </c>
      <c r="W21" s="52"/>
      <c r="X21" s="112">
        <f t="shared" si="6"/>
        <v>0.46961834400000002</v>
      </c>
      <c r="Y21" s="109">
        <f t="shared" si="7"/>
        <v>0.23480917200000001</v>
      </c>
      <c r="Z21" s="106">
        <v>8760</v>
      </c>
      <c r="AA21" s="121">
        <f t="shared" si="0"/>
        <v>0.1072188</v>
      </c>
      <c r="AB21" s="98">
        <f t="shared" si="25"/>
        <v>0.01</v>
      </c>
      <c r="AC21" s="154" t="s">
        <v>217</v>
      </c>
      <c r="AD21" s="157">
        <f>H21</f>
        <v>174</v>
      </c>
      <c r="AE21" s="121">
        <v>0.04</v>
      </c>
      <c r="AF21" s="187">
        <f t="shared" si="1"/>
        <v>9.4000000000000004E-3</v>
      </c>
      <c r="AG21" s="158">
        <v>2.3E-2</v>
      </c>
      <c r="AH21" s="115">
        <f t="shared" si="9"/>
        <v>2.2863600000000001E-2</v>
      </c>
      <c r="AI21" s="106">
        <v>8760</v>
      </c>
      <c r="AJ21" s="99">
        <f t="shared" si="10"/>
        <v>5.2200000000000007E-3</v>
      </c>
      <c r="AK21" s="114">
        <f t="shared" si="11"/>
        <v>2E-3</v>
      </c>
      <c r="AL21" s="154" t="s">
        <v>208</v>
      </c>
      <c r="AM21" s="52">
        <f>I21</f>
        <v>348</v>
      </c>
      <c r="AN21" s="87">
        <v>0</v>
      </c>
      <c r="AO21" s="173">
        <f t="shared" si="2"/>
        <v>0</v>
      </c>
      <c r="AP21" s="52">
        <v>7.4999999999999997E-3</v>
      </c>
      <c r="AQ21" s="52"/>
      <c r="AR21" s="115">
        <f t="shared" si="12"/>
        <v>6.8590800000000007E-2</v>
      </c>
      <c r="AS21" s="106">
        <v>8760</v>
      </c>
      <c r="AT21" s="176">
        <f t="shared" si="13"/>
        <v>1.566E-2</v>
      </c>
      <c r="AU21" s="118">
        <f t="shared" si="14"/>
        <v>1.2E-2</v>
      </c>
      <c r="AV21" s="154" t="s">
        <v>208</v>
      </c>
      <c r="AW21" s="52">
        <f>J21</f>
        <v>174</v>
      </c>
      <c r="AX21" s="175">
        <v>1.24E-2</v>
      </c>
      <c r="AY21" s="173">
        <f t="shared" si="17"/>
        <v>1.24E-2</v>
      </c>
      <c r="AZ21" s="52">
        <v>7.4999999999999997E-3</v>
      </c>
      <c r="BA21" s="52"/>
    </row>
    <row r="22" spans="2:53" s="119" customFormat="1" x14ac:dyDescent="0.2">
      <c r="B22" s="163" t="s">
        <v>7</v>
      </c>
      <c r="C22" s="163" t="s">
        <v>88</v>
      </c>
      <c r="D22" s="98">
        <v>87</v>
      </c>
      <c r="E22" s="52" t="s">
        <v>71</v>
      </c>
      <c r="F22" s="98">
        <v>4</v>
      </c>
      <c r="G22" s="98">
        <v>2</v>
      </c>
      <c r="H22" s="98">
        <f>87*2</f>
        <v>174</v>
      </c>
      <c r="I22" s="98">
        <f>4*87</f>
        <v>348</v>
      </c>
      <c r="J22" s="98">
        <f>2*87</f>
        <v>174</v>
      </c>
      <c r="K22" s="157">
        <f t="shared" ref="K22" si="29">L22/87</f>
        <v>348.32183908045977</v>
      </c>
      <c r="L22" s="170">
        <v>30304</v>
      </c>
      <c r="M22" s="163"/>
      <c r="N22" s="106" t="s">
        <v>149</v>
      </c>
      <c r="O22" s="98" t="s">
        <v>153</v>
      </c>
      <c r="P22" s="108">
        <f t="shared" si="3"/>
        <v>0.16909631999999999</v>
      </c>
      <c r="Q22" s="113">
        <f t="shared" si="4"/>
        <v>338.19263999999998</v>
      </c>
      <c r="R22" s="113">
        <v>12</v>
      </c>
      <c r="S22" s="153" t="s">
        <v>208</v>
      </c>
      <c r="T22" s="179">
        <v>4.1180000000000003</v>
      </c>
      <c r="U22" s="165">
        <f t="shared" si="15"/>
        <v>30304</v>
      </c>
      <c r="V22" s="106">
        <f t="shared" si="21"/>
        <v>9.2999999999999995E-4</v>
      </c>
      <c r="W22" s="52"/>
      <c r="X22" s="112">
        <f t="shared" si="6"/>
        <v>0.46961834400000002</v>
      </c>
      <c r="Y22" s="109">
        <f t="shared" si="7"/>
        <v>0.23480917200000001</v>
      </c>
      <c r="Z22" s="106">
        <v>8760</v>
      </c>
      <c r="AA22" s="121">
        <f t="shared" si="0"/>
        <v>0.1072188</v>
      </c>
      <c r="AB22" s="98">
        <f t="shared" si="25"/>
        <v>0.01</v>
      </c>
      <c r="AC22" s="154" t="s">
        <v>217</v>
      </c>
      <c r="AD22" s="157">
        <f>H22</f>
        <v>174</v>
      </c>
      <c r="AE22" s="121">
        <v>0.04</v>
      </c>
      <c r="AF22" s="187">
        <f t="shared" si="1"/>
        <v>9.4000000000000004E-3</v>
      </c>
      <c r="AG22" s="158">
        <v>2.3E-2</v>
      </c>
      <c r="AH22" s="115">
        <f t="shared" si="9"/>
        <v>2.2863600000000001E-2</v>
      </c>
      <c r="AI22" s="106">
        <v>8760</v>
      </c>
      <c r="AJ22" s="99">
        <f t="shared" si="10"/>
        <v>5.2200000000000007E-3</v>
      </c>
      <c r="AK22" s="114">
        <f t="shared" si="11"/>
        <v>2E-3</v>
      </c>
      <c r="AL22" s="154" t="s">
        <v>208</v>
      </c>
      <c r="AM22" s="52">
        <f>I22</f>
        <v>348</v>
      </c>
      <c r="AN22" s="87">
        <v>1E-4</v>
      </c>
      <c r="AO22" s="173">
        <f t="shared" si="2"/>
        <v>1E-4</v>
      </c>
      <c r="AP22" s="52">
        <v>7.4999999999999997E-3</v>
      </c>
      <c r="AQ22" s="52"/>
      <c r="AR22" s="115">
        <f t="shared" si="12"/>
        <v>6.8590800000000007E-2</v>
      </c>
      <c r="AS22" s="106">
        <v>8760</v>
      </c>
      <c r="AT22" s="176">
        <f t="shared" si="13"/>
        <v>1.566E-2</v>
      </c>
      <c r="AU22" s="118">
        <f t="shared" si="14"/>
        <v>1.2E-2</v>
      </c>
      <c r="AV22" s="154" t="s">
        <v>208</v>
      </c>
      <c r="AW22" s="52">
        <f>J22</f>
        <v>174</v>
      </c>
      <c r="AX22" s="175">
        <v>1.0500000000000001E-2</v>
      </c>
      <c r="AY22" s="173">
        <f t="shared" si="17"/>
        <v>1.0500000000000001E-2</v>
      </c>
      <c r="AZ22" s="52">
        <v>7.4999999999999997E-3</v>
      </c>
      <c r="BA22" s="52"/>
    </row>
    <row r="23" spans="2:53" s="119" customFormat="1" x14ac:dyDescent="0.2">
      <c r="B23" s="163" t="s">
        <v>7</v>
      </c>
      <c r="C23" s="163" t="s">
        <v>8</v>
      </c>
      <c r="D23" s="98">
        <v>75</v>
      </c>
      <c r="E23" s="52" t="s">
        <v>71</v>
      </c>
      <c r="F23" s="98">
        <v>4</v>
      </c>
      <c r="G23" s="98">
        <v>2</v>
      </c>
      <c r="H23" s="98">
        <f>75*2</f>
        <v>150</v>
      </c>
      <c r="I23" s="98">
        <f>4*75</f>
        <v>300</v>
      </c>
      <c r="J23" s="98">
        <f>2*75</f>
        <v>150</v>
      </c>
      <c r="K23" s="157">
        <f>L23/75</f>
        <v>377.04</v>
      </c>
      <c r="L23" s="170">
        <v>28278</v>
      </c>
      <c r="M23" s="163"/>
      <c r="N23" s="106" t="s">
        <v>149</v>
      </c>
      <c r="O23" s="98" t="s">
        <v>153</v>
      </c>
      <c r="P23" s="108">
        <f t="shared" si="3"/>
        <v>0.15779124</v>
      </c>
      <c r="Q23" s="113">
        <f t="shared" si="4"/>
        <v>315.58247999999998</v>
      </c>
      <c r="R23" s="113">
        <v>12</v>
      </c>
      <c r="S23" s="153" t="s">
        <v>208</v>
      </c>
      <c r="T23" s="179">
        <v>4.34</v>
      </c>
      <c r="U23" s="165">
        <f t="shared" si="15"/>
        <v>28278</v>
      </c>
      <c r="V23" s="106">
        <f t="shared" si="21"/>
        <v>9.2999999999999995E-4</v>
      </c>
      <c r="W23" s="52"/>
      <c r="X23" s="109">
        <f t="shared" si="6"/>
        <v>0.6072651</v>
      </c>
      <c r="Y23" s="109">
        <f t="shared" si="7"/>
        <v>0.30363255</v>
      </c>
      <c r="Z23" s="106">
        <v>8760</v>
      </c>
      <c r="AA23" s="121">
        <f t="shared" si="0"/>
        <v>0.13864499999999999</v>
      </c>
      <c r="AB23" s="98">
        <f>1.5/100</f>
        <v>1.4999999999999999E-2</v>
      </c>
      <c r="AC23" s="154" t="s">
        <v>210</v>
      </c>
      <c r="AD23" s="157">
        <f>H23</f>
        <v>150</v>
      </c>
      <c r="AE23" s="121">
        <v>0.04</v>
      </c>
      <c r="AF23" s="187">
        <f t="shared" si="1"/>
        <v>1.4099999999999998E-2</v>
      </c>
      <c r="AG23" s="158">
        <v>2.3E-2</v>
      </c>
      <c r="AH23" s="115">
        <f t="shared" si="9"/>
        <v>1.9709999999999998E-2</v>
      </c>
      <c r="AI23" s="106">
        <v>8760</v>
      </c>
      <c r="AJ23" s="99">
        <f t="shared" si="10"/>
        <v>4.4999999999999997E-3</v>
      </c>
      <c r="AK23" s="114">
        <f t="shared" si="11"/>
        <v>2E-3</v>
      </c>
      <c r="AL23" s="154" t="s">
        <v>208</v>
      </c>
      <c r="AM23" s="52">
        <f>I23</f>
        <v>300</v>
      </c>
      <c r="AN23" s="87">
        <v>1E-4</v>
      </c>
      <c r="AO23" s="173">
        <f t="shared" si="2"/>
        <v>1E-4</v>
      </c>
      <c r="AP23" s="52">
        <v>7.4999999999999997E-3</v>
      </c>
      <c r="AQ23" s="52"/>
      <c r="AR23" s="115">
        <f t="shared" si="12"/>
        <v>5.9130000000000002E-2</v>
      </c>
      <c r="AS23" s="106">
        <v>8760</v>
      </c>
      <c r="AT23" s="176">
        <f t="shared" si="13"/>
        <v>1.35E-2</v>
      </c>
      <c r="AU23" s="118">
        <f t="shared" si="14"/>
        <v>1.2E-2</v>
      </c>
      <c r="AV23" s="154" t="s">
        <v>208</v>
      </c>
      <c r="AW23" s="52">
        <f>J23</f>
        <v>150</v>
      </c>
      <c r="AX23" s="175">
        <v>1.6999999999999999E-3</v>
      </c>
      <c r="AY23" s="173">
        <f t="shared" si="17"/>
        <v>1.6999999999999999E-3</v>
      </c>
      <c r="AZ23" s="52">
        <v>7.4999999999999997E-3</v>
      </c>
      <c r="BA23" s="52"/>
    </row>
    <row r="24" spans="2:53" s="119" customFormat="1" x14ac:dyDescent="0.2">
      <c r="B24" s="163" t="s">
        <v>7</v>
      </c>
      <c r="C24" s="163" t="s">
        <v>89</v>
      </c>
      <c r="D24" s="98">
        <v>84</v>
      </c>
      <c r="E24" s="52" t="s">
        <v>71</v>
      </c>
      <c r="F24" s="98">
        <v>5</v>
      </c>
      <c r="G24" s="98">
        <v>1</v>
      </c>
      <c r="H24" s="98">
        <f>84*2</f>
        <v>168</v>
      </c>
      <c r="I24" s="98">
        <f>5*84</f>
        <v>420</v>
      </c>
      <c r="J24" s="98">
        <v>84</v>
      </c>
      <c r="K24" s="157">
        <f>L24/84</f>
        <v>432.48809523809524</v>
      </c>
      <c r="L24" s="170">
        <v>36329</v>
      </c>
      <c r="M24" s="163"/>
      <c r="N24" s="106" t="s">
        <v>149</v>
      </c>
      <c r="O24" s="98" t="s">
        <v>153</v>
      </c>
      <c r="P24" s="109">
        <f t="shared" si="3"/>
        <v>0.20271581999999999</v>
      </c>
      <c r="Q24" s="113">
        <f t="shared" si="4"/>
        <v>405.43163999999996</v>
      </c>
      <c r="R24" s="113">
        <v>12</v>
      </c>
      <c r="S24" s="153" t="s">
        <v>208</v>
      </c>
      <c r="T24" s="179">
        <v>37.531999999999996</v>
      </c>
      <c r="U24" s="165">
        <f t="shared" si="15"/>
        <v>36329</v>
      </c>
      <c r="V24" s="106">
        <f t="shared" si="21"/>
        <v>9.2999999999999995E-4</v>
      </c>
      <c r="W24" s="52"/>
      <c r="X24" s="112">
        <f t="shared" si="6"/>
        <v>0.68013691199999993</v>
      </c>
      <c r="Y24" s="109">
        <f t="shared" si="7"/>
        <v>0.34006845599999996</v>
      </c>
      <c r="Z24" s="106">
        <v>8760</v>
      </c>
      <c r="AA24" s="121">
        <f t="shared" si="0"/>
        <v>0.15528239999999999</v>
      </c>
      <c r="AB24" s="98">
        <f>1.5/100</f>
        <v>1.4999999999999999E-2</v>
      </c>
      <c r="AC24" s="154" t="s">
        <v>210</v>
      </c>
      <c r="AD24" s="157">
        <f>H24</f>
        <v>168</v>
      </c>
      <c r="AE24" s="121">
        <v>0.04</v>
      </c>
      <c r="AF24" s="187">
        <f t="shared" si="1"/>
        <v>1.4099999999999998E-2</v>
      </c>
      <c r="AG24" s="158">
        <v>2.3E-2</v>
      </c>
      <c r="AH24" s="115">
        <f t="shared" si="9"/>
        <v>2.7593999999999997E-2</v>
      </c>
      <c r="AI24" s="106">
        <v>8760</v>
      </c>
      <c r="AJ24" s="99">
        <f t="shared" si="10"/>
        <v>6.2999999999999992E-3</v>
      </c>
      <c r="AK24" s="114">
        <f t="shared" si="11"/>
        <v>2E-3</v>
      </c>
      <c r="AL24" s="154" t="s">
        <v>208</v>
      </c>
      <c r="AM24" s="52">
        <f>I24</f>
        <v>420</v>
      </c>
      <c r="AN24" s="87">
        <v>0</v>
      </c>
      <c r="AO24" s="173">
        <f t="shared" si="2"/>
        <v>0</v>
      </c>
      <c r="AP24" s="52">
        <v>7.4999999999999997E-3</v>
      </c>
      <c r="AQ24" s="52"/>
      <c r="AR24" s="115">
        <f t="shared" si="12"/>
        <v>3.3112799999999998E-2</v>
      </c>
      <c r="AS24" s="106">
        <v>8760</v>
      </c>
      <c r="AT24" s="176">
        <f t="shared" si="13"/>
        <v>7.5599999999999999E-3</v>
      </c>
      <c r="AU24" s="118">
        <f t="shared" si="14"/>
        <v>1.2E-2</v>
      </c>
      <c r="AV24" s="154" t="s">
        <v>208</v>
      </c>
      <c r="AW24" s="52">
        <f>J24</f>
        <v>84</v>
      </c>
      <c r="AX24" s="175">
        <v>8.0000000000000004E-4</v>
      </c>
      <c r="AY24" s="173">
        <f t="shared" si="17"/>
        <v>8.0000000000000004E-4</v>
      </c>
      <c r="AZ24" s="52">
        <v>7.4999999999999997E-3</v>
      </c>
      <c r="BA24" s="52"/>
    </row>
    <row r="25" spans="2:53" s="119" customFormat="1" x14ac:dyDescent="0.2">
      <c r="B25" s="180" t="s">
        <v>90</v>
      </c>
      <c r="C25" s="181" t="s">
        <v>91</v>
      </c>
      <c r="D25" s="69">
        <v>78</v>
      </c>
      <c r="E25" s="68" t="s">
        <v>74</v>
      </c>
      <c r="F25" s="98"/>
      <c r="G25" s="98"/>
      <c r="H25" s="98">
        <f>D25*2</f>
        <v>156</v>
      </c>
      <c r="I25" s="98">
        <v>312</v>
      </c>
      <c r="J25" s="98">
        <v>78</v>
      </c>
      <c r="K25" s="98"/>
      <c r="L25" s="98"/>
      <c r="M25" s="163"/>
      <c r="N25" s="98"/>
      <c r="O25" s="98"/>
      <c r="P25" s="108">
        <f t="shared" si="3"/>
        <v>0.10961909999999998</v>
      </c>
      <c r="Q25" s="113">
        <f t="shared" si="4"/>
        <v>219.23819999999998</v>
      </c>
      <c r="R25" s="113">
        <v>12</v>
      </c>
      <c r="S25" s="153" t="s">
        <v>208</v>
      </c>
      <c r="T25" s="85">
        <v>3.7</v>
      </c>
      <c r="U25" s="182">
        <v>19645</v>
      </c>
      <c r="V25" s="106">
        <f t="shared" si="21"/>
        <v>9.2999999999999995E-4</v>
      </c>
      <c r="W25" s="68"/>
      <c r="X25" s="112">
        <f t="shared" si="6"/>
        <v>1.2631114079999999</v>
      </c>
      <c r="Y25" s="109">
        <f t="shared" si="7"/>
        <v>0.63155570399999994</v>
      </c>
      <c r="Z25" s="106">
        <v>8760</v>
      </c>
      <c r="AA25" s="121">
        <f t="shared" si="0"/>
        <v>0.28838160000000002</v>
      </c>
      <c r="AB25" s="98">
        <f t="shared" ref="AB25:AB30" si="30">3/100</f>
        <v>0.03</v>
      </c>
      <c r="AC25" s="154" t="s">
        <v>211</v>
      </c>
      <c r="AD25" s="157">
        <f>H25</f>
        <v>156</v>
      </c>
      <c r="AE25" s="121">
        <v>0.04</v>
      </c>
      <c r="AF25" s="187">
        <f t="shared" si="1"/>
        <v>2.8199999999999996E-2</v>
      </c>
      <c r="AG25" s="158">
        <v>2.3E-2</v>
      </c>
      <c r="AH25" s="115">
        <f t="shared" si="9"/>
        <v>2.04984E-2</v>
      </c>
      <c r="AI25" s="106">
        <v>8760</v>
      </c>
      <c r="AJ25" s="99">
        <f t="shared" si="10"/>
        <v>4.6800000000000001E-3</v>
      </c>
      <c r="AK25" s="114">
        <f t="shared" si="11"/>
        <v>2E-3</v>
      </c>
      <c r="AL25" s="154" t="s">
        <v>208</v>
      </c>
      <c r="AM25" s="52">
        <f>I25</f>
        <v>312</v>
      </c>
      <c r="AN25" s="87">
        <v>0</v>
      </c>
      <c r="AO25" s="173">
        <f t="shared" si="2"/>
        <v>0</v>
      </c>
      <c r="AP25" s="52">
        <v>7.4999999999999997E-3</v>
      </c>
      <c r="AQ25" s="68"/>
      <c r="AR25" s="115">
        <f t="shared" si="12"/>
        <v>3.0747600000000003E-2</v>
      </c>
      <c r="AS25" s="106">
        <v>8760</v>
      </c>
      <c r="AT25" s="176">
        <f t="shared" si="13"/>
        <v>7.0200000000000002E-3</v>
      </c>
      <c r="AU25" s="118">
        <f t="shared" si="14"/>
        <v>1.2E-2</v>
      </c>
      <c r="AV25" s="154" t="s">
        <v>208</v>
      </c>
      <c r="AW25" s="52">
        <f>J25</f>
        <v>78</v>
      </c>
      <c r="AX25" s="87">
        <v>2.9999999999999997E-4</v>
      </c>
      <c r="AY25" s="173">
        <f t="shared" si="17"/>
        <v>2.9999999999999997E-4</v>
      </c>
      <c r="AZ25" s="52">
        <v>7.4999999999999997E-3</v>
      </c>
      <c r="BA25" s="68"/>
    </row>
    <row r="26" spans="2:53" s="119" customFormat="1" x14ac:dyDescent="0.2">
      <c r="B26" s="52" t="s">
        <v>90</v>
      </c>
      <c r="C26" s="181" t="s">
        <v>81</v>
      </c>
      <c r="D26" s="69">
        <v>25</v>
      </c>
      <c r="E26" s="68" t="s">
        <v>74</v>
      </c>
      <c r="F26" s="98"/>
      <c r="G26" s="98"/>
      <c r="H26" s="98">
        <f t="shared" ref="H26:H30" si="31">D26*2</f>
        <v>50</v>
      </c>
      <c r="I26" s="98">
        <v>125</v>
      </c>
      <c r="J26" s="98">
        <v>25</v>
      </c>
      <c r="K26" s="69"/>
      <c r="L26" s="69"/>
      <c r="M26" s="163"/>
      <c r="N26" s="69"/>
      <c r="O26" s="69"/>
      <c r="P26" s="108">
        <f t="shared" si="3"/>
        <v>3.1588379999999999E-2</v>
      </c>
      <c r="Q26" s="113">
        <f t="shared" si="4"/>
        <v>63.176759999999994</v>
      </c>
      <c r="R26" s="113">
        <v>12</v>
      </c>
      <c r="S26" s="153" t="s">
        <v>208</v>
      </c>
      <c r="T26" s="85">
        <v>4.3</v>
      </c>
      <c r="U26" s="182">
        <v>5661</v>
      </c>
      <c r="V26" s="106">
        <f t="shared" si="21"/>
        <v>9.2999999999999995E-4</v>
      </c>
      <c r="W26" s="68"/>
      <c r="X26" s="109">
        <f t="shared" si="6"/>
        <v>0.40484339999999991</v>
      </c>
      <c r="Y26" s="109">
        <f t="shared" si="7"/>
        <v>0.20242169999999995</v>
      </c>
      <c r="Z26" s="106">
        <v>8760</v>
      </c>
      <c r="AA26" s="121">
        <f t="shared" si="0"/>
        <v>9.2429999999999984E-2</v>
      </c>
      <c r="AB26" s="98">
        <f t="shared" si="30"/>
        <v>0.03</v>
      </c>
      <c r="AC26" s="154" t="s">
        <v>211</v>
      </c>
      <c r="AD26" s="157">
        <f>H26</f>
        <v>50</v>
      </c>
      <c r="AE26" s="121">
        <v>0.04</v>
      </c>
      <c r="AF26" s="187">
        <f t="shared" si="1"/>
        <v>2.8199999999999996E-2</v>
      </c>
      <c r="AG26" s="158">
        <v>2.3E-2</v>
      </c>
      <c r="AH26" s="115">
        <f t="shared" si="9"/>
        <v>8.212500000000001E-3</v>
      </c>
      <c r="AI26" s="106">
        <v>8760</v>
      </c>
      <c r="AJ26" s="99">
        <f t="shared" si="10"/>
        <v>1.8749999999999999E-3</v>
      </c>
      <c r="AK26" s="114">
        <f t="shared" si="11"/>
        <v>2E-3</v>
      </c>
      <c r="AL26" s="154" t="s">
        <v>208</v>
      </c>
      <c r="AM26" s="52">
        <f>I26</f>
        <v>125</v>
      </c>
      <c r="AN26" s="87">
        <v>0</v>
      </c>
      <c r="AO26" s="173">
        <f t="shared" si="2"/>
        <v>0</v>
      </c>
      <c r="AP26" s="52">
        <v>7.4999999999999997E-3</v>
      </c>
      <c r="AQ26" s="68"/>
      <c r="AR26" s="115">
        <f t="shared" si="12"/>
        <v>9.8549999999999992E-3</v>
      </c>
      <c r="AS26" s="106">
        <v>8760</v>
      </c>
      <c r="AT26" s="176">
        <f t="shared" si="13"/>
        <v>2.2499999999999998E-3</v>
      </c>
      <c r="AU26" s="118">
        <f t="shared" si="14"/>
        <v>1.2E-2</v>
      </c>
      <c r="AV26" s="154" t="s">
        <v>208</v>
      </c>
      <c r="AW26" s="52">
        <f>J26</f>
        <v>25</v>
      </c>
      <c r="AX26" s="87">
        <v>0</v>
      </c>
      <c r="AY26" s="173">
        <f t="shared" si="17"/>
        <v>0</v>
      </c>
      <c r="AZ26" s="52">
        <v>7.4999999999999997E-3</v>
      </c>
      <c r="BA26" s="68"/>
    </row>
    <row r="27" spans="2:53" s="119" customFormat="1" x14ac:dyDescent="0.2">
      <c r="B27" s="52" t="s">
        <v>90</v>
      </c>
      <c r="C27" s="181" t="s">
        <v>92</v>
      </c>
      <c r="D27" s="69">
        <v>29</v>
      </c>
      <c r="E27" s="68" t="s">
        <v>74</v>
      </c>
      <c r="F27" s="98"/>
      <c r="G27" s="98"/>
      <c r="H27" s="98">
        <f t="shared" si="31"/>
        <v>58</v>
      </c>
      <c r="I27" s="98">
        <v>145</v>
      </c>
      <c r="J27" s="98">
        <v>29</v>
      </c>
      <c r="K27" s="69"/>
      <c r="L27" s="69"/>
      <c r="M27" s="163"/>
      <c r="N27" s="69"/>
      <c r="O27" s="69"/>
      <c r="P27" s="108">
        <f t="shared" si="3"/>
        <v>3.6638279999999995E-2</v>
      </c>
      <c r="Q27" s="113">
        <f t="shared" si="4"/>
        <v>73.276559999999989</v>
      </c>
      <c r="R27" s="113">
        <v>12</v>
      </c>
      <c r="S27" s="153" t="s">
        <v>208</v>
      </c>
      <c r="T27" s="85">
        <v>4.3</v>
      </c>
      <c r="U27" s="182">
        <v>6566</v>
      </c>
      <c r="V27" s="106">
        <f t="shared" si="21"/>
        <v>9.2999999999999995E-4</v>
      </c>
      <c r="W27" s="68"/>
      <c r="X27" s="109">
        <f t="shared" si="6"/>
        <v>0.46961834399999997</v>
      </c>
      <c r="Y27" s="109">
        <f t="shared" si="7"/>
        <v>0.23480917199999998</v>
      </c>
      <c r="Z27" s="106">
        <v>8760</v>
      </c>
      <c r="AA27" s="121">
        <f t="shared" si="0"/>
        <v>0.10721879999999999</v>
      </c>
      <c r="AB27" s="98">
        <f t="shared" si="30"/>
        <v>0.03</v>
      </c>
      <c r="AC27" s="154" t="s">
        <v>211</v>
      </c>
      <c r="AD27" s="157">
        <f>H27</f>
        <v>58</v>
      </c>
      <c r="AE27" s="121">
        <v>0.04</v>
      </c>
      <c r="AF27" s="187">
        <f t="shared" si="1"/>
        <v>2.8199999999999996E-2</v>
      </c>
      <c r="AG27" s="158">
        <v>2.3E-2</v>
      </c>
      <c r="AH27" s="115">
        <f t="shared" si="9"/>
        <v>9.5264999999999985E-3</v>
      </c>
      <c r="AI27" s="106">
        <v>8760</v>
      </c>
      <c r="AJ27" s="99">
        <f t="shared" si="10"/>
        <v>2.1749999999999999E-3</v>
      </c>
      <c r="AK27" s="114">
        <f t="shared" si="11"/>
        <v>2E-3</v>
      </c>
      <c r="AL27" s="154" t="s">
        <v>208</v>
      </c>
      <c r="AM27" s="52">
        <f>I27</f>
        <v>145</v>
      </c>
      <c r="AN27" s="87">
        <v>0</v>
      </c>
      <c r="AO27" s="173">
        <f t="shared" si="2"/>
        <v>0</v>
      </c>
      <c r="AP27" s="52">
        <v>7.4999999999999997E-3</v>
      </c>
      <c r="AQ27" s="68"/>
      <c r="AR27" s="115">
        <f t="shared" si="12"/>
        <v>1.1431800000000001E-2</v>
      </c>
      <c r="AS27" s="106">
        <v>8760</v>
      </c>
      <c r="AT27" s="176">
        <f t="shared" si="13"/>
        <v>2.6100000000000003E-3</v>
      </c>
      <c r="AU27" s="118">
        <f t="shared" si="14"/>
        <v>1.2E-2</v>
      </c>
      <c r="AV27" s="154" t="s">
        <v>208</v>
      </c>
      <c r="AW27" s="52">
        <f>J27</f>
        <v>29</v>
      </c>
      <c r="AX27" s="87">
        <v>0</v>
      </c>
      <c r="AY27" s="173">
        <f t="shared" si="17"/>
        <v>0</v>
      </c>
      <c r="AZ27" s="52">
        <v>7.4999999999999997E-3</v>
      </c>
      <c r="BA27" s="68"/>
    </row>
    <row r="28" spans="2:53" s="119" customFormat="1" x14ac:dyDescent="0.2">
      <c r="B28" s="180" t="s">
        <v>200</v>
      </c>
      <c r="C28" s="181" t="s">
        <v>93</v>
      </c>
      <c r="D28" s="69">
        <v>30</v>
      </c>
      <c r="E28" s="68" t="s">
        <v>74</v>
      </c>
      <c r="F28" s="98">
        <v>5</v>
      </c>
      <c r="G28" s="98">
        <v>1</v>
      </c>
      <c r="H28" s="98">
        <f t="shared" si="31"/>
        <v>60</v>
      </c>
      <c r="I28" s="98">
        <f t="shared" ref="I28:I30" si="32">F28*D28</f>
        <v>150</v>
      </c>
      <c r="J28" s="98">
        <f t="shared" ref="J28:J30" si="33">G28*D28</f>
        <v>30</v>
      </c>
      <c r="K28" s="69"/>
      <c r="L28" s="183">
        <v>9449</v>
      </c>
      <c r="M28" s="163"/>
      <c r="N28" s="69"/>
      <c r="O28" s="69"/>
      <c r="P28" s="108">
        <f t="shared" si="3"/>
        <v>5.2725420000000002E-2</v>
      </c>
      <c r="Q28" s="113">
        <f t="shared" si="4"/>
        <v>105.45084</v>
      </c>
      <c r="R28" s="113">
        <v>12</v>
      </c>
      <c r="S28" s="153" t="s">
        <v>208</v>
      </c>
      <c r="T28" s="179">
        <v>4.3099999999999996</v>
      </c>
      <c r="U28" s="165">
        <f t="shared" ref="U28:U30" si="34">L28</f>
        <v>9449</v>
      </c>
      <c r="V28" s="106">
        <f t="shared" si="21"/>
        <v>9.2999999999999995E-4</v>
      </c>
      <c r="W28" s="68"/>
      <c r="X28" s="109">
        <f t="shared" si="6"/>
        <v>0.48581207999999992</v>
      </c>
      <c r="Y28" s="109">
        <f t="shared" si="7"/>
        <v>0.24290603999999996</v>
      </c>
      <c r="Z28" s="106">
        <v>8760</v>
      </c>
      <c r="AA28" s="121">
        <f t="shared" si="0"/>
        <v>0.11091599999999999</v>
      </c>
      <c r="AB28" s="98">
        <f t="shared" si="30"/>
        <v>0.03</v>
      </c>
      <c r="AC28" s="154" t="s">
        <v>211</v>
      </c>
      <c r="AD28" s="157">
        <f>H28</f>
        <v>60</v>
      </c>
      <c r="AE28" s="121">
        <v>0.04</v>
      </c>
      <c r="AF28" s="187">
        <f t="shared" si="1"/>
        <v>2.8199999999999996E-2</v>
      </c>
      <c r="AG28" s="158">
        <v>2.3E-2</v>
      </c>
      <c r="AH28" s="115">
        <f t="shared" si="9"/>
        <v>9.8549999999999992E-3</v>
      </c>
      <c r="AI28" s="106">
        <v>8760</v>
      </c>
      <c r="AJ28" s="99">
        <f t="shared" si="10"/>
        <v>2.2499999999999998E-3</v>
      </c>
      <c r="AK28" s="114">
        <f t="shared" si="11"/>
        <v>2E-3</v>
      </c>
      <c r="AL28" s="154" t="s">
        <v>208</v>
      </c>
      <c r="AM28" s="52">
        <f>I28</f>
        <v>150</v>
      </c>
      <c r="AN28" s="175">
        <v>1.1000000000000001E-3</v>
      </c>
      <c r="AO28" s="173">
        <f t="shared" si="2"/>
        <v>1.1000000000000001E-3</v>
      </c>
      <c r="AP28" s="52">
        <v>7.4999999999999997E-3</v>
      </c>
      <c r="AQ28" s="68"/>
      <c r="AR28" s="115">
        <f t="shared" si="12"/>
        <v>1.1825999999999998E-2</v>
      </c>
      <c r="AS28" s="106">
        <v>8760</v>
      </c>
      <c r="AT28" s="176">
        <f t="shared" si="13"/>
        <v>2.6999999999999997E-3</v>
      </c>
      <c r="AU28" s="118">
        <f t="shared" si="14"/>
        <v>1.2E-2</v>
      </c>
      <c r="AV28" s="154" t="s">
        <v>208</v>
      </c>
      <c r="AW28" s="52">
        <f>J28</f>
        <v>30</v>
      </c>
      <c r="AX28" s="175">
        <v>7.9000000000000008E-3</v>
      </c>
      <c r="AY28" s="173">
        <f t="shared" si="17"/>
        <v>7.9000000000000008E-3</v>
      </c>
      <c r="AZ28" s="52">
        <v>7.4999999999999997E-3</v>
      </c>
      <c r="BA28" s="68"/>
    </row>
    <row r="29" spans="2:53" s="119" customFormat="1" x14ac:dyDescent="0.2">
      <c r="B29" s="180" t="s">
        <v>200</v>
      </c>
      <c r="C29" s="181" t="s">
        <v>94</v>
      </c>
      <c r="D29" s="69">
        <v>30</v>
      </c>
      <c r="E29" s="68" t="s">
        <v>74</v>
      </c>
      <c r="F29" s="98">
        <v>5</v>
      </c>
      <c r="G29" s="98">
        <v>1</v>
      </c>
      <c r="H29" s="98">
        <f t="shared" si="31"/>
        <v>60</v>
      </c>
      <c r="I29" s="98">
        <f t="shared" si="32"/>
        <v>150</v>
      </c>
      <c r="J29" s="98">
        <f t="shared" si="33"/>
        <v>30</v>
      </c>
      <c r="K29" s="69"/>
      <c r="L29" s="183">
        <v>8827</v>
      </c>
      <c r="M29" s="68"/>
      <c r="N29" s="69"/>
      <c r="O29" s="69"/>
      <c r="P29" s="108">
        <f t="shared" si="3"/>
        <v>4.9254659999999992E-2</v>
      </c>
      <c r="Q29" s="113">
        <f t="shared" si="4"/>
        <v>98.509319999999988</v>
      </c>
      <c r="R29" s="113">
        <v>12</v>
      </c>
      <c r="S29" s="153" t="s">
        <v>208</v>
      </c>
      <c r="T29" s="179">
        <v>4.3099999999999996</v>
      </c>
      <c r="U29" s="165">
        <f t="shared" si="34"/>
        <v>8827</v>
      </c>
      <c r="V29" s="106">
        <f t="shared" si="21"/>
        <v>9.2999999999999995E-4</v>
      </c>
      <c r="W29" s="68"/>
      <c r="X29" s="109">
        <f t="shared" si="6"/>
        <v>0.48581207999999992</v>
      </c>
      <c r="Y29" s="109">
        <f t="shared" si="7"/>
        <v>0.24290603999999996</v>
      </c>
      <c r="Z29" s="106">
        <v>8760</v>
      </c>
      <c r="AA29" s="121">
        <f t="shared" si="0"/>
        <v>0.11091599999999999</v>
      </c>
      <c r="AB29" s="98">
        <f t="shared" si="30"/>
        <v>0.03</v>
      </c>
      <c r="AC29" s="154" t="s">
        <v>211</v>
      </c>
      <c r="AD29" s="157">
        <f>H29</f>
        <v>60</v>
      </c>
      <c r="AE29" s="121">
        <v>0.04</v>
      </c>
      <c r="AF29" s="187">
        <f t="shared" si="1"/>
        <v>2.8199999999999996E-2</v>
      </c>
      <c r="AG29" s="158">
        <v>2.3E-2</v>
      </c>
      <c r="AH29" s="115">
        <f t="shared" si="9"/>
        <v>9.8549999999999992E-3</v>
      </c>
      <c r="AI29" s="106">
        <v>8760</v>
      </c>
      <c r="AJ29" s="99">
        <f t="shared" si="10"/>
        <v>2.2499999999999998E-3</v>
      </c>
      <c r="AK29" s="114">
        <f t="shared" si="11"/>
        <v>2E-3</v>
      </c>
      <c r="AL29" s="154" t="s">
        <v>208</v>
      </c>
      <c r="AM29" s="52">
        <f>I29</f>
        <v>150</v>
      </c>
      <c r="AN29" s="175">
        <v>8.0000000000000004E-4</v>
      </c>
      <c r="AO29" s="173">
        <f t="shared" si="2"/>
        <v>8.0000000000000004E-4</v>
      </c>
      <c r="AP29" s="52">
        <v>7.4999999999999997E-3</v>
      </c>
      <c r="AQ29" s="68"/>
      <c r="AR29" s="115">
        <f t="shared" si="12"/>
        <v>1.1825999999999998E-2</v>
      </c>
      <c r="AS29" s="106">
        <v>8760</v>
      </c>
      <c r="AT29" s="176">
        <f t="shared" si="13"/>
        <v>2.6999999999999997E-3</v>
      </c>
      <c r="AU29" s="118">
        <f t="shared" si="14"/>
        <v>1.2E-2</v>
      </c>
      <c r="AV29" s="154" t="s">
        <v>208</v>
      </c>
      <c r="AW29" s="52">
        <f>J29</f>
        <v>30</v>
      </c>
      <c r="AX29" s="175">
        <v>5.1000000000000004E-3</v>
      </c>
      <c r="AY29" s="173">
        <f t="shared" si="17"/>
        <v>5.1000000000000004E-3</v>
      </c>
      <c r="AZ29" s="52">
        <v>7.4999999999999997E-3</v>
      </c>
      <c r="BA29" s="68"/>
    </row>
    <row r="30" spans="2:53" s="119" customFormat="1" x14ac:dyDescent="0.2">
      <c r="B30" s="180" t="s">
        <v>200</v>
      </c>
      <c r="C30" s="181" t="s">
        <v>95</v>
      </c>
      <c r="D30" s="69">
        <v>60</v>
      </c>
      <c r="E30" s="68" t="s">
        <v>74</v>
      </c>
      <c r="F30" s="98">
        <v>5</v>
      </c>
      <c r="G30" s="98">
        <v>1</v>
      </c>
      <c r="H30" s="98">
        <f t="shared" si="31"/>
        <v>120</v>
      </c>
      <c r="I30" s="98">
        <f t="shared" si="32"/>
        <v>300</v>
      </c>
      <c r="J30" s="98">
        <f t="shared" si="33"/>
        <v>60</v>
      </c>
      <c r="K30" s="69"/>
      <c r="L30" s="183">
        <v>12184</v>
      </c>
      <c r="M30" s="68"/>
      <c r="N30" s="69"/>
      <c r="O30" s="69"/>
      <c r="P30" s="108">
        <f t="shared" si="3"/>
        <v>6.7986719999999987E-2</v>
      </c>
      <c r="Q30" s="113">
        <f t="shared" si="4"/>
        <v>135.97343999999998</v>
      </c>
      <c r="R30" s="113">
        <v>12</v>
      </c>
      <c r="S30" s="153" t="s">
        <v>208</v>
      </c>
      <c r="T30" s="179">
        <v>3.48</v>
      </c>
      <c r="U30" s="165">
        <f t="shared" si="34"/>
        <v>12184</v>
      </c>
      <c r="V30" s="106">
        <f t="shared" si="21"/>
        <v>9.2999999999999995E-4</v>
      </c>
      <c r="W30" s="68"/>
      <c r="X30" s="109">
        <f t="shared" si="6"/>
        <v>0.97162415999999985</v>
      </c>
      <c r="Y30" s="109">
        <f t="shared" si="7"/>
        <v>0.48581207999999992</v>
      </c>
      <c r="Z30" s="106">
        <v>8760</v>
      </c>
      <c r="AA30" s="121">
        <f t="shared" si="0"/>
        <v>0.22183199999999997</v>
      </c>
      <c r="AB30" s="98">
        <f t="shared" si="30"/>
        <v>0.03</v>
      </c>
      <c r="AC30" s="154" t="s">
        <v>211</v>
      </c>
      <c r="AD30" s="157">
        <f>H30</f>
        <v>120</v>
      </c>
      <c r="AE30" s="121">
        <v>0.04</v>
      </c>
      <c r="AF30" s="187">
        <f t="shared" si="1"/>
        <v>2.8199999999999996E-2</v>
      </c>
      <c r="AG30" s="158">
        <v>2.3E-2</v>
      </c>
      <c r="AH30" s="115">
        <f t="shared" si="9"/>
        <v>1.9709999999999998E-2</v>
      </c>
      <c r="AI30" s="106">
        <v>8760</v>
      </c>
      <c r="AJ30" s="99">
        <f t="shared" si="10"/>
        <v>4.4999999999999997E-3</v>
      </c>
      <c r="AK30" s="114">
        <f t="shared" si="11"/>
        <v>2E-3</v>
      </c>
      <c r="AL30" s="154" t="s">
        <v>208</v>
      </c>
      <c r="AM30" s="52">
        <f>I30</f>
        <v>300</v>
      </c>
      <c r="AN30" s="175">
        <v>6.9999999999999999E-4</v>
      </c>
      <c r="AO30" s="173">
        <f t="shared" si="2"/>
        <v>6.9999999999999999E-4</v>
      </c>
      <c r="AP30" s="52">
        <v>7.4999999999999997E-3</v>
      </c>
      <c r="AQ30" s="68"/>
      <c r="AR30" s="115">
        <f t="shared" si="12"/>
        <v>2.3651999999999996E-2</v>
      </c>
      <c r="AS30" s="106">
        <v>8760</v>
      </c>
      <c r="AT30" s="176">
        <f t="shared" si="13"/>
        <v>5.3999999999999994E-3</v>
      </c>
      <c r="AU30" s="118">
        <f t="shared" si="14"/>
        <v>1.2E-2</v>
      </c>
      <c r="AV30" s="154" t="s">
        <v>208</v>
      </c>
      <c r="AW30" s="52">
        <f>J30</f>
        <v>60</v>
      </c>
      <c r="AX30" s="175">
        <v>7.6E-3</v>
      </c>
      <c r="AY30" s="173">
        <f t="shared" si="17"/>
        <v>7.6E-3</v>
      </c>
      <c r="AZ30" s="52">
        <v>7.4999999999999997E-3</v>
      </c>
      <c r="BA30" s="68"/>
    </row>
    <row r="31" spans="2:53" s="119" customFormat="1" x14ac:dyDescent="0.2">
      <c r="S31" s="186"/>
    </row>
    <row r="32" spans="2:53" s="119" customFormat="1" x14ac:dyDescent="0.2">
      <c r="S32" s="186"/>
    </row>
    <row r="33" spans="19:19" s="119" customFormat="1" x14ac:dyDescent="0.2">
      <c r="S33" s="186"/>
    </row>
    <row r="34" spans="19:19" s="119" customFormat="1" x14ac:dyDescent="0.2">
      <c r="S34" s="186"/>
    </row>
    <row r="35" spans="19:19" s="119" customFormat="1" x14ac:dyDescent="0.2">
      <c r="S35" s="186"/>
    </row>
    <row r="36" spans="19:19" s="119" customFormat="1" x14ac:dyDescent="0.2">
      <c r="S36" s="186"/>
    </row>
    <row r="37" spans="19:19" s="119" customFormat="1" x14ac:dyDescent="0.2">
      <c r="S37" s="186"/>
    </row>
    <row r="38" spans="19:19" s="119" customFormat="1" x14ac:dyDescent="0.2">
      <c r="S38" s="186"/>
    </row>
  </sheetData>
  <autoFilter ref="B3:BA30" xr:uid="{B9D15D55-5E13-4BCF-AA66-6C66902EF48B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E20AB-4BC4-4D29-9FAF-C40961AA174D}">
  <dimension ref="B1:BA35"/>
  <sheetViews>
    <sheetView zoomScale="70" zoomScaleNormal="70" workbookViewId="0">
      <pane xSplit="3" ySplit="3" topLeftCell="D4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4.7109375" style="46" customWidth="1"/>
    <col min="2" max="2" width="21" style="46" bestFit="1" customWidth="1"/>
    <col min="3" max="3" width="17.7109375" style="46" customWidth="1"/>
    <col min="4" max="4" width="12.140625" style="46" customWidth="1"/>
    <col min="5" max="5" width="12.85546875" style="46" customWidth="1"/>
    <col min="6" max="15" width="13.7109375" style="46" customWidth="1"/>
    <col min="16" max="16" width="15.85546875" style="46" customWidth="1"/>
    <col min="17" max="17" width="13.7109375" style="46" customWidth="1"/>
    <col min="18" max="18" width="13.7109375" style="88" customWidth="1"/>
    <col min="19" max="19" width="38.5703125" style="105" customWidth="1"/>
    <col min="20" max="23" width="13.7109375" style="46" customWidth="1"/>
    <col min="24" max="25" width="15" style="46" customWidth="1"/>
    <col min="26" max="26" width="14.5703125" style="46" customWidth="1"/>
    <col min="27" max="27" width="13.7109375" style="46" customWidth="1"/>
    <col min="28" max="28" width="24.7109375" style="46" customWidth="1"/>
    <col min="29" max="29" width="46.28515625" style="46" customWidth="1"/>
    <col min="30" max="31" width="13.7109375" style="46" customWidth="1"/>
    <col min="32" max="32" width="18.85546875" style="46" customWidth="1"/>
    <col min="33" max="33" width="13.7109375" style="46" customWidth="1"/>
    <col min="34" max="34" width="16" style="46" customWidth="1"/>
    <col min="35" max="35" width="14.85546875" style="46" customWidth="1"/>
    <col min="36" max="36" width="13.7109375" style="46" customWidth="1"/>
    <col min="37" max="37" width="17.42578125" style="46" customWidth="1"/>
    <col min="38" max="38" width="38.5703125" style="46" customWidth="1"/>
    <col min="39" max="43" width="13.7109375" style="46" customWidth="1"/>
    <col min="44" max="44" width="15" style="46" customWidth="1"/>
    <col min="45" max="45" width="14.7109375" style="46" customWidth="1"/>
    <col min="46" max="46" width="13.7109375" style="46" customWidth="1"/>
    <col min="47" max="47" width="14" style="46" customWidth="1"/>
    <col min="48" max="48" width="38.5703125" style="46" customWidth="1"/>
    <col min="49" max="53" width="13.7109375" style="46" customWidth="1"/>
    <col min="54" max="16384" width="9.140625" style="46"/>
  </cols>
  <sheetData>
    <row r="1" spans="2:53" s="1" customFormat="1" ht="15" customHeight="1" x14ac:dyDescent="0.25">
      <c r="B1" s="70"/>
      <c r="C1" s="70"/>
      <c r="D1" s="70" t="s">
        <v>197</v>
      </c>
      <c r="E1" s="70"/>
      <c r="F1" s="70" t="s">
        <v>197</v>
      </c>
      <c r="G1" s="70" t="s">
        <v>197</v>
      </c>
      <c r="H1" s="70" t="s">
        <v>197</v>
      </c>
      <c r="I1" s="70" t="s">
        <v>197</v>
      </c>
      <c r="J1" s="70" t="s">
        <v>197</v>
      </c>
      <c r="K1" s="70"/>
      <c r="L1" s="70" t="s">
        <v>199</v>
      </c>
      <c r="M1" s="70" t="s">
        <v>197</v>
      </c>
      <c r="N1" s="70"/>
      <c r="O1" s="70"/>
      <c r="P1" s="71" t="s">
        <v>212</v>
      </c>
      <c r="Q1" s="71"/>
      <c r="R1" s="71"/>
      <c r="S1" s="102"/>
      <c r="T1" s="71"/>
      <c r="U1" s="71"/>
      <c r="V1" s="71"/>
      <c r="W1" s="71" t="s">
        <v>198</v>
      </c>
      <c r="X1" s="72" t="s">
        <v>212</v>
      </c>
      <c r="Y1" s="72"/>
      <c r="Z1" s="72"/>
      <c r="AA1" s="83" t="s">
        <v>185</v>
      </c>
      <c r="AB1" s="72"/>
      <c r="AC1" s="72"/>
      <c r="AD1" s="72"/>
      <c r="AE1" s="110"/>
      <c r="AF1" s="72"/>
      <c r="AG1" s="111"/>
      <c r="AH1" s="73" t="s">
        <v>212</v>
      </c>
      <c r="AI1" s="73"/>
      <c r="AJ1" s="73"/>
      <c r="AK1" s="73" t="s">
        <v>225</v>
      </c>
      <c r="AL1" s="73"/>
      <c r="AM1" s="73"/>
      <c r="AN1" s="73"/>
      <c r="AO1" s="73"/>
      <c r="AP1" s="73"/>
      <c r="AQ1" s="73" t="s">
        <v>198</v>
      </c>
      <c r="AR1" s="74" t="s">
        <v>212</v>
      </c>
      <c r="AS1" s="74"/>
      <c r="AT1" s="116"/>
      <c r="AU1" s="116" t="s">
        <v>225</v>
      </c>
      <c r="AV1" s="116"/>
      <c r="AW1" s="116"/>
      <c r="AX1" s="116"/>
      <c r="AY1" s="116"/>
      <c r="AZ1" s="116"/>
      <c r="BA1" s="116" t="s">
        <v>198</v>
      </c>
    </row>
    <row r="2" spans="2:53" s="1" customFormat="1" ht="26.25" x14ac:dyDescent="0.25">
      <c r="B2" s="70"/>
      <c r="C2" s="70" t="s">
        <v>99</v>
      </c>
      <c r="D2" s="70" t="s">
        <v>99</v>
      </c>
      <c r="E2" s="70" t="s">
        <v>66</v>
      </c>
      <c r="F2" s="70" t="s">
        <v>99</v>
      </c>
      <c r="G2" s="70" t="s">
        <v>99</v>
      </c>
      <c r="H2" s="70" t="s">
        <v>99</v>
      </c>
      <c r="I2" s="70" t="s">
        <v>99</v>
      </c>
      <c r="J2" s="70" t="s">
        <v>99</v>
      </c>
      <c r="K2" s="70" t="s">
        <v>99</v>
      </c>
      <c r="L2" s="70" t="s">
        <v>99</v>
      </c>
      <c r="M2" s="70" t="s">
        <v>99</v>
      </c>
      <c r="N2" s="70" t="s">
        <v>99</v>
      </c>
      <c r="O2" s="70" t="s">
        <v>99</v>
      </c>
      <c r="P2" s="71" t="s">
        <v>202</v>
      </c>
      <c r="Q2" s="82" t="s">
        <v>102</v>
      </c>
      <c r="R2" s="82"/>
      <c r="S2" s="103"/>
      <c r="T2" s="82"/>
      <c r="U2" s="82"/>
      <c r="V2" s="82"/>
      <c r="W2" s="71" t="s">
        <v>99</v>
      </c>
      <c r="X2" s="72" t="s">
        <v>219</v>
      </c>
      <c r="Y2" s="72"/>
      <c r="Z2" s="72"/>
      <c r="AA2" s="107"/>
      <c r="AB2" s="83" t="s">
        <v>225</v>
      </c>
      <c r="AC2" s="83"/>
      <c r="AD2" s="83"/>
      <c r="AE2" s="83"/>
      <c r="AF2" s="107"/>
      <c r="AG2" s="83"/>
      <c r="AH2" s="73" t="s">
        <v>202</v>
      </c>
      <c r="AI2" s="73"/>
      <c r="AJ2" s="81" t="s">
        <v>191</v>
      </c>
      <c r="AK2" s="81"/>
      <c r="AL2" s="81"/>
      <c r="AM2" s="81"/>
      <c r="AN2" s="81"/>
      <c r="AO2" s="81"/>
      <c r="AP2" s="81"/>
      <c r="AQ2" s="73" t="s">
        <v>99</v>
      </c>
      <c r="AR2" s="74" t="s">
        <v>202</v>
      </c>
      <c r="AS2" s="74"/>
      <c r="AT2" s="117" t="s">
        <v>223</v>
      </c>
      <c r="AU2" s="117"/>
      <c r="AV2" s="117"/>
      <c r="AW2" s="117"/>
      <c r="AX2" s="117"/>
      <c r="AY2" s="117"/>
      <c r="AZ2" s="117"/>
      <c r="BA2" s="74" t="s">
        <v>99</v>
      </c>
    </row>
    <row r="3" spans="2:53" s="1" customFormat="1" ht="65.25" x14ac:dyDescent="0.2">
      <c r="B3" s="70" t="s">
        <v>11</v>
      </c>
      <c r="C3" s="75" t="s">
        <v>67</v>
      </c>
      <c r="D3" s="76" t="s">
        <v>68</v>
      </c>
      <c r="E3" s="76" t="s">
        <v>69</v>
      </c>
      <c r="F3" s="76" t="s">
        <v>107</v>
      </c>
      <c r="G3" s="76" t="s">
        <v>108</v>
      </c>
      <c r="H3" s="76" t="s">
        <v>109</v>
      </c>
      <c r="I3" s="76" t="s">
        <v>110</v>
      </c>
      <c r="J3" s="76" t="s">
        <v>111</v>
      </c>
      <c r="K3" s="76" t="s">
        <v>112</v>
      </c>
      <c r="L3" s="76" t="s">
        <v>113</v>
      </c>
      <c r="M3" s="76" t="s">
        <v>114</v>
      </c>
      <c r="N3" s="76" t="s">
        <v>116</v>
      </c>
      <c r="O3" s="76" t="s">
        <v>117</v>
      </c>
      <c r="P3" s="71" t="s">
        <v>201</v>
      </c>
      <c r="Q3" s="77" t="s">
        <v>222</v>
      </c>
      <c r="R3" s="77" t="s">
        <v>216</v>
      </c>
      <c r="S3" s="104" t="s">
        <v>209</v>
      </c>
      <c r="T3" s="77" t="s">
        <v>96</v>
      </c>
      <c r="U3" s="77" t="s">
        <v>100</v>
      </c>
      <c r="V3" s="77" t="s">
        <v>101</v>
      </c>
      <c r="W3" s="77" t="s">
        <v>16</v>
      </c>
      <c r="X3" s="72" t="s">
        <v>203</v>
      </c>
      <c r="Y3" s="72" t="s">
        <v>226</v>
      </c>
      <c r="Z3" s="78" t="s">
        <v>204</v>
      </c>
      <c r="AA3" s="78" t="s">
        <v>186</v>
      </c>
      <c r="AB3" s="78" t="s">
        <v>213</v>
      </c>
      <c r="AC3" s="78" t="s">
        <v>209</v>
      </c>
      <c r="AD3" s="78" t="s">
        <v>187</v>
      </c>
      <c r="AE3" s="78" t="s">
        <v>188</v>
      </c>
      <c r="AF3" s="78" t="s">
        <v>189</v>
      </c>
      <c r="AG3" s="78" t="s">
        <v>190</v>
      </c>
      <c r="AH3" s="73" t="s">
        <v>205</v>
      </c>
      <c r="AI3" s="79" t="s">
        <v>204</v>
      </c>
      <c r="AJ3" s="79" t="s">
        <v>192</v>
      </c>
      <c r="AK3" s="79" t="s">
        <v>214</v>
      </c>
      <c r="AL3" s="79" t="s">
        <v>209</v>
      </c>
      <c r="AM3" s="79" t="s">
        <v>193</v>
      </c>
      <c r="AN3" s="79" t="s">
        <v>97</v>
      </c>
      <c r="AO3" s="79" t="s">
        <v>194</v>
      </c>
      <c r="AP3" s="79" t="s">
        <v>195</v>
      </c>
      <c r="AQ3" s="79" t="s">
        <v>18</v>
      </c>
      <c r="AR3" s="74" t="s">
        <v>206</v>
      </c>
      <c r="AS3" s="80" t="s">
        <v>204</v>
      </c>
      <c r="AT3" s="80" t="s">
        <v>224</v>
      </c>
      <c r="AU3" s="80" t="s">
        <v>215</v>
      </c>
      <c r="AV3" s="80" t="s">
        <v>209</v>
      </c>
      <c r="AW3" s="80" t="s">
        <v>227</v>
      </c>
      <c r="AX3" s="80" t="s">
        <v>98</v>
      </c>
      <c r="AY3" s="80" t="s">
        <v>196</v>
      </c>
      <c r="AZ3" s="80" t="s">
        <v>195</v>
      </c>
      <c r="BA3" s="80" t="s">
        <v>19</v>
      </c>
    </row>
    <row r="4" spans="2:53" s="119" customFormat="1" x14ac:dyDescent="0.2">
      <c r="B4" s="161" t="s">
        <v>53</v>
      </c>
      <c r="C4" s="161" t="s">
        <v>70</v>
      </c>
      <c r="D4" s="162">
        <v>47</v>
      </c>
      <c r="E4" s="101" t="s">
        <v>71</v>
      </c>
      <c r="F4" s="106">
        <v>4</v>
      </c>
      <c r="G4" s="106">
        <v>1</v>
      </c>
      <c r="H4" s="106">
        <f>47*2</f>
        <v>94</v>
      </c>
      <c r="I4" s="106">
        <f>47*4</f>
        <v>188</v>
      </c>
      <c r="J4" s="106">
        <v>47</v>
      </c>
      <c r="K4" s="106">
        <v>124</v>
      </c>
      <c r="L4" s="100">
        <v>2978</v>
      </c>
      <c r="M4" s="163" t="s">
        <v>158</v>
      </c>
      <c r="N4" s="106" t="s">
        <v>149</v>
      </c>
      <c r="O4" s="106" t="s">
        <v>129</v>
      </c>
      <c r="P4" s="108">
        <f>Q4/2000</f>
        <v>1.6617239999999998E-2</v>
      </c>
      <c r="Q4" s="113">
        <f>R4*U4*V4</f>
        <v>33.234479999999998</v>
      </c>
      <c r="R4" s="113">
        <v>12</v>
      </c>
      <c r="S4" s="153" t="s">
        <v>208</v>
      </c>
      <c r="T4" s="164">
        <f>W4</f>
        <v>7.416666666666667</v>
      </c>
      <c r="U4" s="165">
        <f>L4</f>
        <v>2978</v>
      </c>
      <c r="V4" s="106">
        <f>0.0093/10</f>
        <v>9.2999999999999995E-4</v>
      </c>
      <c r="W4" s="108">
        <v>7.416666666666667</v>
      </c>
      <c r="X4" s="109">
        <f>AA4*Z4/2000</f>
        <v>1.0622376000000002</v>
      </c>
      <c r="Y4" s="109">
        <f>X4/2</f>
        <v>0.53111880000000011</v>
      </c>
      <c r="Z4" s="106">
        <v>8760</v>
      </c>
      <c r="AA4" s="109">
        <f>AD4*AB4*AE4+AD4*AF4*AG4</f>
        <v>0.24252000000000001</v>
      </c>
      <c r="AB4" s="98">
        <f>3/100</f>
        <v>0.03</v>
      </c>
      <c r="AC4" s="154" t="s">
        <v>217</v>
      </c>
      <c r="AD4" s="155">
        <f>H4</f>
        <v>94</v>
      </c>
      <c r="AE4" s="109">
        <v>0.04</v>
      </c>
      <c r="AF4" s="109">
        <f>6/100</f>
        <v>0.06</v>
      </c>
      <c r="AG4" s="108">
        <v>2.3E-2</v>
      </c>
      <c r="AH4" s="115">
        <f>AJ4*AI4/2000</f>
        <v>1.2351599999999999E-2</v>
      </c>
      <c r="AI4" s="106">
        <v>8760</v>
      </c>
      <c r="AJ4" s="99">
        <f>AM4*AK4*AP4</f>
        <v>2.82E-3</v>
      </c>
      <c r="AK4" s="114">
        <f>0.2/100</f>
        <v>2E-3</v>
      </c>
      <c r="AL4" s="154" t="s">
        <v>208</v>
      </c>
      <c r="AM4" s="101">
        <f>I4</f>
        <v>188</v>
      </c>
      <c r="AN4" s="87">
        <f>AQ4</f>
        <v>0</v>
      </c>
      <c r="AO4" s="166">
        <f t="shared" ref="AO4:AO30" si="0">AN4</f>
        <v>0</v>
      </c>
      <c r="AP4" s="101">
        <v>7.4999999999999997E-3</v>
      </c>
      <c r="AQ4" s="156">
        <v>0</v>
      </c>
      <c r="AR4" s="115">
        <f>AT4*AS4/2000</f>
        <v>1.8527399999999999E-2</v>
      </c>
      <c r="AS4" s="106">
        <v>8760</v>
      </c>
      <c r="AT4" s="167">
        <f>AW4*AU4*AZ4</f>
        <v>4.2300000000000003E-3</v>
      </c>
      <c r="AU4" s="118">
        <f>1.2/100</f>
        <v>1.2E-2</v>
      </c>
      <c r="AV4" s="154" t="s">
        <v>208</v>
      </c>
      <c r="AW4" s="101">
        <f>J4</f>
        <v>47</v>
      </c>
      <c r="AX4" s="168">
        <f>BA4</f>
        <v>1.8888888888888888E-4</v>
      </c>
      <c r="AY4" s="166">
        <f>AX4</f>
        <v>1.8888888888888888E-4</v>
      </c>
      <c r="AZ4" s="101">
        <v>7.4999999999999997E-3</v>
      </c>
      <c r="BA4" s="156">
        <f>'Enc1 Part VI BL Q89'!J18</f>
        <v>1.8888888888888888E-4</v>
      </c>
    </row>
    <row r="5" spans="2:53" s="119" customFormat="1" x14ac:dyDescent="0.2">
      <c r="B5" s="163" t="s">
        <v>53</v>
      </c>
      <c r="C5" s="87" t="s">
        <v>72</v>
      </c>
      <c r="D5" s="169">
        <v>47</v>
      </c>
      <c r="E5" s="52" t="s">
        <v>71</v>
      </c>
      <c r="F5" s="98">
        <v>4</v>
      </c>
      <c r="G5" s="98">
        <v>1</v>
      </c>
      <c r="H5" s="98">
        <v>94</v>
      </c>
      <c r="I5" s="98">
        <v>188</v>
      </c>
      <c r="J5" s="98">
        <v>47</v>
      </c>
      <c r="K5" s="98"/>
      <c r="L5" s="170"/>
      <c r="M5" s="98" t="s">
        <v>4</v>
      </c>
      <c r="N5" s="106" t="s">
        <v>149</v>
      </c>
      <c r="O5" s="98" t="s">
        <v>129</v>
      </c>
      <c r="P5" s="108">
        <f t="shared" ref="P5:P30" si="1">Q5/2000</f>
        <v>1.6617239999999998E-2</v>
      </c>
      <c r="Q5" s="113">
        <f t="shared" ref="Q5:Q30" si="2">R5*U5*V5</f>
        <v>33.234479999999998</v>
      </c>
      <c r="R5" s="113">
        <v>12</v>
      </c>
      <c r="S5" s="153" t="s">
        <v>208</v>
      </c>
      <c r="T5" s="171">
        <f>T4</f>
        <v>7.416666666666667</v>
      </c>
      <c r="U5" s="86">
        <f>U4</f>
        <v>2978</v>
      </c>
      <c r="V5" s="106">
        <f t="shared" ref="V5:V7" si="3">0.0093/10</f>
        <v>9.2999999999999995E-4</v>
      </c>
      <c r="W5" s="52"/>
      <c r="X5" s="109">
        <f t="shared" ref="X5:X30" si="4">AA5*Z5/2000</f>
        <v>1.0622376000000002</v>
      </c>
      <c r="Y5" s="109">
        <f t="shared" ref="Y5:Y30" si="5">X5/2</f>
        <v>0.53111880000000011</v>
      </c>
      <c r="Z5" s="106">
        <v>8760</v>
      </c>
      <c r="AA5" s="121">
        <f t="shared" ref="AA5:AA30" si="6">AD5*AB5*AE5+AD5*AF5*AG5</f>
        <v>0.24252000000000001</v>
      </c>
      <c r="AB5" s="98">
        <f t="shared" ref="AB5:AB14" si="7">3/100</f>
        <v>0.03</v>
      </c>
      <c r="AC5" s="154" t="s">
        <v>217</v>
      </c>
      <c r="AD5" s="157">
        <f>H5</f>
        <v>94</v>
      </c>
      <c r="AE5" s="109">
        <v>0.04</v>
      </c>
      <c r="AF5" s="109">
        <f>6/100</f>
        <v>0.06</v>
      </c>
      <c r="AG5" s="108">
        <v>2.3E-2</v>
      </c>
      <c r="AH5" s="115">
        <f t="shared" ref="AH5:AH30" si="8">AJ5*AI5/2000</f>
        <v>1.2351599999999999E-2</v>
      </c>
      <c r="AI5" s="106">
        <v>8760</v>
      </c>
      <c r="AJ5" s="99">
        <f t="shared" ref="AJ5:AJ30" si="9">AM5*AK5*AP5</f>
        <v>2.82E-3</v>
      </c>
      <c r="AK5" s="114">
        <f t="shared" ref="AK5:AK30" si="10">0.2/100</f>
        <v>2E-3</v>
      </c>
      <c r="AL5" s="154" t="s">
        <v>208</v>
      </c>
      <c r="AM5" s="52">
        <f>I5</f>
        <v>188</v>
      </c>
      <c r="AN5" s="87">
        <f>AN4</f>
        <v>0</v>
      </c>
      <c r="AO5" s="166">
        <f t="shared" si="0"/>
        <v>0</v>
      </c>
      <c r="AP5" s="101">
        <v>7.4999999999999997E-3</v>
      </c>
      <c r="AQ5" s="52"/>
      <c r="AR5" s="115">
        <f t="shared" ref="AR5:AR30" si="11">AT5*AS5/2000</f>
        <v>1.8527399999999999E-2</v>
      </c>
      <c r="AS5" s="106">
        <v>8760</v>
      </c>
      <c r="AT5" s="167">
        <f t="shared" ref="AT5:AT30" si="12">AW5*AU5*AZ5</f>
        <v>4.2300000000000003E-3</v>
      </c>
      <c r="AU5" s="118">
        <f t="shared" ref="AU5:AU30" si="13">1.2/100</f>
        <v>1.2E-2</v>
      </c>
      <c r="AV5" s="154" t="s">
        <v>208</v>
      </c>
      <c r="AW5" s="52">
        <f>J5</f>
        <v>47</v>
      </c>
      <c r="AX5" s="87">
        <f>AX4</f>
        <v>1.8888888888888888E-4</v>
      </c>
      <c r="AY5" s="166">
        <f>AX5</f>
        <v>1.8888888888888888E-4</v>
      </c>
      <c r="AZ5" s="101">
        <v>7.4999999999999997E-3</v>
      </c>
      <c r="BA5" s="52"/>
    </row>
    <row r="6" spans="2:53" s="119" customFormat="1" x14ac:dyDescent="0.2">
      <c r="B6" s="163" t="s">
        <v>53</v>
      </c>
      <c r="C6" s="87" t="s">
        <v>73</v>
      </c>
      <c r="D6" s="169">
        <v>51</v>
      </c>
      <c r="E6" s="52" t="s">
        <v>71</v>
      </c>
      <c r="F6" s="98">
        <v>4</v>
      </c>
      <c r="G6" s="98">
        <v>1</v>
      </c>
      <c r="H6" s="98">
        <v>102</v>
      </c>
      <c r="I6" s="98">
        <f>51*4</f>
        <v>204</v>
      </c>
      <c r="J6" s="98">
        <v>51</v>
      </c>
      <c r="K6" s="157"/>
      <c r="L6" s="170"/>
      <c r="M6" s="98" t="s">
        <v>4</v>
      </c>
      <c r="N6" s="106" t="s">
        <v>149</v>
      </c>
      <c r="O6" s="98" t="s">
        <v>129</v>
      </c>
      <c r="P6" s="108">
        <f t="shared" si="1"/>
        <v>1.6617239999999998E-2</v>
      </c>
      <c r="Q6" s="113">
        <f t="shared" si="2"/>
        <v>33.234479999999998</v>
      </c>
      <c r="R6" s="113">
        <v>12</v>
      </c>
      <c r="S6" s="153" t="s">
        <v>208</v>
      </c>
      <c r="T6" s="171">
        <f>T4</f>
        <v>7.416666666666667</v>
      </c>
      <c r="U6" s="86">
        <f>U4</f>
        <v>2978</v>
      </c>
      <c r="V6" s="106">
        <f t="shared" si="3"/>
        <v>9.2999999999999995E-4</v>
      </c>
      <c r="W6" s="52"/>
      <c r="X6" s="109">
        <f t="shared" si="4"/>
        <v>1.1526408000000001</v>
      </c>
      <c r="Y6" s="109">
        <f t="shared" si="5"/>
        <v>0.57632040000000007</v>
      </c>
      <c r="Z6" s="106">
        <v>8760</v>
      </c>
      <c r="AA6" s="121">
        <f t="shared" si="6"/>
        <v>0.26316000000000001</v>
      </c>
      <c r="AB6" s="98">
        <f t="shared" si="7"/>
        <v>0.03</v>
      </c>
      <c r="AC6" s="154" t="s">
        <v>217</v>
      </c>
      <c r="AD6" s="157">
        <f>H6</f>
        <v>102</v>
      </c>
      <c r="AE6" s="109">
        <v>0.04</v>
      </c>
      <c r="AF6" s="109">
        <f>6/100</f>
        <v>0.06</v>
      </c>
      <c r="AG6" s="108">
        <v>2.3E-2</v>
      </c>
      <c r="AH6" s="115">
        <f t="shared" si="8"/>
        <v>1.3402800000000001E-2</v>
      </c>
      <c r="AI6" s="106">
        <v>8760</v>
      </c>
      <c r="AJ6" s="99">
        <f t="shared" si="9"/>
        <v>3.0600000000000002E-3</v>
      </c>
      <c r="AK6" s="114">
        <f t="shared" si="10"/>
        <v>2E-3</v>
      </c>
      <c r="AL6" s="154" t="s">
        <v>208</v>
      </c>
      <c r="AM6" s="52">
        <f>I6</f>
        <v>204</v>
      </c>
      <c r="AN6" s="87">
        <f>AN4</f>
        <v>0</v>
      </c>
      <c r="AO6" s="166">
        <f t="shared" si="0"/>
        <v>0</v>
      </c>
      <c r="AP6" s="101">
        <v>7.4999999999999997E-3</v>
      </c>
      <c r="AQ6" s="52"/>
      <c r="AR6" s="115">
        <f t="shared" si="11"/>
        <v>2.0104199999999999E-2</v>
      </c>
      <c r="AS6" s="106">
        <v>8760</v>
      </c>
      <c r="AT6" s="167">
        <f t="shared" si="12"/>
        <v>4.5899999999999995E-3</v>
      </c>
      <c r="AU6" s="118">
        <f t="shared" si="13"/>
        <v>1.2E-2</v>
      </c>
      <c r="AV6" s="154" t="s">
        <v>208</v>
      </c>
      <c r="AW6" s="52">
        <f>J6</f>
        <v>51</v>
      </c>
      <c r="AX6" s="87">
        <f>AX4</f>
        <v>1.8888888888888888E-4</v>
      </c>
      <c r="AY6" s="166">
        <f>AX6</f>
        <v>1.8888888888888888E-4</v>
      </c>
      <c r="AZ6" s="101">
        <v>7.4999999999999997E-3</v>
      </c>
      <c r="BA6" s="52"/>
    </row>
    <row r="7" spans="2:53" s="119" customFormat="1" x14ac:dyDescent="0.2">
      <c r="B7" s="163" t="s">
        <v>53</v>
      </c>
      <c r="C7" s="163" t="s">
        <v>75</v>
      </c>
      <c r="D7" s="98">
        <v>79</v>
      </c>
      <c r="E7" s="52" t="s">
        <v>71</v>
      </c>
      <c r="F7" s="98">
        <v>4</v>
      </c>
      <c r="G7" s="98">
        <v>2</v>
      </c>
      <c r="H7" s="98">
        <f>79*2</f>
        <v>158</v>
      </c>
      <c r="I7" s="98">
        <f>79*4</f>
        <v>316</v>
      </c>
      <c r="J7" s="98">
        <v>158</v>
      </c>
      <c r="K7" s="98">
        <v>248</v>
      </c>
      <c r="L7" s="170">
        <v>19623</v>
      </c>
      <c r="M7" s="163" t="s">
        <v>160</v>
      </c>
      <c r="N7" s="106" t="s">
        <v>149</v>
      </c>
      <c r="O7" s="98" t="s">
        <v>129</v>
      </c>
      <c r="P7" s="108">
        <f t="shared" si="1"/>
        <v>0.10949633999999998</v>
      </c>
      <c r="Q7" s="113">
        <f t="shared" si="2"/>
        <v>218.99267999999998</v>
      </c>
      <c r="R7" s="113">
        <v>12</v>
      </c>
      <c r="S7" s="153" t="s">
        <v>208</v>
      </c>
      <c r="T7" s="171">
        <f>W7</f>
        <v>4.100833333333334</v>
      </c>
      <c r="U7" s="165">
        <f t="shared" ref="U7:U24" si="14">L7</f>
        <v>19623</v>
      </c>
      <c r="V7" s="106">
        <f t="shared" si="3"/>
        <v>9.2999999999999995E-4</v>
      </c>
      <c r="W7" s="158">
        <v>4.100833333333334</v>
      </c>
      <c r="X7" s="112">
        <f t="shared" si="4"/>
        <v>1.7854631999999999</v>
      </c>
      <c r="Y7" s="109">
        <f t="shared" si="5"/>
        <v>0.89273159999999996</v>
      </c>
      <c r="Z7" s="106">
        <v>8760</v>
      </c>
      <c r="AA7" s="121">
        <f t="shared" si="6"/>
        <v>0.40764</v>
      </c>
      <c r="AB7" s="98">
        <f t="shared" si="7"/>
        <v>0.03</v>
      </c>
      <c r="AC7" s="154" t="s">
        <v>210</v>
      </c>
      <c r="AD7" s="157">
        <f>H7</f>
        <v>158</v>
      </c>
      <c r="AE7" s="121">
        <v>0.04</v>
      </c>
      <c r="AF7" s="121">
        <f t="shared" ref="AF7:AF30" si="15">6/100</f>
        <v>0.06</v>
      </c>
      <c r="AG7" s="158">
        <v>2.3E-2</v>
      </c>
      <c r="AH7" s="115">
        <f t="shared" si="8"/>
        <v>2.0761200000000004E-2</v>
      </c>
      <c r="AI7" s="106">
        <v>8760</v>
      </c>
      <c r="AJ7" s="99">
        <f t="shared" si="9"/>
        <v>4.7400000000000003E-3</v>
      </c>
      <c r="AK7" s="114">
        <f t="shared" si="10"/>
        <v>2E-3</v>
      </c>
      <c r="AL7" s="154" t="s">
        <v>208</v>
      </c>
      <c r="AM7" s="52">
        <f>I7</f>
        <v>316</v>
      </c>
      <c r="AN7" s="172">
        <f t="shared" ref="AN7:AN14" si="16">AQ7</f>
        <v>9.1666666666666695E-5</v>
      </c>
      <c r="AO7" s="173">
        <f t="shared" si="0"/>
        <v>9.1666666666666695E-5</v>
      </c>
      <c r="AP7" s="52">
        <v>7.4999999999999997E-3</v>
      </c>
      <c r="AQ7" s="159">
        <v>9.1666666666666695E-5</v>
      </c>
      <c r="AR7" s="115">
        <f t="shared" si="11"/>
        <v>6.2283600000000001E-2</v>
      </c>
      <c r="AS7" s="106">
        <v>8760</v>
      </c>
      <c r="AT7" s="174">
        <f t="shared" si="12"/>
        <v>1.422E-2</v>
      </c>
      <c r="AU7" s="118">
        <f t="shared" si="13"/>
        <v>1.2E-2</v>
      </c>
      <c r="AV7" s="154" t="s">
        <v>208</v>
      </c>
      <c r="AW7" s="52">
        <f>J7</f>
        <v>158</v>
      </c>
      <c r="AX7" s="175">
        <f>BA7</f>
        <v>9.300000000000001E-3</v>
      </c>
      <c r="AY7" s="173">
        <f t="shared" ref="AY7:AY30" si="17">AX7</f>
        <v>9.300000000000001E-3</v>
      </c>
      <c r="AZ7" s="52">
        <v>7.4999999999999997E-3</v>
      </c>
      <c r="BA7" s="159">
        <f>'Enc1 Part VI BL Q89'!J31</f>
        <v>9.300000000000001E-3</v>
      </c>
    </row>
    <row r="8" spans="2:53" s="119" customFormat="1" x14ac:dyDescent="0.2">
      <c r="B8" s="163" t="s">
        <v>2</v>
      </c>
      <c r="C8" s="163" t="s">
        <v>76</v>
      </c>
      <c r="D8" s="98">
        <v>76</v>
      </c>
      <c r="E8" s="52" t="s">
        <v>71</v>
      </c>
      <c r="F8" s="98">
        <v>3</v>
      </c>
      <c r="G8" s="98">
        <v>2</v>
      </c>
      <c r="H8" s="98">
        <v>152</v>
      </c>
      <c r="I8" s="98">
        <v>228</v>
      </c>
      <c r="J8" s="98">
        <v>152</v>
      </c>
      <c r="K8" s="98">
        <v>432</v>
      </c>
      <c r="L8" s="170">
        <v>32864</v>
      </c>
      <c r="M8" s="163" t="s">
        <v>121</v>
      </c>
      <c r="N8" s="106" t="s">
        <v>149</v>
      </c>
      <c r="O8" s="98" t="s">
        <v>129</v>
      </c>
      <c r="P8" s="108">
        <f t="shared" si="1"/>
        <v>0.18338111999999998</v>
      </c>
      <c r="Q8" s="113">
        <f t="shared" si="2"/>
        <v>366.76223999999996</v>
      </c>
      <c r="R8" s="113">
        <v>12</v>
      </c>
      <c r="S8" s="153" t="s">
        <v>207</v>
      </c>
      <c r="T8" s="171">
        <f t="shared" ref="T8:T14" si="18">W8</f>
        <v>5.8414418181441219</v>
      </c>
      <c r="U8" s="165">
        <f t="shared" si="14"/>
        <v>32864</v>
      </c>
      <c r="V8" s="106">
        <f>0.0093/10</f>
        <v>9.2999999999999995E-4</v>
      </c>
      <c r="W8" s="158">
        <v>5.8414418181441219</v>
      </c>
      <c r="X8" s="112">
        <f t="shared" si="4"/>
        <v>1.7176608</v>
      </c>
      <c r="Y8" s="109">
        <f t="shared" si="5"/>
        <v>0.85883039999999999</v>
      </c>
      <c r="Z8" s="106">
        <v>8760</v>
      </c>
      <c r="AA8" s="121">
        <f t="shared" si="6"/>
        <v>0.39215999999999995</v>
      </c>
      <c r="AB8" s="98">
        <f t="shared" si="7"/>
        <v>0.03</v>
      </c>
      <c r="AC8" s="154" t="s">
        <v>218</v>
      </c>
      <c r="AD8" s="157">
        <f>H8</f>
        <v>152</v>
      </c>
      <c r="AE8" s="121">
        <v>0.04</v>
      </c>
      <c r="AF8" s="121">
        <f t="shared" si="15"/>
        <v>0.06</v>
      </c>
      <c r="AG8" s="158">
        <v>2.3E-2</v>
      </c>
      <c r="AH8" s="115">
        <f t="shared" si="8"/>
        <v>1.4979599999999999E-2</v>
      </c>
      <c r="AI8" s="106">
        <v>8760</v>
      </c>
      <c r="AJ8" s="99">
        <f t="shared" si="9"/>
        <v>3.4199999999999999E-3</v>
      </c>
      <c r="AK8" s="114">
        <f t="shared" si="10"/>
        <v>2E-3</v>
      </c>
      <c r="AL8" s="154" t="s">
        <v>207</v>
      </c>
      <c r="AM8" s="52">
        <f>I8</f>
        <v>228</v>
      </c>
      <c r="AN8" s="172">
        <f t="shared" si="16"/>
        <v>5.3055555555555545E-5</v>
      </c>
      <c r="AO8" s="99">
        <f t="shared" si="0"/>
        <v>5.3055555555555545E-5</v>
      </c>
      <c r="AP8" s="52">
        <v>7.4999999999999997E-3</v>
      </c>
      <c r="AQ8" s="160">
        <v>5.3055555555555545E-5</v>
      </c>
      <c r="AR8" s="115">
        <f t="shared" si="11"/>
        <v>5.9918399999999997E-2</v>
      </c>
      <c r="AS8" s="106">
        <v>8760</v>
      </c>
      <c r="AT8" s="176">
        <f t="shared" si="12"/>
        <v>1.3679999999999999E-2</v>
      </c>
      <c r="AU8" s="118">
        <f t="shared" si="13"/>
        <v>1.2E-2</v>
      </c>
      <c r="AV8" s="154" t="s">
        <v>207</v>
      </c>
      <c r="AW8" s="52">
        <f>J8</f>
        <v>152</v>
      </c>
      <c r="AX8" s="87">
        <f t="shared" ref="AX8:AX14" si="19">BA8</f>
        <v>1.3906301824212272E-4</v>
      </c>
      <c r="AY8" s="173">
        <f t="shared" si="17"/>
        <v>1.3906301824212272E-4</v>
      </c>
      <c r="AZ8" s="52">
        <v>7.4999999999999997E-3</v>
      </c>
      <c r="BA8" s="159">
        <f>'Enc1 Part VI BL Q89'!J44</f>
        <v>1.3906301824212272E-4</v>
      </c>
    </row>
    <row r="9" spans="2:53" s="119" customFormat="1" x14ac:dyDescent="0.2">
      <c r="B9" s="163" t="s">
        <v>38</v>
      </c>
      <c r="C9" s="163" t="s">
        <v>77</v>
      </c>
      <c r="D9" s="98">
        <v>82</v>
      </c>
      <c r="E9" s="52" t="s">
        <v>71</v>
      </c>
      <c r="F9" s="98">
        <v>4</v>
      </c>
      <c r="G9" s="98">
        <v>1</v>
      </c>
      <c r="H9" s="98">
        <v>164</v>
      </c>
      <c r="I9" s="98">
        <v>328</v>
      </c>
      <c r="J9" s="98">
        <v>82</v>
      </c>
      <c r="K9" s="98">
        <v>467.4</v>
      </c>
      <c r="L9" s="170">
        <v>38330</v>
      </c>
      <c r="M9" s="163" t="s">
        <v>127</v>
      </c>
      <c r="N9" s="106" t="s">
        <v>149</v>
      </c>
      <c r="O9" s="98" t="s">
        <v>129</v>
      </c>
      <c r="P9" s="109">
        <f t="shared" si="1"/>
        <v>0.21388139999999997</v>
      </c>
      <c r="Q9" s="113">
        <f t="shared" si="2"/>
        <v>427.76279999999997</v>
      </c>
      <c r="R9" s="113">
        <v>12</v>
      </c>
      <c r="S9" s="153" t="s">
        <v>208</v>
      </c>
      <c r="T9" s="171">
        <f t="shared" si="18"/>
        <v>9.0208333333333339</v>
      </c>
      <c r="U9" s="165">
        <f t="shared" si="14"/>
        <v>38330</v>
      </c>
      <c r="V9" s="106">
        <f t="shared" ref="V9:V12" si="20">0.0093/10</f>
        <v>9.2999999999999995E-4</v>
      </c>
      <c r="W9" s="158">
        <v>9.0208333333333339</v>
      </c>
      <c r="X9" s="112">
        <f t="shared" si="4"/>
        <v>1.8532655999999998</v>
      </c>
      <c r="Y9" s="109">
        <f t="shared" si="5"/>
        <v>0.92663279999999992</v>
      </c>
      <c r="Z9" s="106">
        <v>8760</v>
      </c>
      <c r="AA9" s="121">
        <f t="shared" si="6"/>
        <v>0.42312</v>
      </c>
      <c r="AB9" s="98">
        <f t="shared" si="7"/>
        <v>0.03</v>
      </c>
      <c r="AC9" s="154" t="s">
        <v>210</v>
      </c>
      <c r="AD9" s="157">
        <f>H9</f>
        <v>164</v>
      </c>
      <c r="AE9" s="121">
        <v>0.04</v>
      </c>
      <c r="AF9" s="121">
        <f t="shared" si="15"/>
        <v>0.06</v>
      </c>
      <c r="AG9" s="158">
        <v>2.3E-2</v>
      </c>
      <c r="AH9" s="115">
        <f t="shared" si="8"/>
        <v>2.1549599999999999E-2</v>
      </c>
      <c r="AI9" s="106">
        <v>8760</v>
      </c>
      <c r="AJ9" s="99">
        <f t="shared" si="9"/>
        <v>4.9199999999999999E-3</v>
      </c>
      <c r="AK9" s="114">
        <f t="shared" si="10"/>
        <v>2E-3</v>
      </c>
      <c r="AL9" s="154" t="s">
        <v>208</v>
      </c>
      <c r="AM9" s="52">
        <f>I9</f>
        <v>328</v>
      </c>
      <c r="AN9" s="87">
        <f t="shared" si="16"/>
        <v>6.0000000000000006E-4</v>
      </c>
      <c r="AO9" s="173">
        <f t="shared" si="0"/>
        <v>6.0000000000000006E-4</v>
      </c>
      <c r="AP9" s="52">
        <v>7.4999999999999997E-3</v>
      </c>
      <c r="AQ9" s="159">
        <v>6.0000000000000006E-4</v>
      </c>
      <c r="AR9" s="115">
        <f t="shared" si="11"/>
        <v>3.2324399999999996E-2</v>
      </c>
      <c r="AS9" s="106">
        <v>8760</v>
      </c>
      <c r="AT9" s="176">
        <f t="shared" si="12"/>
        <v>7.3799999999999994E-3</v>
      </c>
      <c r="AU9" s="118">
        <f t="shared" si="13"/>
        <v>1.2E-2</v>
      </c>
      <c r="AV9" s="154" t="s">
        <v>208</v>
      </c>
      <c r="AW9" s="52">
        <f>J9</f>
        <v>82</v>
      </c>
      <c r="AX9" s="175">
        <f t="shared" si="19"/>
        <v>5.3999999999999994E-3</v>
      </c>
      <c r="AY9" s="173">
        <f t="shared" si="17"/>
        <v>5.3999999999999994E-3</v>
      </c>
      <c r="AZ9" s="52">
        <v>7.4999999999999997E-3</v>
      </c>
      <c r="BA9" s="159">
        <f>'Enc1 Part VI BL Q89'!J57</f>
        <v>5.3999999999999994E-3</v>
      </c>
    </row>
    <row r="10" spans="2:53" s="119" customFormat="1" x14ac:dyDescent="0.2">
      <c r="B10" s="163" t="s">
        <v>38</v>
      </c>
      <c r="C10" s="163" t="s">
        <v>78</v>
      </c>
      <c r="D10" s="98">
        <v>82</v>
      </c>
      <c r="E10" s="52" t="s">
        <v>71</v>
      </c>
      <c r="F10" s="98">
        <v>4</v>
      </c>
      <c r="G10" s="98">
        <v>1</v>
      </c>
      <c r="H10" s="98">
        <v>164</v>
      </c>
      <c r="I10" s="98">
        <v>328</v>
      </c>
      <c r="J10" s="98">
        <v>82</v>
      </c>
      <c r="K10" s="98">
        <v>468.6</v>
      </c>
      <c r="L10" s="170">
        <v>38426</v>
      </c>
      <c r="M10" s="163" t="s">
        <v>127</v>
      </c>
      <c r="N10" s="106" t="s">
        <v>149</v>
      </c>
      <c r="O10" s="98" t="s">
        <v>129</v>
      </c>
      <c r="P10" s="109">
        <f t="shared" si="1"/>
        <v>0.21441708000000001</v>
      </c>
      <c r="Q10" s="113">
        <f t="shared" si="2"/>
        <v>428.83416</v>
      </c>
      <c r="R10" s="113">
        <v>12</v>
      </c>
      <c r="S10" s="153" t="s">
        <v>208</v>
      </c>
      <c r="T10" s="171">
        <f t="shared" si="18"/>
        <v>9.6758333333333351</v>
      </c>
      <c r="U10" s="165">
        <f t="shared" si="14"/>
        <v>38426</v>
      </c>
      <c r="V10" s="106">
        <f t="shared" si="20"/>
        <v>9.2999999999999995E-4</v>
      </c>
      <c r="W10" s="158">
        <v>9.6758333333333351</v>
      </c>
      <c r="X10" s="112">
        <f t="shared" si="4"/>
        <v>1.8532655999999998</v>
      </c>
      <c r="Y10" s="109">
        <f t="shared" si="5"/>
        <v>0.92663279999999992</v>
      </c>
      <c r="Z10" s="106">
        <v>8760</v>
      </c>
      <c r="AA10" s="121">
        <f t="shared" si="6"/>
        <v>0.42312</v>
      </c>
      <c r="AB10" s="98">
        <f t="shared" si="7"/>
        <v>0.03</v>
      </c>
      <c r="AC10" s="154" t="s">
        <v>210</v>
      </c>
      <c r="AD10" s="157">
        <f>H10</f>
        <v>164</v>
      </c>
      <c r="AE10" s="121">
        <v>0.04</v>
      </c>
      <c r="AF10" s="121">
        <f t="shared" si="15"/>
        <v>0.06</v>
      </c>
      <c r="AG10" s="158">
        <v>2.3E-2</v>
      </c>
      <c r="AH10" s="115">
        <f t="shared" si="8"/>
        <v>2.1549599999999999E-2</v>
      </c>
      <c r="AI10" s="106">
        <v>8760</v>
      </c>
      <c r="AJ10" s="99">
        <f t="shared" si="9"/>
        <v>4.9199999999999999E-3</v>
      </c>
      <c r="AK10" s="114">
        <f t="shared" si="10"/>
        <v>2E-3</v>
      </c>
      <c r="AL10" s="154" t="s">
        <v>208</v>
      </c>
      <c r="AM10" s="52">
        <f>I10</f>
        <v>328</v>
      </c>
      <c r="AN10" s="175">
        <f t="shared" si="16"/>
        <v>1.3916666666666667E-3</v>
      </c>
      <c r="AO10" s="173">
        <f t="shared" si="0"/>
        <v>1.3916666666666667E-3</v>
      </c>
      <c r="AP10" s="52">
        <v>7.4999999999999997E-3</v>
      </c>
      <c r="AQ10" s="159">
        <v>1.3916666666666667E-3</v>
      </c>
      <c r="AR10" s="115">
        <f t="shared" si="11"/>
        <v>3.2324399999999996E-2</v>
      </c>
      <c r="AS10" s="106">
        <v>8760</v>
      </c>
      <c r="AT10" s="176">
        <f t="shared" si="12"/>
        <v>7.3799999999999994E-3</v>
      </c>
      <c r="AU10" s="118">
        <f t="shared" si="13"/>
        <v>1.2E-2</v>
      </c>
      <c r="AV10" s="154" t="s">
        <v>208</v>
      </c>
      <c r="AW10" s="52">
        <f>J10</f>
        <v>82</v>
      </c>
      <c r="AX10" s="175">
        <f t="shared" si="19"/>
        <v>7.7250000000000001E-3</v>
      </c>
      <c r="AY10" s="173">
        <f t="shared" si="17"/>
        <v>7.7250000000000001E-3</v>
      </c>
      <c r="AZ10" s="52">
        <v>7.4999999999999997E-3</v>
      </c>
      <c r="BA10" s="159">
        <f>'Enc1 Part VI BL Q89'!J70</f>
        <v>7.7250000000000001E-3</v>
      </c>
    </row>
    <row r="11" spans="2:53" s="119" customFormat="1" x14ac:dyDescent="0.2">
      <c r="B11" s="163" t="s">
        <v>41</v>
      </c>
      <c r="C11" s="163" t="s">
        <v>42</v>
      </c>
      <c r="D11" s="98">
        <v>37</v>
      </c>
      <c r="E11" s="52" t="s">
        <v>71</v>
      </c>
      <c r="F11" s="98">
        <v>4</v>
      </c>
      <c r="G11" s="98">
        <v>2</v>
      </c>
      <c r="H11" s="98">
        <v>74</v>
      </c>
      <c r="I11" s="98">
        <v>148</v>
      </c>
      <c r="J11" s="98">
        <v>74</v>
      </c>
      <c r="K11" s="170">
        <v>471.96428571428572</v>
      </c>
      <c r="L11" s="170">
        <f>17463</f>
        <v>17463</v>
      </c>
      <c r="M11" s="163" t="s">
        <v>138</v>
      </c>
      <c r="N11" s="106" t="s">
        <v>149</v>
      </c>
      <c r="O11" s="98" t="s">
        <v>129</v>
      </c>
      <c r="P11" s="108">
        <f t="shared" si="1"/>
        <v>9.7443539999999995E-2</v>
      </c>
      <c r="Q11" s="177">
        <f t="shared" si="2"/>
        <v>194.88708</v>
      </c>
      <c r="R11" s="113">
        <v>12</v>
      </c>
      <c r="S11" s="153" t="s">
        <v>208</v>
      </c>
      <c r="T11" s="171">
        <f t="shared" si="18"/>
        <v>6.3308333333333335</v>
      </c>
      <c r="U11" s="165">
        <f t="shared" si="14"/>
        <v>17463</v>
      </c>
      <c r="V11" s="106">
        <f t="shared" si="20"/>
        <v>9.2999999999999995E-4</v>
      </c>
      <c r="W11" s="158">
        <v>6.3308333333333335</v>
      </c>
      <c r="X11" s="109">
        <f t="shared" si="4"/>
        <v>0.83622959999999991</v>
      </c>
      <c r="Y11" s="109">
        <f t="shared" si="5"/>
        <v>0.41811479999999995</v>
      </c>
      <c r="Z11" s="106">
        <v>8760</v>
      </c>
      <c r="AA11" s="121">
        <f t="shared" si="6"/>
        <v>0.19091999999999998</v>
      </c>
      <c r="AB11" s="98">
        <f t="shared" si="7"/>
        <v>0.03</v>
      </c>
      <c r="AC11" s="154" t="s">
        <v>217</v>
      </c>
      <c r="AD11" s="157">
        <f>H11</f>
        <v>74</v>
      </c>
      <c r="AE11" s="121">
        <v>0.04</v>
      </c>
      <c r="AF11" s="121">
        <f t="shared" si="15"/>
        <v>0.06</v>
      </c>
      <c r="AG11" s="158">
        <v>2.3E-2</v>
      </c>
      <c r="AH11" s="115">
        <f t="shared" si="8"/>
        <v>9.7235999999999989E-3</v>
      </c>
      <c r="AI11" s="106">
        <v>8760</v>
      </c>
      <c r="AJ11" s="99">
        <f t="shared" si="9"/>
        <v>2.2199999999999998E-3</v>
      </c>
      <c r="AK11" s="114">
        <f t="shared" si="10"/>
        <v>2E-3</v>
      </c>
      <c r="AL11" s="154" t="s">
        <v>208</v>
      </c>
      <c r="AM11" s="52">
        <f>I11</f>
        <v>148</v>
      </c>
      <c r="AN11" s="87">
        <f t="shared" si="16"/>
        <v>0</v>
      </c>
      <c r="AO11" s="173">
        <f t="shared" si="0"/>
        <v>0</v>
      </c>
      <c r="AP11" s="52">
        <v>7.4999999999999997E-3</v>
      </c>
      <c r="AQ11" s="159">
        <v>0</v>
      </c>
      <c r="AR11" s="115">
        <f t="shared" si="11"/>
        <v>2.91708E-2</v>
      </c>
      <c r="AS11" s="106">
        <v>8760</v>
      </c>
      <c r="AT11" s="176">
        <f t="shared" si="12"/>
        <v>6.6600000000000001E-3</v>
      </c>
      <c r="AU11" s="118">
        <f t="shared" si="13"/>
        <v>1.2E-2</v>
      </c>
      <c r="AV11" s="154" t="s">
        <v>208</v>
      </c>
      <c r="AW11" s="52">
        <f>J11</f>
        <v>74</v>
      </c>
      <c r="AX11" s="175">
        <f t="shared" si="19"/>
        <v>4.816666666666667E-3</v>
      </c>
      <c r="AY11" s="173">
        <f t="shared" si="17"/>
        <v>4.816666666666667E-3</v>
      </c>
      <c r="AZ11" s="52">
        <v>7.4999999999999997E-3</v>
      </c>
      <c r="BA11" s="159">
        <f>'Enc1 Part VI BL Q89'!J83/100</f>
        <v>4.816666666666667E-3</v>
      </c>
    </row>
    <row r="12" spans="2:53" s="119" customFormat="1" x14ac:dyDescent="0.2">
      <c r="B12" s="163" t="s">
        <v>41</v>
      </c>
      <c r="C12" s="163" t="s">
        <v>44</v>
      </c>
      <c r="D12" s="98">
        <v>19</v>
      </c>
      <c r="E12" s="52" t="s">
        <v>71</v>
      </c>
      <c r="F12" s="98">
        <v>4</v>
      </c>
      <c r="G12" s="98">
        <v>2</v>
      </c>
      <c r="H12" s="98">
        <v>38</v>
      </c>
      <c r="I12" s="98">
        <v>76</v>
      </c>
      <c r="J12" s="98">
        <v>38</v>
      </c>
      <c r="K12" s="170">
        <v>471.96428571428572</v>
      </c>
      <c r="L12" s="170">
        <f>8967</f>
        <v>8967</v>
      </c>
      <c r="M12" s="163"/>
      <c r="N12" s="106" t="s">
        <v>149</v>
      </c>
      <c r="O12" s="98" t="s">
        <v>129</v>
      </c>
      <c r="P12" s="108">
        <f t="shared" si="1"/>
        <v>5.0035860000000001E-2</v>
      </c>
      <c r="Q12" s="177">
        <f t="shared" si="2"/>
        <v>100.07172</v>
      </c>
      <c r="R12" s="113">
        <v>12</v>
      </c>
      <c r="S12" s="153" t="s">
        <v>208</v>
      </c>
      <c r="T12" s="171">
        <f t="shared" si="18"/>
        <v>6.3308333333333335</v>
      </c>
      <c r="U12" s="165">
        <f t="shared" si="14"/>
        <v>8967</v>
      </c>
      <c r="V12" s="106">
        <f t="shared" si="20"/>
        <v>9.2999999999999995E-4</v>
      </c>
      <c r="W12" s="158">
        <v>6.3308333333333335</v>
      </c>
      <c r="X12" s="109">
        <f t="shared" si="4"/>
        <v>0.4294152</v>
      </c>
      <c r="Y12" s="109">
        <f t="shared" si="5"/>
        <v>0.2147076</v>
      </c>
      <c r="Z12" s="106">
        <v>8760</v>
      </c>
      <c r="AA12" s="121">
        <f t="shared" si="6"/>
        <v>9.8039999999999988E-2</v>
      </c>
      <c r="AB12" s="98">
        <f t="shared" si="7"/>
        <v>0.03</v>
      </c>
      <c r="AC12" s="154" t="s">
        <v>217</v>
      </c>
      <c r="AD12" s="157">
        <f>H12</f>
        <v>38</v>
      </c>
      <c r="AE12" s="121">
        <v>0.04</v>
      </c>
      <c r="AF12" s="121">
        <f t="shared" si="15"/>
        <v>0.06</v>
      </c>
      <c r="AG12" s="158">
        <v>2.3E-2</v>
      </c>
      <c r="AH12" s="115">
        <f t="shared" si="8"/>
        <v>4.9931999999999997E-3</v>
      </c>
      <c r="AI12" s="106">
        <v>8760</v>
      </c>
      <c r="AJ12" s="99">
        <f t="shared" si="9"/>
        <v>1.14E-3</v>
      </c>
      <c r="AK12" s="114">
        <f t="shared" si="10"/>
        <v>2E-3</v>
      </c>
      <c r="AL12" s="154" t="s">
        <v>208</v>
      </c>
      <c r="AM12" s="52">
        <f>I12</f>
        <v>76</v>
      </c>
      <c r="AN12" s="87">
        <f t="shared" si="16"/>
        <v>0</v>
      </c>
      <c r="AO12" s="173">
        <f t="shared" si="0"/>
        <v>0</v>
      </c>
      <c r="AP12" s="52">
        <v>7.4999999999999997E-3</v>
      </c>
      <c r="AQ12" s="159">
        <v>0</v>
      </c>
      <c r="AR12" s="115">
        <f t="shared" si="11"/>
        <v>1.4979599999999999E-2</v>
      </c>
      <c r="AS12" s="106">
        <v>8760</v>
      </c>
      <c r="AT12" s="176">
        <f t="shared" si="12"/>
        <v>3.4199999999999999E-3</v>
      </c>
      <c r="AU12" s="118">
        <f t="shared" si="13"/>
        <v>1.2E-2</v>
      </c>
      <c r="AV12" s="154" t="s">
        <v>208</v>
      </c>
      <c r="AW12" s="52">
        <f>J12</f>
        <v>38</v>
      </c>
      <c r="AX12" s="175">
        <f t="shared" si="19"/>
        <v>2.075E-3</v>
      </c>
      <c r="AY12" s="173">
        <f t="shared" si="17"/>
        <v>2.075E-3</v>
      </c>
      <c r="AZ12" s="52">
        <v>7.4999999999999997E-3</v>
      </c>
      <c r="BA12" s="159">
        <f>'Enc1 Part VI BL Q89'!J96/100</f>
        <v>2.075E-3</v>
      </c>
    </row>
    <row r="13" spans="2:53" s="119" customFormat="1" x14ac:dyDescent="0.2">
      <c r="B13" s="163" t="s">
        <v>45</v>
      </c>
      <c r="C13" s="163" t="s">
        <v>79</v>
      </c>
      <c r="D13" s="98">
        <v>85</v>
      </c>
      <c r="E13" s="52" t="s">
        <v>71</v>
      </c>
      <c r="F13" s="98">
        <v>3</v>
      </c>
      <c r="G13" s="98">
        <v>2</v>
      </c>
      <c r="H13" s="98">
        <v>170</v>
      </c>
      <c r="I13" s="98">
        <v>255</v>
      </c>
      <c r="J13" s="98">
        <v>170</v>
      </c>
      <c r="K13" s="98">
        <v>424</v>
      </c>
      <c r="L13" s="170">
        <v>30078</v>
      </c>
      <c r="M13" s="163" t="s">
        <v>138</v>
      </c>
      <c r="N13" s="106" t="s">
        <v>149</v>
      </c>
      <c r="O13" s="98" t="s">
        <v>129</v>
      </c>
      <c r="P13" s="108">
        <f t="shared" si="1"/>
        <v>0.16783524</v>
      </c>
      <c r="Q13" s="113">
        <f t="shared" si="2"/>
        <v>335.67048</v>
      </c>
      <c r="R13" s="113">
        <v>12</v>
      </c>
      <c r="S13" s="153" t="s">
        <v>208</v>
      </c>
      <c r="T13" s="171">
        <f t="shared" si="18"/>
        <v>3.5150832053251411</v>
      </c>
      <c r="U13" s="165">
        <f t="shared" si="14"/>
        <v>30078</v>
      </c>
      <c r="V13" s="106">
        <f>0.0093/10</f>
        <v>9.2999999999999995E-4</v>
      </c>
      <c r="W13" s="158">
        <v>3.5150832053251411</v>
      </c>
      <c r="X13" s="112">
        <f t="shared" si="4"/>
        <v>1.921068</v>
      </c>
      <c r="Y13" s="109">
        <f t="shared" si="5"/>
        <v>0.960534</v>
      </c>
      <c r="Z13" s="106">
        <v>8760</v>
      </c>
      <c r="AA13" s="121">
        <f t="shared" si="6"/>
        <v>0.43859999999999999</v>
      </c>
      <c r="AB13" s="98">
        <f t="shared" si="7"/>
        <v>0.03</v>
      </c>
      <c r="AC13" s="154" t="s">
        <v>217</v>
      </c>
      <c r="AD13" s="157">
        <f>H13</f>
        <v>170</v>
      </c>
      <c r="AE13" s="121">
        <v>0.04</v>
      </c>
      <c r="AF13" s="121">
        <f t="shared" si="15"/>
        <v>0.06</v>
      </c>
      <c r="AG13" s="158">
        <v>2.3E-2</v>
      </c>
      <c r="AH13" s="115">
        <f t="shared" si="8"/>
        <v>1.6753499999999998E-2</v>
      </c>
      <c r="AI13" s="106">
        <v>8760</v>
      </c>
      <c r="AJ13" s="99">
        <f t="shared" si="9"/>
        <v>3.8249999999999998E-3</v>
      </c>
      <c r="AK13" s="114">
        <f t="shared" si="10"/>
        <v>2E-3</v>
      </c>
      <c r="AL13" s="154" t="s">
        <v>208</v>
      </c>
      <c r="AM13" s="52">
        <f>I13</f>
        <v>255</v>
      </c>
      <c r="AN13" s="87">
        <f t="shared" si="16"/>
        <v>3.8722691496092659E-4</v>
      </c>
      <c r="AO13" s="173">
        <f t="shared" si="0"/>
        <v>3.8722691496092659E-4</v>
      </c>
      <c r="AP13" s="52">
        <v>7.4999999999999997E-3</v>
      </c>
      <c r="AQ13" s="159">
        <v>3.8722691496092659E-4</v>
      </c>
      <c r="AR13" s="115">
        <f t="shared" si="11"/>
        <v>6.701399999999999E-2</v>
      </c>
      <c r="AS13" s="106">
        <v>8760</v>
      </c>
      <c r="AT13" s="176">
        <f t="shared" si="12"/>
        <v>1.5299999999999999E-2</v>
      </c>
      <c r="AU13" s="118">
        <f t="shared" si="13"/>
        <v>1.2E-2</v>
      </c>
      <c r="AV13" s="154" t="s">
        <v>208</v>
      </c>
      <c r="AW13" s="52">
        <f>J13</f>
        <v>170</v>
      </c>
      <c r="AX13" s="175">
        <f t="shared" si="19"/>
        <v>8.0456297763695627E-3</v>
      </c>
      <c r="AY13" s="173">
        <f t="shared" si="17"/>
        <v>8.0456297763695627E-3</v>
      </c>
      <c r="AZ13" s="52">
        <v>7.4999999999999997E-3</v>
      </c>
      <c r="BA13" s="159">
        <f>'Enc1 Part VI BL Q89'!J109</f>
        <v>8.0456297763695627E-3</v>
      </c>
    </row>
    <row r="14" spans="2:53" s="119" customFormat="1" x14ac:dyDescent="0.2">
      <c r="B14" s="163" t="s">
        <v>47</v>
      </c>
      <c r="C14" s="163" t="s">
        <v>81</v>
      </c>
      <c r="D14" s="98">
        <v>85</v>
      </c>
      <c r="E14" s="52" t="s">
        <v>71</v>
      </c>
      <c r="F14" s="98">
        <v>4</v>
      </c>
      <c r="G14" s="98">
        <v>2</v>
      </c>
      <c r="H14" s="98">
        <v>170</v>
      </c>
      <c r="I14" s="98">
        <v>340</v>
      </c>
      <c r="J14" s="98">
        <v>170</v>
      </c>
      <c r="K14" s="98">
        <f>AVERAGE(258.3,497.4)</f>
        <v>377.85</v>
      </c>
      <c r="L14" s="170">
        <v>42355</v>
      </c>
      <c r="M14" s="163" t="s">
        <v>148</v>
      </c>
      <c r="N14" s="106" t="s">
        <v>149</v>
      </c>
      <c r="O14" s="98" t="s">
        <v>150</v>
      </c>
      <c r="P14" s="108">
        <f t="shared" si="1"/>
        <v>0.23634089999999996</v>
      </c>
      <c r="Q14" s="113">
        <f t="shared" si="2"/>
        <v>472.68179999999995</v>
      </c>
      <c r="R14" s="113">
        <v>12</v>
      </c>
      <c r="S14" s="153" t="s">
        <v>208</v>
      </c>
      <c r="T14" s="171">
        <f t="shared" si="18"/>
        <v>1.3083333333333333</v>
      </c>
      <c r="U14" s="165">
        <f t="shared" si="14"/>
        <v>42355</v>
      </c>
      <c r="V14" s="106">
        <f>0.0093/10</f>
        <v>9.2999999999999995E-4</v>
      </c>
      <c r="W14" s="158">
        <v>1.3083333333333333</v>
      </c>
      <c r="X14" s="112">
        <f t="shared" si="4"/>
        <v>1.921068</v>
      </c>
      <c r="Y14" s="109">
        <f t="shared" si="5"/>
        <v>0.960534</v>
      </c>
      <c r="Z14" s="106">
        <v>8760</v>
      </c>
      <c r="AA14" s="121">
        <f t="shared" si="6"/>
        <v>0.43859999999999999</v>
      </c>
      <c r="AB14" s="98">
        <f t="shared" si="7"/>
        <v>0.03</v>
      </c>
      <c r="AC14" s="154" t="s">
        <v>210</v>
      </c>
      <c r="AD14" s="157">
        <f>H14</f>
        <v>170</v>
      </c>
      <c r="AE14" s="121">
        <v>0.04</v>
      </c>
      <c r="AF14" s="121">
        <f t="shared" si="15"/>
        <v>0.06</v>
      </c>
      <c r="AG14" s="158">
        <v>2.3E-2</v>
      </c>
      <c r="AH14" s="115">
        <f t="shared" si="8"/>
        <v>2.2338E-2</v>
      </c>
      <c r="AI14" s="106">
        <v>8760</v>
      </c>
      <c r="AJ14" s="99">
        <f t="shared" si="9"/>
        <v>5.1000000000000004E-3</v>
      </c>
      <c r="AK14" s="114">
        <f t="shared" si="10"/>
        <v>2E-3</v>
      </c>
      <c r="AL14" s="154" t="s">
        <v>208</v>
      </c>
      <c r="AM14" s="52">
        <f>I14</f>
        <v>340</v>
      </c>
      <c r="AN14" s="178">
        <f t="shared" si="16"/>
        <v>8.3333333333333337E-6</v>
      </c>
      <c r="AO14" s="173">
        <f t="shared" si="0"/>
        <v>8.3333333333333337E-6</v>
      </c>
      <c r="AP14" s="52">
        <v>7.4999999999999997E-3</v>
      </c>
      <c r="AQ14" s="159">
        <v>8.3333333333333337E-6</v>
      </c>
      <c r="AR14" s="115">
        <f t="shared" si="11"/>
        <v>6.701399999999999E-2</v>
      </c>
      <c r="AS14" s="106">
        <v>8760</v>
      </c>
      <c r="AT14" s="176">
        <f t="shared" si="12"/>
        <v>1.5299999999999999E-2</v>
      </c>
      <c r="AU14" s="118">
        <f t="shared" si="13"/>
        <v>1.2E-2</v>
      </c>
      <c r="AV14" s="154" t="s">
        <v>208</v>
      </c>
      <c r="AW14" s="52">
        <f>J14</f>
        <v>170</v>
      </c>
      <c r="AX14" s="87">
        <f t="shared" si="19"/>
        <v>1.4999999999999999E-4</v>
      </c>
      <c r="AY14" s="173">
        <f t="shared" si="17"/>
        <v>1.4999999999999999E-4</v>
      </c>
      <c r="AZ14" s="52">
        <v>7.4999999999999997E-3</v>
      </c>
      <c r="BA14" s="159">
        <f>'Enc1 Part VI BL Q89'!J148/100</f>
        <v>1.4999999999999999E-4</v>
      </c>
    </row>
    <row r="15" spans="2:53" s="119" customFormat="1" x14ac:dyDescent="0.2">
      <c r="B15" s="163" t="s">
        <v>7</v>
      </c>
      <c r="C15" s="163" t="s">
        <v>82</v>
      </c>
      <c r="D15" s="98">
        <v>64</v>
      </c>
      <c r="E15" s="52" t="s">
        <v>71</v>
      </c>
      <c r="F15" s="98">
        <v>4</v>
      </c>
      <c r="G15" s="98">
        <v>2</v>
      </c>
      <c r="H15" s="98">
        <f>64*2</f>
        <v>128</v>
      </c>
      <c r="I15" s="98">
        <f>4*64</f>
        <v>256</v>
      </c>
      <c r="J15" s="98">
        <f>2*64</f>
        <v>128</v>
      </c>
      <c r="K15" s="157">
        <f>L15/64</f>
        <v>332.515625</v>
      </c>
      <c r="L15" s="170">
        <v>21281</v>
      </c>
      <c r="M15" s="163" t="s">
        <v>174</v>
      </c>
      <c r="N15" s="106" t="s">
        <v>149</v>
      </c>
      <c r="O15" s="98" t="s">
        <v>153</v>
      </c>
      <c r="P15" s="108">
        <f t="shared" si="1"/>
        <v>0.11874798</v>
      </c>
      <c r="Q15" s="113">
        <f t="shared" si="2"/>
        <v>237.49596</v>
      </c>
      <c r="R15" s="113">
        <v>12</v>
      </c>
      <c r="S15" s="153" t="s">
        <v>208</v>
      </c>
      <c r="T15" s="179">
        <v>4.4580000000000002</v>
      </c>
      <c r="U15" s="165">
        <f t="shared" si="14"/>
        <v>21281</v>
      </c>
      <c r="V15" s="106">
        <f t="shared" ref="V15:V30" si="21">0.0093/10</f>
        <v>9.2999999999999995E-4</v>
      </c>
      <c r="W15" s="52"/>
      <c r="X15" s="109">
        <f t="shared" si="4"/>
        <v>0.99793919999999992</v>
      </c>
      <c r="Y15" s="109">
        <f t="shared" si="5"/>
        <v>0.49896959999999996</v>
      </c>
      <c r="Z15" s="106">
        <v>8760</v>
      </c>
      <c r="AA15" s="121">
        <f t="shared" si="6"/>
        <v>0.22783999999999999</v>
      </c>
      <c r="AB15" s="98">
        <f>1/100</f>
        <v>0.01</v>
      </c>
      <c r="AC15" s="154" t="s">
        <v>217</v>
      </c>
      <c r="AD15" s="157">
        <f>H15</f>
        <v>128</v>
      </c>
      <c r="AE15" s="121">
        <v>0.04</v>
      </c>
      <c r="AF15" s="121">
        <f t="shared" si="15"/>
        <v>0.06</v>
      </c>
      <c r="AG15" s="158">
        <v>2.3E-2</v>
      </c>
      <c r="AH15" s="115">
        <f t="shared" si="8"/>
        <v>1.6819200000000003E-2</v>
      </c>
      <c r="AI15" s="106">
        <v>8760</v>
      </c>
      <c r="AJ15" s="99">
        <f t="shared" si="9"/>
        <v>3.8400000000000001E-3</v>
      </c>
      <c r="AK15" s="114">
        <f t="shared" si="10"/>
        <v>2E-3</v>
      </c>
      <c r="AL15" s="154" t="s">
        <v>208</v>
      </c>
      <c r="AM15" s="52">
        <f>I15</f>
        <v>256</v>
      </c>
      <c r="AN15" s="87">
        <v>0</v>
      </c>
      <c r="AO15" s="173">
        <f t="shared" si="0"/>
        <v>0</v>
      </c>
      <c r="AP15" s="52">
        <v>7.4999999999999997E-3</v>
      </c>
      <c r="AQ15" s="52"/>
      <c r="AR15" s="115">
        <f t="shared" si="11"/>
        <v>5.0457599999999991E-2</v>
      </c>
      <c r="AS15" s="106">
        <v>8760</v>
      </c>
      <c r="AT15" s="176">
        <f t="shared" si="12"/>
        <v>1.1519999999999999E-2</v>
      </c>
      <c r="AU15" s="118">
        <f t="shared" si="13"/>
        <v>1.2E-2</v>
      </c>
      <c r="AV15" s="154" t="s">
        <v>208</v>
      </c>
      <c r="AW15" s="52">
        <f>J15</f>
        <v>128</v>
      </c>
      <c r="AX15" s="175">
        <v>6.1999999999999998E-3</v>
      </c>
      <c r="AY15" s="173">
        <f t="shared" si="17"/>
        <v>6.1999999999999998E-3</v>
      </c>
      <c r="AZ15" s="52">
        <v>7.4999999999999997E-3</v>
      </c>
      <c r="BA15" s="52"/>
    </row>
    <row r="16" spans="2:53" s="119" customFormat="1" x14ac:dyDescent="0.2">
      <c r="B16" s="163" t="s">
        <v>7</v>
      </c>
      <c r="C16" s="163" t="s">
        <v>44</v>
      </c>
      <c r="D16" s="98">
        <v>64</v>
      </c>
      <c r="E16" s="52" t="s">
        <v>71</v>
      </c>
      <c r="F16" s="98">
        <v>4</v>
      </c>
      <c r="G16" s="98">
        <v>2</v>
      </c>
      <c r="H16" s="98">
        <f>64*2</f>
        <v>128</v>
      </c>
      <c r="I16" s="98">
        <f t="shared" ref="I16:I17" si="22">4*64</f>
        <v>256</v>
      </c>
      <c r="J16" s="98">
        <f t="shared" ref="J16:J17" si="23">2*64</f>
        <v>128</v>
      </c>
      <c r="K16" s="157">
        <f t="shared" ref="K16:K17" si="24">L16/64</f>
        <v>332.515625</v>
      </c>
      <c r="L16" s="170">
        <v>21281</v>
      </c>
      <c r="M16" s="163"/>
      <c r="N16" s="106" t="s">
        <v>149</v>
      </c>
      <c r="O16" s="98" t="s">
        <v>153</v>
      </c>
      <c r="P16" s="108">
        <f t="shared" si="1"/>
        <v>0.11874798</v>
      </c>
      <c r="Q16" s="113">
        <f t="shared" si="2"/>
        <v>237.49596</v>
      </c>
      <c r="R16" s="113">
        <v>12</v>
      </c>
      <c r="S16" s="153" t="s">
        <v>208</v>
      </c>
      <c r="T16" s="179">
        <v>4.532</v>
      </c>
      <c r="U16" s="165">
        <f t="shared" si="14"/>
        <v>21281</v>
      </c>
      <c r="V16" s="106">
        <f t="shared" si="21"/>
        <v>9.2999999999999995E-4</v>
      </c>
      <c r="W16" s="52"/>
      <c r="X16" s="109">
        <f t="shared" si="4"/>
        <v>0.99793919999999992</v>
      </c>
      <c r="Y16" s="109">
        <f t="shared" si="5"/>
        <v>0.49896959999999996</v>
      </c>
      <c r="Z16" s="106">
        <v>8760</v>
      </c>
      <c r="AA16" s="121">
        <f t="shared" si="6"/>
        <v>0.22783999999999999</v>
      </c>
      <c r="AB16" s="98">
        <f t="shared" ref="AB16:AB22" si="25">1/100</f>
        <v>0.01</v>
      </c>
      <c r="AC16" s="154" t="s">
        <v>217</v>
      </c>
      <c r="AD16" s="157">
        <f>H16</f>
        <v>128</v>
      </c>
      <c r="AE16" s="121">
        <v>0.04</v>
      </c>
      <c r="AF16" s="121">
        <f t="shared" si="15"/>
        <v>0.06</v>
      </c>
      <c r="AG16" s="158">
        <v>2.3E-2</v>
      </c>
      <c r="AH16" s="115">
        <f t="shared" si="8"/>
        <v>1.6819200000000003E-2</v>
      </c>
      <c r="AI16" s="106">
        <v>8760</v>
      </c>
      <c r="AJ16" s="99">
        <f t="shared" si="9"/>
        <v>3.8400000000000001E-3</v>
      </c>
      <c r="AK16" s="114">
        <f t="shared" si="10"/>
        <v>2E-3</v>
      </c>
      <c r="AL16" s="154" t="s">
        <v>208</v>
      </c>
      <c r="AM16" s="52">
        <f>I16</f>
        <v>256</v>
      </c>
      <c r="AN16" s="87">
        <v>1E-4</v>
      </c>
      <c r="AO16" s="173">
        <f t="shared" si="0"/>
        <v>1E-4</v>
      </c>
      <c r="AP16" s="52">
        <v>7.4999999999999997E-3</v>
      </c>
      <c r="AQ16" s="52"/>
      <c r="AR16" s="115">
        <f t="shared" si="11"/>
        <v>5.0457599999999991E-2</v>
      </c>
      <c r="AS16" s="106">
        <v>8760</v>
      </c>
      <c r="AT16" s="176">
        <f t="shared" si="12"/>
        <v>1.1519999999999999E-2</v>
      </c>
      <c r="AU16" s="118">
        <f t="shared" si="13"/>
        <v>1.2E-2</v>
      </c>
      <c r="AV16" s="154" t="s">
        <v>208</v>
      </c>
      <c r="AW16" s="52">
        <f>J16</f>
        <v>128</v>
      </c>
      <c r="AX16" s="175">
        <v>5.5999999999999999E-3</v>
      </c>
      <c r="AY16" s="173">
        <f t="shared" si="17"/>
        <v>5.5999999999999999E-3</v>
      </c>
      <c r="AZ16" s="52">
        <v>7.4999999999999997E-3</v>
      </c>
      <c r="BA16" s="52"/>
    </row>
    <row r="17" spans="2:53" s="119" customFormat="1" x14ac:dyDescent="0.2">
      <c r="B17" s="163" t="s">
        <v>7</v>
      </c>
      <c r="C17" s="163" t="s">
        <v>83</v>
      </c>
      <c r="D17" s="98">
        <v>64</v>
      </c>
      <c r="E17" s="52" t="s">
        <v>71</v>
      </c>
      <c r="F17" s="98">
        <v>4</v>
      </c>
      <c r="G17" s="98">
        <v>2</v>
      </c>
      <c r="H17" s="98">
        <f>64*2</f>
        <v>128</v>
      </c>
      <c r="I17" s="98">
        <f t="shared" si="22"/>
        <v>256</v>
      </c>
      <c r="J17" s="98">
        <f t="shared" si="23"/>
        <v>128</v>
      </c>
      <c r="K17" s="157">
        <f t="shared" si="24"/>
        <v>332.515625</v>
      </c>
      <c r="L17" s="170">
        <v>21281</v>
      </c>
      <c r="M17" s="163"/>
      <c r="N17" s="106" t="s">
        <v>149</v>
      </c>
      <c r="O17" s="98" t="s">
        <v>153</v>
      </c>
      <c r="P17" s="108">
        <f t="shared" si="1"/>
        <v>0.11874798</v>
      </c>
      <c r="Q17" s="113">
        <f t="shared" si="2"/>
        <v>237.49596</v>
      </c>
      <c r="R17" s="113">
        <v>12</v>
      </c>
      <c r="S17" s="153" t="s">
        <v>208</v>
      </c>
      <c r="T17" s="179">
        <v>4.6880000000000006</v>
      </c>
      <c r="U17" s="165">
        <f t="shared" si="14"/>
        <v>21281</v>
      </c>
      <c r="V17" s="106">
        <f t="shared" si="21"/>
        <v>9.2999999999999995E-4</v>
      </c>
      <c r="W17" s="52"/>
      <c r="X17" s="109">
        <f t="shared" si="4"/>
        <v>0.99793919999999992</v>
      </c>
      <c r="Y17" s="109">
        <f t="shared" si="5"/>
        <v>0.49896959999999996</v>
      </c>
      <c r="Z17" s="106">
        <v>8760</v>
      </c>
      <c r="AA17" s="121">
        <f t="shared" si="6"/>
        <v>0.22783999999999999</v>
      </c>
      <c r="AB17" s="98">
        <f t="shared" si="25"/>
        <v>0.01</v>
      </c>
      <c r="AC17" s="154" t="s">
        <v>217</v>
      </c>
      <c r="AD17" s="157">
        <f>H17</f>
        <v>128</v>
      </c>
      <c r="AE17" s="121">
        <v>0.04</v>
      </c>
      <c r="AF17" s="121">
        <f t="shared" si="15"/>
        <v>0.06</v>
      </c>
      <c r="AG17" s="158">
        <v>2.3E-2</v>
      </c>
      <c r="AH17" s="115">
        <f t="shared" si="8"/>
        <v>1.6819200000000003E-2</v>
      </c>
      <c r="AI17" s="106">
        <v>8760</v>
      </c>
      <c r="AJ17" s="99">
        <f t="shared" si="9"/>
        <v>3.8400000000000001E-3</v>
      </c>
      <c r="AK17" s="114">
        <f t="shared" si="10"/>
        <v>2E-3</v>
      </c>
      <c r="AL17" s="154" t="s">
        <v>208</v>
      </c>
      <c r="AM17" s="52">
        <f>I17</f>
        <v>256</v>
      </c>
      <c r="AN17" s="87">
        <v>0</v>
      </c>
      <c r="AO17" s="173">
        <f t="shared" si="0"/>
        <v>0</v>
      </c>
      <c r="AP17" s="52">
        <v>7.4999999999999997E-3</v>
      </c>
      <c r="AQ17" s="52"/>
      <c r="AR17" s="115">
        <f t="shared" si="11"/>
        <v>5.0457599999999991E-2</v>
      </c>
      <c r="AS17" s="106">
        <v>8760</v>
      </c>
      <c r="AT17" s="176">
        <f t="shared" si="12"/>
        <v>1.1519999999999999E-2</v>
      </c>
      <c r="AU17" s="118">
        <f t="shared" si="13"/>
        <v>1.2E-2</v>
      </c>
      <c r="AV17" s="154" t="s">
        <v>208</v>
      </c>
      <c r="AW17" s="52">
        <f>J17</f>
        <v>128</v>
      </c>
      <c r="AX17" s="175">
        <v>7.1999999999999998E-3</v>
      </c>
      <c r="AY17" s="173">
        <f t="shared" si="17"/>
        <v>7.1999999999999998E-3</v>
      </c>
      <c r="AZ17" s="52">
        <v>7.4999999999999997E-3</v>
      </c>
      <c r="BA17" s="52"/>
    </row>
    <row r="18" spans="2:53" s="119" customFormat="1" x14ac:dyDescent="0.2">
      <c r="B18" s="163" t="s">
        <v>7</v>
      </c>
      <c r="C18" s="163" t="s">
        <v>84</v>
      </c>
      <c r="D18" s="98">
        <v>61</v>
      </c>
      <c r="E18" s="52" t="s">
        <v>71</v>
      </c>
      <c r="F18" s="98">
        <v>4</v>
      </c>
      <c r="G18" s="98">
        <v>2</v>
      </c>
      <c r="H18" s="98">
        <f>61*2</f>
        <v>122</v>
      </c>
      <c r="I18" s="98">
        <f>4*61</f>
        <v>244</v>
      </c>
      <c r="J18" s="98">
        <f>2*61</f>
        <v>122</v>
      </c>
      <c r="K18" s="157">
        <f>L18/61</f>
        <v>335.22950819672133</v>
      </c>
      <c r="L18" s="170">
        <v>20449</v>
      </c>
      <c r="M18" s="163"/>
      <c r="N18" s="106" t="s">
        <v>149</v>
      </c>
      <c r="O18" s="98" t="s">
        <v>153</v>
      </c>
      <c r="P18" s="108">
        <f t="shared" si="1"/>
        <v>0.11410542</v>
      </c>
      <c r="Q18" s="113">
        <f t="shared" si="2"/>
        <v>228.21083999999999</v>
      </c>
      <c r="R18" s="113">
        <v>12</v>
      </c>
      <c r="S18" s="153" t="s">
        <v>208</v>
      </c>
      <c r="T18" s="179">
        <v>3.6100000000000003</v>
      </c>
      <c r="U18" s="165">
        <f t="shared" si="14"/>
        <v>20449</v>
      </c>
      <c r="V18" s="106">
        <f t="shared" si="21"/>
        <v>9.2999999999999995E-4</v>
      </c>
      <c r="W18" s="52"/>
      <c r="X18" s="109">
        <f t="shared" si="4"/>
        <v>0.95116080000000003</v>
      </c>
      <c r="Y18" s="109">
        <f t="shared" si="5"/>
        <v>0.47558040000000001</v>
      </c>
      <c r="Z18" s="106">
        <v>8760</v>
      </c>
      <c r="AA18" s="121">
        <f t="shared" si="6"/>
        <v>0.21715999999999999</v>
      </c>
      <c r="AB18" s="98">
        <f t="shared" si="25"/>
        <v>0.01</v>
      </c>
      <c r="AC18" s="154" t="s">
        <v>217</v>
      </c>
      <c r="AD18" s="157">
        <f>H18</f>
        <v>122</v>
      </c>
      <c r="AE18" s="121">
        <v>0.04</v>
      </c>
      <c r="AF18" s="121">
        <f t="shared" si="15"/>
        <v>0.06</v>
      </c>
      <c r="AG18" s="158">
        <v>2.3E-2</v>
      </c>
      <c r="AH18" s="115">
        <f t="shared" si="8"/>
        <v>1.6030799999999998E-2</v>
      </c>
      <c r="AI18" s="106">
        <v>8760</v>
      </c>
      <c r="AJ18" s="99">
        <f t="shared" si="9"/>
        <v>3.6599999999999996E-3</v>
      </c>
      <c r="AK18" s="114">
        <f t="shared" si="10"/>
        <v>2E-3</v>
      </c>
      <c r="AL18" s="154" t="s">
        <v>208</v>
      </c>
      <c r="AM18" s="52">
        <f>I18</f>
        <v>244</v>
      </c>
      <c r="AN18" s="87">
        <v>0</v>
      </c>
      <c r="AO18" s="173">
        <f t="shared" si="0"/>
        <v>0</v>
      </c>
      <c r="AP18" s="52">
        <v>7.4999999999999997E-3</v>
      </c>
      <c r="AQ18" s="52"/>
      <c r="AR18" s="115">
        <f t="shared" si="11"/>
        <v>4.80924E-2</v>
      </c>
      <c r="AS18" s="106">
        <v>8760</v>
      </c>
      <c r="AT18" s="176">
        <f t="shared" si="12"/>
        <v>1.098E-2</v>
      </c>
      <c r="AU18" s="118">
        <f t="shared" si="13"/>
        <v>1.2E-2</v>
      </c>
      <c r="AV18" s="154" t="s">
        <v>208</v>
      </c>
      <c r="AW18" s="52">
        <f>J18</f>
        <v>122</v>
      </c>
      <c r="AX18" s="175">
        <v>5.7000000000000002E-3</v>
      </c>
      <c r="AY18" s="173">
        <f t="shared" si="17"/>
        <v>5.7000000000000002E-3</v>
      </c>
      <c r="AZ18" s="52">
        <v>7.4999999999999997E-3</v>
      </c>
      <c r="BA18" s="52"/>
    </row>
    <row r="19" spans="2:53" s="119" customFormat="1" x14ac:dyDescent="0.2">
      <c r="B19" s="163" t="s">
        <v>7</v>
      </c>
      <c r="C19" s="163" t="s">
        <v>85</v>
      </c>
      <c r="D19" s="98">
        <v>61</v>
      </c>
      <c r="E19" s="52" t="s">
        <v>71</v>
      </c>
      <c r="F19" s="98">
        <v>4</v>
      </c>
      <c r="G19" s="98">
        <v>2</v>
      </c>
      <c r="H19" s="98">
        <f>61*2</f>
        <v>122</v>
      </c>
      <c r="I19" s="98">
        <f t="shared" ref="I19:I20" si="26">4*61</f>
        <v>244</v>
      </c>
      <c r="J19" s="98">
        <f t="shared" ref="J19:J20" si="27">2*61</f>
        <v>122</v>
      </c>
      <c r="K19" s="157">
        <f t="shared" ref="K19:K20" si="28">L19/61</f>
        <v>335.22950819672133</v>
      </c>
      <c r="L19" s="170">
        <v>20449</v>
      </c>
      <c r="M19" s="163"/>
      <c r="N19" s="106" t="s">
        <v>149</v>
      </c>
      <c r="O19" s="98" t="s">
        <v>153</v>
      </c>
      <c r="P19" s="108">
        <f t="shared" si="1"/>
        <v>0.11410542</v>
      </c>
      <c r="Q19" s="113">
        <f t="shared" si="2"/>
        <v>228.21083999999999</v>
      </c>
      <c r="R19" s="113">
        <v>12</v>
      </c>
      <c r="S19" s="153" t="s">
        <v>208</v>
      </c>
      <c r="T19" s="179">
        <v>3.7719999999999998</v>
      </c>
      <c r="U19" s="165">
        <f t="shared" si="14"/>
        <v>20449</v>
      </c>
      <c r="V19" s="106">
        <f t="shared" si="21"/>
        <v>9.2999999999999995E-4</v>
      </c>
      <c r="W19" s="52"/>
      <c r="X19" s="109">
        <f t="shared" si="4"/>
        <v>0.95116080000000003</v>
      </c>
      <c r="Y19" s="109">
        <f t="shared" si="5"/>
        <v>0.47558040000000001</v>
      </c>
      <c r="Z19" s="106">
        <v>8760</v>
      </c>
      <c r="AA19" s="121">
        <f t="shared" si="6"/>
        <v>0.21715999999999999</v>
      </c>
      <c r="AB19" s="98">
        <f t="shared" si="25"/>
        <v>0.01</v>
      </c>
      <c r="AC19" s="154" t="s">
        <v>217</v>
      </c>
      <c r="AD19" s="157">
        <f>H19</f>
        <v>122</v>
      </c>
      <c r="AE19" s="121">
        <v>0.04</v>
      </c>
      <c r="AF19" s="121">
        <f t="shared" si="15"/>
        <v>0.06</v>
      </c>
      <c r="AG19" s="158">
        <v>2.3E-2</v>
      </c>
      <c r="AH19" s="115">
        <f t="shared" si="8"/>
        <v>1.6030799999999998E-2</v>
      </c>
      <c r="AI19" s="106">
        <v>8760</v>
      </c>
      <c r="AJ19" s="99">
        <f t="shared" si="9"/>
        <v>3.6599999999999996E-3</v>
      </c>
      <c r="AK19" s="114">
        <f t="shared" si="10"/>
        <v>2E-3</v>
      </c>
      <c r="AL19" s="154" t="s">
        <v>208</v>
      </c>
      <c r="AM19" s="52">
        <f>I19</f>
        <v>244</v>
      </c>
      <c r="AN19" s="87">
        <v>0</v>
      </c>
      <c r="AO19" s="173">
        <f t="shared" si="0"/>
        <v>0</v>
      </c>
      <c r="AP19" s="52">
        <v>7.4999999999999997E-3</v>
      </c>
      <c r="AQ19" s="52"/>
      <c r="AR19" s="115">
        <f t="shared" si="11"/>
        <v>4.80924E-2</v>
      </c>
      <c r="AS19" s="106">
        <v>8760</v>
      </c>
      <c r="AT19" s="176">
        <f t="shared" si="12"/>
        <v>1.098E-2</v>
      </c>
      <c r="AU19" s="118">
        <f t="shared" si="13"/>
        <v>1.2E-2</v>
      </c>
      <c r="AV19" s="154" t="s">
        <v>208</v>
      </c>
      <c r="AW19" s="52">
        <f>J19</f>
        <v>122</v>
      </c>
      <c r="AX19" s="175">
        <v>7.1999999999999998E-3</v>
      </c>
      <c r="AY19" s="173">
        <f t="shared" si="17"/>
        <v>7.1999999999999998E-3</v>
      </c>
      <c r="AZ19" s="52">
        <v>7.4999999999999997E-3</v>
      </c>
      <c r="BA19" s="52"/>
    </row>
    <row r="20" spans="2:53" s="119" customFormat="1" x14ac:dyDescent="0.2">
      <c r="B20" s="163" t="s">
        <v>7</v>
      </c>
      <c r="C20" s="163" t="s">
        <v>86</v>
      </c>
      <c r="D20" s="98">
        <v>61</v>
      </c>
      <c r="E20" s="52" t="s">
        <v>71</v>
      </c>
      <c r="F20" s="98">
        <v>4</v>
      </c>
      <c r="G20" s="98">
        <v>2</v>
      </c>
      <c r="H20" s="98">
        <f>61*2</f>
        <v>122</v>
      </c>
      <c r="I20" s="98">
        <f t="shared" si="26"/>
        <v>244</v>
      </c>
      <c r="J20" s="98">
        <f t="shared" si="27"/>
        <v>122</v>
      </c>
      <c r="K20" s="157">
        <f t="shared" si="28"/>
        <v>335.22950819672133</v>
      </c>
      <c r="L20" s="170">
        <v>20449</v>
      </c>
      <c r="M20" s="163"/>
      <c r="N20" s="106" t="s">
        <v>149</v>
      </c>
      <c r="O20" s="98" t="s">
        <v>153</v>
      </c>
      <c r="P20" s="108">
        <f t="shared" si="1"/>
        <v>0.11410542</v>
      </c>
      <c r="Q20" s="113">
        <f t="shared" si="2"/>
        <v>228.21083999999999</v>
      </c>
      <c r="R20" s="113">
        <v>12</v>
      </c>
      <c r="S20" s="153" t="s">
        <v>208</v>
      </c>
      <c r="T20" s="179">
        <v>3.7679999999999998</v>
      </c>
      <c r="U20" s="165">
        <f t="shared" si="14"/>
        <v>20449</v>
      </c>
      <c r="V20" s="106">
        <f t="shared" si="21"/>
        <v>9.2999999999999995E-4</v>
      </c>
      <c r="W20" s="52"/>
      <c r="X20" s="109">
        <f t="shared" si="4"/>
        <v>0.95116080000000003</v>
      </c>
      <c r="Y20" s="109">
        <f t="shared" si="5"/>
        <v>0.47558040000000001</v>
      </c>
      <c r="Z20" s="106">
        <v>8760</v>
      </c>
      <c r="AA20" s="121">
        <f t="shared" si="6"/>
        <v>0.21715999999999999</v>
      </c>
      <c r="AB20" s="98">
        <f t="shared" si="25"/>
        <v>0.01</v>
      </c>
      <c r="AC20" s="154" t="s">
        <v>217</v>
      </c>
      <c r="AD20" s="157">
        <f>H20</f>
        <v>122</v>
      </c>
      <c r="AE20" s="121">
        <v>0.04</v>
      </c>
      <c r="AF20" s="121">
        <f t="shared" si="15"/>
        <v>0.06</v>
      </c>
      <c r="AG20" s="158">
        <v>2.3E-2</v>
      </c>
      <c r="AH20" s="115">
        <f t="shared" si="8"/>
        <v>1.6030799999999998E-2</v>
      </c>
      <c r="AI20" s="106">
        <v>8760</v>
      </c>
      <c r="AJ20" s="99">
        <f t="shared" si="9"/>
        <v>3.6599999999999996E-3</v>
      </c>
      <c r="AK20" s="114">
        <f t="shared" si="10"/>
        <v>2E-3</v>
      </c>
      <c r="AL20" s="154" t="s">
        <v>208</v>
      </c>
      <c r="AM20" s="52">
        <f>I20</f>
        <v>244</v>
      </c>
      <c r="AN20" s="87">
        <v>0</v>
      </c>
      <c r="AO20" s="173">
        <f t="shared" si="0"/>
        <v>0</v>
      </c>
      <c r="AP20" s="52">
        <v>7.4999999999999997E-3</v>
      </c>
      <c r="AQ20" s="52"/>
      <c r="AR20" s="115">
        <f t="shared" si="11"/>
        <v>4.80924E-2</v>
      </c>
      <c r="AS20" s="106">
        <v>8760</v>
      </c>
      <c r="AT20" s="176">
        <f t="shared" si="12"/>
        <v>1.098E-2</v>
      </c>
      <c r="AU20" s="118">
        <f t="shared" si="13"/>
        <v>1.2E-2</v>
      </c>
      <c r="AV20" s="154" t="s">
        <v>208</v>
      </c>
      <c r="AW20" s="52">
        <f>J20</f>
        <v>122</v>
      </c>
      <c r="AX20" s="175">
        <v>3.8999999999999998E-3</v>
      </c>
      <c r="AY20" s="173">
        <f t="shared" si="17"/>
        <v>3.8999999999999998E-3</v>
      </c>
      <c r="AZ20" s="52">
        <v>7.4999999999999997E-3</v>
      </c>
      <c r="BA20" s="52"/>
    </row>
    <row r="21" spans="2:53" s="119" customFormat="1" x14ac:dyDescent="0.2">
      <c r="B21" s="163" t="s">
        <v>7</v>
      </c>
      <c r="C21" s="163" t="s">
        <v>87</v>
      </c>
      <c r="D21" s="98">
        <v>87</v>
      </c>
      <c r="E21" s="52" t="s">
        <v>71</v>
      </c>
      <c r="F21" s="98">
        <v>4</v>
      </c>
      <c r="G21" s="98">
        <v>2</v>
      </c>
      <c r="H21" s="98">
        <f>87*2</f>
        <v>174</v>
      </c>
      <c r="I21" s="98">
        <f>4*87</f>
        <v>348</v>
      </c>
      <c r="J21" s="98">
        <f>2*87</f>
        <v>174</v>
      </c>
      <c r="K21" s="157">
        <f>L21/87</f>
        <v>348.32183908045977</v>
      </c>
      <c r="L21" s="170">
        <v>30304</v>
      </c>
      <c r="M21" s="163"/>
      <c r="N21" s="106" t="s">
        <v>149</v>
      </c>
      <c r="O21" s="98" t="s">
        <v>153</v>
      </c>
      <c r="P21" s="108">
        <f t="shared" si="1"/>
        <v>0.16909631999999999</v>
      </c>
      <c r="Q21" s="113">
        <f t="shared" si="2"/>
        <v>338.19263999999998</v>
      </c>
      <c r="R21" s="113">
        <v>12</v>
      </c>
      <c r="S21" s="153" t="s">
        <v>208</v>
      </c>
      <c r="T21" s="179">
        <v>4.4659999999999993</v>
      </c>
      <c r="U21" s="165">
        <f t="shared" si="14"/>
        <v>30304</v>
      </c>
      <c r="V21" s="106">
        <f t="shared" si="21"/>
        <v>9.2999999999999995E-4</v>
      </c>
      <c r="W21" s="52"/>
      <c r="X21" s="112">
        <f t="shared" si="4"/>
        <v>1.3565735999999999</v>
      </c>
      <c r="Y21" s="109">
        <f t="shared" si="5"/>
        <v>0.67828679999999997</v>
      </c>
      <c r="Z21" s="106">
        <v>8760</v>
      </c>
      <c r="AA21" s="121">
        <f t="shared" si="6"/>
        <v>0.30972</v>
      </c>
      <c r="AB21" s="98">
        <f t="shared" si="25"/>
        <v>0.01</v>
      </c>
      <c r="AC21" s="154" t="s">
        <v>217</v>
      </c>
      <c r="AD21" s="157">
        <f>H21</f>
        <v>174</v>
      </c>
      <c r="AE21" s="121">
        <v>0.04</v>
      </c>
      <c r="AF21" s="121">
        <f t="shared" si="15"/>
        <v>0.06</v>
      </c>
      <c r="AG21" s="158">
        <v>2.3E-2</v>
      </c>
      <c r="AH21" s="115">
        <f t="shared" si="8"/>
        <v>2.2863600000000001E-2</v>
      </c>
      <c r="AI21" s="106">
        <v>8760</v>
      </c>
      <c r="AJ21" s="99">
        <f t="shared" si="9"/>
        <v>5.2200000000000007E-3</v>
      </c>
      <c r="AK21" s="114">
        <f t="shared" si="10"/>
        <v>2E-3</v>
      </c>
      <c r="AL21" s="154" t="s">
        <v>208</v>
      </c>
      <c r="AM21" s="52">
        <f>I21</f>
        <v>348</v>
      </c>
      <c r="AN21" s="87">
        <v>0</v>
      </c>
      <c r="AO21" s="173">
        <f t="shared" si="0"/>
        <v>0</v>
      </c>
      <c r="AP21" s="52">
        <v>7.4999999999999997E-3</v>
      </c>
      <c r="AQ21" s="52"/>
      <c r="AR21" s="115">
        <f t="shared" si="11"/>
        <v>6.8590800000000007E-2</v>
      </c>
      <c r="AS21" s="106">
        <v>8760</v>
      </c>
      <c r="AT21" s="176">
        <f t="shared" si="12"/>
        <v>1.566E-2</v>
      </c>
      <c r="AU21" s="118">
        <f t="shared" si="13"/>
        <v>1.2E-2</v>
      </c>
      <c r="AV21" s="154" t="s">
        <v>208</v>
      </c>
      <c r="AW21" s="52">
        <f>J21</f>
        <v>174</v>
      </c>
      <c r="AX21" s="175">
        <v>1.24E-2</v>
      </c>
      <c r="AY21" s="173">
        <f t="shared" si="17"/>
        <v>1.24E-2</v>
      </c>
      <c r="AZ21" s="52">
        <v>7.4999999999999997E-3</v>
      </c>
      <c r="BA21" s="52"/>
    </row>
    <row r="22" spans="2:53" s="119" customFormat="1" x14ac:dyDescent="0.2">
      <c r="B22" s="163" t="s">
        <v>7</v>
      </c>
      <c r="C22" s="163" t="s">
        <v>88</v>
      </c>
      <c r="D22" s="98">
        <v>87</v>
      </c>
      <c r="E22" s="52" t="s">
        <v>71</v>
      </c>
      <c r="F22" s="98">
        <v>4</v>
      </c>
      <c r="G22" s="98">
        <v>2</v>
      </c>
      <c r="H22" s="98">
        <f>87*2</f>
        <v>174</v>
      </c>
      <c r="I22" s="98">
        <f>4*87</f>
        <v>348</v>
      </c>
      <c r="J22" s="98">
        <f>2*87</f>
        <v>174</v>
      </c>
      <c r="K22" s="157">
        <f t="shared" ref="K22" si="29">L22/87</f>
        <v>348.32183908045977</v>
      </c>
      <c r="L22" s="170">
        <v>30304</v>
      </c>
      <c r="M22" s="163"/>
      <c r="N22" s="106" t="s">
        <v>149</v>
      </c>
      <c r="O22" s="98" t="s">
        <v>153</v>
      </c>
      <c r="P22" s="108">
        <f t="shared" si="1"/>
        <v>0.16909631999999999</v>
      </c>
      <c r="Q22" s="113">
        <f t="shared" si="2"/>
        <v>338.19263999999998</v>
      </c>
      <c r="R22" s="113">
        <v>12</v>
      </c>
      <c r="S22" s="153" t="s">
        <v>208</v>
      </c>
      <c r="T22" s="179">
        <v>4.1180000000000003</v>
      </c>
      <c r="U22" s="165">
        <f t="shared" si="14"/>
        <v>30304</v>
      </c>
      <c r="V22" s="106">
        <f t="shared" si="21"/>
        <v>9.2999999999999995E-4</v>
      </c>
      <c r="W22" s="52"/>
      <c r="X22" s="112">
        <f t="shared" si="4"/>
        <v>1.3565735999999999</v>
      </c>
      <c r="Y22" s="109">
        <f t="shared" si="5"/>
        <v>0.67828679999999997</v>
      </c>
      <c r="Z22" s="106">
        <v>8760</v>
      </c>
      <c r="AA22" s="121">
        <f t="shared" si="6"/>
        <v>0.30972</v>
      </c>
      <c r="AB22" s="98">
        <f t="shared" si="25"/>
        <v>0.01</v>
      </c>
      <c r="AC22" s="154" t="s">
        <v>217</v>
      </c>
      <c r="AD22" s="157">
        <f>H22</f>
        <v>174</v>
      </c>
      <c r="AE22" s="121">
        <v>0.04</v>
      </c>
      <c r="AF22" s="121">
        <f t="shared" si="15"/>
        <v>0.06</v>
      </c>
      <c r="AG22" s="158">
        <v>2.3E-2</v>
      </c>
      <c r="AH22" s="115">
        <f t="shared" si="8"/>
        <v>2.2863600000000001E-2</v>
      </c>
      <c r="AI22" s="106">
        <v>8760</v>
      </c>
      <c r="AJ22" s="99">
        <f t="shared" si="9"/>
        <v>5.2200000000000007E-3</v>
      </c>
      <c r="AK22" s="114">
        <f t="shared" si="10"/>
        <v>2E-3</v>
      </c>
      <c r="AL22" s="154" t="s">
        <v>208</v>
      </c>
      <c r="AM22" s="52">
        <f>I22</f>
        <v>348</v>
      </c>
      <c r="AN22" s="87">
        <v>1E-4</v>
      </c>
      <c r="AO22" s="173">
        <f t="shared" si="0"/>
        <v>1E-4</v>
      </c>
      <c r="AP22" s="52">
        <v>7.4999999999999997E-3</v>
      </c>
      <c r="AQ22" s="52"/>
      <c r="AR22" s="115">
        <f t="shared" si="11"/>
        <v>6.8590800000000007E-2</v>
      </c>
      <c r="AS22" s="106">
        <v>8760</v>
      </c>
      <c r="AT22" s="176">
        <f t="shared" si="12"/>
        <v>1.566E-2</v>
      </c>
      <c r="AU22" s="118">
        <f t="shared" si="13"/>
        <v>1.2E-2</v>
      </c>
      <c r="AV22" s="154" t="s">
        <v>208</v>
      </c>
      <c r="AW22" s="52">
        <f>J22</f>
        <v>174</v>
      </c>
      <c r="AX22" s="175">
        <v>1.0500000000000001E-2</v>
      </c>
      <c r="AY22" s="173">
        <f t="shared" si="17"/>
        <v>1.0500000000000001E-2</v>
      </c>
      <c r="AZ22" s="52">
        <v>7.4999999999999997E-3</v>
      </c>
      <c r="BA22" s="52"/>
    </row>
    <row r="23" spans="2:53" s="119" customFormat="1" x14ac:dyDescent="0.2">
      <c r="B23" s="163" t="s">
        <v>7</v>
      </c>
      <c r="C23" s="163" t="s">
        <v>8</v>
      </c>
      <c r="D23" s="98">
        <v>75</v>
      </c>
      <c r="E23" s="52" t="s">
        <v>71</v>
      </c>
      <c r="F23" s="98">
        <v>4</v>
      </c>
      <c r="G23" s="98">
        <v>2</v>
      </c>
      <c r="H23" s="98">
        <f>75*2</f>
        <v>150</v>
      </c>
      <c r="I23" s="98">
        <f>4*75</f>
        <v>300</v>
      </c>
      <c r="J23" s="98">
        <f>2*75</f>
        <v>150</v>
      </c>
      <c r="K23" s="157">
        <f>L23/75</f>
        <v>377.04</v>
      </c>
      <c r="L23" s="170">
        <v>28278</v>
      </c>
      <c r="M23" s="163"/>
      <c r="N23" s="106" t="s">
        <v>149</v>
      </c>
      <c r="O23" s="98" t="s">
        <v>153</v>
      </c>
      <c r="P23" s="108">
        <f t="shared" si="1"/>
        <v>0.15779124</v>
      </c>
      <c r="Q23" s="113">
        <f t="shared" si="2"/>
        <v>315.58247999999998</v>
      </c>
      <c r="R23" s="113">
        <v>12</v>
      </c>
      <c r="S23" s="153" t="s">
        <v>208</v>
      </c>
      <c r="T23" s="179">
        <v>4.34</v>
      </c>
      <c r="U23" s="165">
        <f t="shared" si="14"/>
        <v>28278</v>
      </c>
      <c r="V23" s="106">
        <f t="shared" si="21"/>
        <v>9.2999999999999995E-4</v>
      </c>
      <c r="W23" s="52"/>
      <c r="X23" s="109">
        <f t="shared" si="4"/>
        <v>1.3008599999999999</v>
      </c>
      <c r="Y23" s="109">
        <f t="shared" si="5"/>
        <v>0.65042999999999995</v>
      </c>
      <c r="Z23" s="106">
        <v>8760</v>
      </c>
      <c r="AA23" s="121">
        <f t="shared" si="6"/>
        <v>0.29699999999999999</v>
      </c>
      <c r="AB23" s="98">
        <f>1.5/100</f>
        <v>1.4999999999999999E-2</v>
      </c>
      <c r="AC23" s="154" t="s">
        <v>210</v>
      </c>
      <c r="AD23" s="157">
        <f>H23</f>
        <v>150</v>
      </c>
      <c r="AE23" s="121">
        <v>0.04</v>
      </c>
      <c r="AF23" s="121">
        <f t="shared" si="15"/>
        <v>0.06</v>
      </c>
      <c r="AG23" s="158">
        <v>2.3E-2</v>
      </c>
      <c r="AH23" s="115">
        <f t="shared" si="8"/>
        <v>1.9709999999999998E-2</v>
      </c>
      <c r="AI23" s="106">
        <v>8760</v>
      </c>
      <c r="AJ23" s="99">
        <f t="shared" si="9"/>
        <v>4.4999999999999997E-3</v>
      </c>
      <c r="AK23" s="114">
        <f t="shared" si="10"/>
        <v>2E-3</v>
      </c>
      <c r="AL23" s="154" t="s">
        <v>208</v>
      </c>
      <c r="AM23" s="52">
        <f>I23</f>
        <v>300</v>
      </c>
      <c r="AN23" s="87">
        <v>1E-4</v>
      </c>
      <c r="AO23" s="173">
        <f t="shared" si="0"/>
        <v>1E-4</v>
      </c>
      <c r="AP23" s="52">
        <v>7.4999999999999997E-3</v>
      </c>
      <c r="AQ23" s="52"/>
      <c r="AR23" s="115">
        <f t="shared" si="11"/>
        <v>5.9130000000000002E-2</v>
      </c>
      <c r="AS23" s="106">
        <v>8760</v>
      </c>
      <c r="AT23" s="176">
        <f t="shared" si="12"/>
        <v>1.35E-2</v>
      </c>
      <c r="AU23" s="118">
        <f t="shared" si="13"/>
        <v>1.2E-2</v>
      </c>
      <c r="AV23" s="154" t="s">
        <v>208</v>
      </c>
      <c r="AW23" s="52">
        <f>J23</f>
        <v>150</v>
      </c>
      <c r="AX23" s="175">
        <v>1.6999999999999999E-3</v>
      </c>
      <c r="AY23" s="173">
        <f t="shared" si="17"/>
        <v>1.6999999999999999E-3</v>
      </c>
      <c r="AZ23" s="52">
        <v>7.4999999999999997E-3</v>
      </c>
      <c r="BA23" s="52"/>
    </row>
    <row r="24" spans="2:53" s="119" customFormat="1" x14ac:dyDescent="0.2">
      <c r="B24" s="163" t="s">
        <v>7</v>
      </c>
      <c r="C24" s="163" t="s">
        <v>89</v>
      </c>
      <c r="D24" s="98">
        <v>84</v>
      </c>
      <c r="E24" s="52" t="s">
        <v>71</v>
      </c>
      <c r="F24" s="98">
        <v>5</v>
      </c>
      <c r="G24" s="98">
        <v>1</v>
      </c>
      <c r="H24" s="98">
        <f>84*2</f>
        <v>168</v>
      </c>
      <c r="I24" s="98">
        <f>5*84</f>
        <v>420</v>
      </c>
      <c r="J24" s="98">
        <v>84</v>
      </c>
      <c r="K24" s="157">
        <f>L24/84</f>
        <v>432.48809523809524</v>
      </c>
      <c r="L24" s="170">
        <v>36329</v>
      </c>
      <c r="M24" s="163"/>
      <c r="N24" s="106" t="s">
        <v>149</v>
      </c>
      <c r="O24" s="98" t="s">
        <v>153</v>
      </c>
      <c r="P24" s="109">
        <f t="shared" si="1"/>
        <v>0.20271581999999999</v>
      </c>
      <c r="Q24" s="113">
        <f t="shared" si="2"/>
        <v>405.43163999999996</v>
      </c>
      <c r="R24" s="113">
        <v>12</v>
      </c>
      <c r="S24" s="153" t="s">
        <v>208</v>
      </c>
      <c r="T24" s="179">
        <v>37.531999999999996</v>
      </c>
      <c r="U24" s="165">
        <f t="shared" si="14"/>
        <v>36329</v>
      </c>
      <c r="V24" s="106">
        <f t="shared" si="21"/>
        <v>9.2999999999999995E-4</v>
      </c>
      <c r="W24" s="52"/>
      <c r="X24" s="112">
        <f t="shared" si="4"/>
        <v>1.4569631999999999</v>
      </c>
      <c r="Y24" s="109">
        <f t="shared" si="5"/>
        <v>0.72848159999999995</v>
      </c>
      <c r="Z24" s="106">
        <v>8760</v>
      </c>
      <c r="AA24" s="121">
        <f t="shared" si="6"/>
        <v>0.33263999999999999</v>
      </c>
      <c r="AB24" s="98">
        <f>1.5/100</f>
        <v>1.4999999999999999E-2</v>
      </c>
      <c r="AC24" s="154" t="s">
        <v>210</v>
      </c>
      <c r="AD24" s="157">
        <f>H24</f>
        <v>168</v>
      </c>
      <c r="AE24" s="121">
        <v>0.04</v>
      </c>
      <c r="AF24" s="121">
        <f t="shared" si="15"/>
        <v>0.06</v>
      </c>
      <c r="AG24" s="158">
        <v>2.3E-2</v>
      </c>
      <c r="AH24" s="115">
        <f t="shared" si="8"/>
        <v>2.7593999999999997E-2</v>
      </c>
      <c r="AI24" s="106">
        <v>8760</v>
      </c>
      <c r="AJ24" s="99">
        <f t="shared" si="9"/>
        <v>6.2999999999999992E-3</v>
      </c>
      <c r="AK24" s="114">
        <f t="shared" si="10"/>
        <v>2E-3</v>
      </c>
      <c r="AL24" s="154" t="s">
        <v>208</v>
      </c>
      <c r="AM24" s="52">
        <f>I24</f>
        <v>420</v>
      </c>
      <c r="AN24" s="87">
        <v>0</v>
      </c>
      <c r="AO24" s="173">
        <f t="shared" si="0"/>
        <v>0</v>
      </c>
      <c r="AP24" s="52">
        <v>7.4999999999999997E-3</v>
      </c>
      <c r="AQ24" s="52"/>
      <c r="AR24" s="115">
        <f t="shared" si="11"/>
        <v>3.3112799999999998E-2</v>
      </c>
      <c r="AS24" s="106">
        <v>8760</v>
      </c>
      <c r="AT24" s="176">
        <f t="shared" si="12"/>
        <v>7.5599999999999999E-3</v>
      </c>
      <c r="AU24" s="118">
        <f t="shared" si="13"/>
        <v>1.2E-2</v>
      </c>
      <c r="AV24" s="154" t="s">
        <v>208</v>
      </c>
      <c r="AW24" s="52">
        <f>J24</f>
        <v>84</v>
      </c>
      <c r="AX24" s="175">
        <v>8.0000000000000004E-4</v>
      </c>
      <c r="AY24" s="173">
        <f t="shared" si="17"/>
        <v>8.0000000000000004E-4</v>
      </c>
      <c r="AZ24" s="52">
        <v>7.4999999999999997E-3</v>
      </c>
      <c r="BA24" s="52"/>
    </row>
    <row r="25" spans="2:53" s="119" customFormat="1" x14ac:dyDescent="0.2">
      <c r="B25" s="180" t="s">
        <v>90</v>
      </c>
      <c r="C25" s="181" t="s">
        <v>91</v>
      </c>
      <c r="D25" s="69">
        <v>78</v>
      </c>
      <c r="E25" s="68" t="s">
        <v>74</v>
      </c>
      <c r="F25" s="98"/>
      <c r="G25" s="98"/>
      <c r="H25" s="98">
        <f>D25*2</f>
        <v>156</v>
      </c>
      <c r="I25" s="98">
        <v>312</v>
      </c>
      <c r="J25" s="98">
        <v>78</v>
      </c>
      <c r="K25" s="98"/>
      <c r="L25" s="98"/>
      <c r="M25" s="163"/>
      <c r="N25" s="98"/>
      <c r="O25" s="98"/>
      <c r="P25" s="108">
        <f t="shared" si="1"/>
        <v>0.10961909999999998</v>
      </c>
      <c r="Q25" s="113">
        <f t="shared" si="2"/>
        <v>219.23819999999998</v>
      </c>
      <c r="R25" s="113">
        <v>12</v>
      </c>
      <c r="S25" s="153" t="s">
        <v>208</v>
      </c>
      <c r="T25" s="85">
        <v>3.7</v>
      </c>
      <c r="U25" s="182">
        <v>19645</v>
      </c>
      <c r="V25" s="106">
        <f t="shared" si="21"/>
        <v>9.2999999999999995E-4</v>
      </c>
      <c r="W25" s="68"/>
      <c r="X25" s="112">
        <f t="shared" si="4"/>
        <v>1.7628623999999997</v>
      </c>
      <c r="Y25" s="109">
        <f t="shared" si="5"/>
        <v>0.88143119999999986</v>
      </c>
      <c r="Z25" s="106">
        <v>8760</v>
      </c>
      <c r="AA25" s="121">
        <f t="shared" si="6"/>
        <v>0.40247999999999995</v>
      </c>
      <c r="AB25" s="98">
        <f t="shared" ref="AB25:AB30" si="30">3/100</f>
        <v>0.03</v>
      </c>
      <c r="AC25" s="154" t="s">
        <v>211</v>
      </c>
      <c r="AD25" s="157">
        <f>H25</f>
        <v>156</v>
      </c>
      <c r="AE25" s="121">
        <v>0.04</v>
      </c>
      <c r="AF25" s="121">
        <f t="shared" si="15"/>
        <v>0.06</v>
      </c>
      <c r="AG25" s="158">
        <v>2.3E-2</v>
      </c>
      <c r="AH25" s="115">
        <f t="shared" si="8"/>
        <v>2.04984E-2</v>
      </c>
      <c r="AI25" s="106">
        <v>8760</v>
      </c>
      <c r="AJ25" s="99">
        <f t="shared" si="9"/>
        <v>4.6800000000000001E-3</v>
      </c>
      <c r="AK25" s="114">
        <f t="shared" si="10"/>
        <v>2E-3</v>
      </c>
      <c r="AL25" s="154" t="s">
        <v>208</v>
      </c>
      <c r="AM25" s="52">
        <f>I25</f>
        <v>312</v>
      </c>
      <c r="AN25" s="87">
        <v>0</v>
      </c>
      <c r="AO25" s="173">
        <f t="shared" si="0"/>
        <v>0</v>
      </c>
      <c r="AP25" s="52">
        <v>7.4999999999999997E-3</v>
      </c>
      <c r="AQ25" s="68"/>
      <c r="AR25" s="115">
        <f t="shared" si="11"/>
        <v>3.0747600000000003E-2</v>
      </c>
      <c r="AS25" s="106">
        <v>8760</v>
      </c>
      <c r="AT25" s="176">
        <f t="shared" si="12"/>
        <v>7.0200000000000002E-3</v>
      </c>
      <c r="AU25" s="118">
        <f t="shared" si="13"/>
        <v>1.2E-2</v>
      </c>
      <c r="AV25" s="154" t="s">
        <v>208</v>
      </c>
      <c r="AW25" s="52">
        <f>J25</f>
        <v>78</v>
      </c>
      <c r="AX25" s="87">
        <v>2.9999999999999997E-4</v>
      </c>
      <c r="AY25" s="173">
        <f t="shared" si="17"/>
        <v>2.9999999999999997E-4</v>
      </c>
      <c r="AZ25" s="52">
        <v>7.4999999999999997E-3</v>
      </c>
      <c r="BA25" s="68"/>
    </row>
    <row r="26" spans="2:53" s="119" customFormat="1" x14ac:dyDescent="0.2">
      <c r="B26" s="52" t="s">
        <v>90</v>
      </c>
      <c r="C26" s="181" t="s">
        <v>81</v>
      </c>
      <c r="D26" s="69">
        <v>25</v>
      </c>
      <c r="E26" s="68" t="s">
        <v>74</v>
      </c>
      <c r="F26" s="98"/>
      <c r="G26" s="98"/>
      <c r="H26" s="98">
        <f t="shared" ref="H26:H30" si="31">D26*2</f>
        <v>50</v>
      </c>
      <c r="I26" s="98">
        <v>125</v>
      </c>
      <c r="J26" s="98">
        <v>25</v>
      </c>
      <c r="K26" s="69"/>
      <c r="L26" s="69"/>
      <c r="M26" s="163"/>
      <c r="N26" s="69"/>
      <c r="O26" s="69"/>
      <c r="P26" s="108">
        <f t="shared" si="1"/>
        <v>3.1588379999999999E-2</v>
      </c>
      <c r="Q26" s="113">
        <f t="shared" si="2"/>
        <v>63.176759999999994</v>
      </c>
      <c r="R26" s="113">
        <v>12</v>
      </c>
      <c r="S26" s="153" t="s">
        <v>208</v>
      </c>
      <c r="T26" s="85">
        <v>4.3</v>
      </c>
      <c r="U26" s="182">
        <v>5661</v>
      </c>
      <c r="V26" s="106">
        <f t="shared" si="21"/>
        <v>9.2999999999999995E-4</v>
      </c>
      <c r="W26" s="68"/>
      <c r="X26" s="109">
        <f t="shared" si="4"/>
        <v>0.56501999999999997</v>
      </c>
      <c r="Y26" s="109">
        <f t="shared" si="5"/>
        <v>0.28250999999999998</v>
      </c>
      <c r="Z26" s="106">
        <v>8760</v>
      </c>
      <c r="AA26" s="121">
        <f t="shared" si="6"/>
        <v>0.129</v>
      </c>
      <c r="AB26" s="98">
        <f t="shared" si="30"/>
        <v>0.03</v>
      </c>
      <c r="AC26" s="154" t="s">
        <v>211</v>
      </c>
      <c r="AD26" s="157">
        <f>H26</f>
        <v>50</v>
      </c>
      <c r="AE26" s="121">
        <v>0.04</v>
      </c>
      <c r="AF26" s="121">
        <f t="shared" si="15"/>
        <v>0.06</v>
      </c>
      <c r="AG26" s="158">
        <v>2.3E-2</v>
      </c>
      <c r="AH26" s="115">
        <f t="shared" si="8"/>
        <v>8.212500000000001E-3</v>
      </c>
      <c r="AI26" s="106">
        <v>8760</v>
      </c>
      <c r="AJ26" s="99">
        <f t="shared" si="9"/>
        <v>1.8749999999999999E-3</v>
      </c>
      <c r="AK26" s="114">
        <f t="shared" si="10"/>
        <v>2E-3</v>
      </c>
      <c r="AL26" s="154" t="s">
        <v>208</v>
      </c>
      <c r="AM26" s="52">
        <f>I26</f>
        <v>125</v>
      </c>
      <c r="AN26" s="87">
        <v>0</v>
      </c>
      <c r="AO26" s="173">
        <f t="shared" si="0"/>
        <v>0</v>
      </c>
      <c r="AP26" s="52">
        <v>7.4999999999999997E-3</v>
      </c>
      <c r="AQ26" s="68"/>
      <c r="AR26" s="115">
        <f t="shared" si="11"/>
        <v>9.8549999999999992E-3</v>
      </c>
      <c r="AS26" s="106">
        <v>8760</v>
      </c>
      <c r="AT26" s="176">
        <f t="shared" si="12"/>
        <v>2.2499999999999998E-3</v>
      </c>
      <c r="AU26" s="118">
        <f t="shared" si="13"/>
        <v>1.2E-2</v>
      </c>
      <c r="AV26" s="154" t="s">
        <v>208</v>
      </c>
      <c r="AW26" s="52">
        <f>J26</f>
        <v>25</v>
      </c>
      <c r="AX26" s="87">
        <v>0</v>
      </c>
      <c r="AY26" s="173">
        <f t="shared" si="17"/>
        <v>0</v>
      </c>
      <c r="AZ26" s="52">
        <v>7.4999999999999997E-3</v>
      </c>
      <c r="BA26" s="68"/>
    </row>
    <row r="27" spans="2:53" s="119" customFormat="1" x14ac:dyDescent="0.2">
      <c r="B27" s="52" t="s">
        <v>90</v>
      </c>
      <c r="C27" s="181" t="s">
        <v>92</v>
      </c>
      <c r="D27" s="69">
        <v>29</v>
      </c>
      <c r="E27" s="68" t="s">
        <v>74</v>
      </c>
      <c r="F27" s="98"/>
      <c r="G27" s="98"/>
      <c r="H27" s="98">
        <f t="shared" si="31"/>
        <v>58</v>
      </c>
      <c r="I27" s="98">
        <v>145</v>
      </c>
      <c r="J27" s="98">
        <v>29</v>
      </c>
      <c r="K27" s="69"/>
      <c r="L27" s="69"/>
      <c r="M27" s="163"/>
      <c r="N27" s="69"/>
      <c r="O27" s="69"/>
      <c r="P27" s="108">
        <f t="shared" si="1"/>
        <v>3.6638279999999995E-2</v>
      </c>
      <c r="Q27" s="113">
        <f t="shared" si="2"/>
        <v>73.276559999999989</v>
      </c>
      <c r="R27" s="113">
        <v>12</v>
      </c>
      <c r="S27" s="153" t="s">
        <v>208</v>
      </c>
      <c r="T27" s="85">
        <v>4.3</v>
      </c>
      <c r="U27" s="182">
        <v>6566</v>
      </c>
      <c r="V27" s="106">
        <f t="shared" si="21"/>
        <v>9.2999999999999995E-4</v>
      </c>
      <c r="W27" s="68"/>
      <c r="X27" s="109">
        <f t="shared" si="4"/>
        <v>0.65542319999999998</v>
      </c>
      <c r="Y27" s="109">
        <f t="shared" si="5"/>
        <v>0.32771159999999999</v>
      </c>
      <c r="Z27" s="106">
        <v>8760</v>
      </c>
      <c r="AA27" s="121">
        <f t="shared" si="6"/>
        <v>0.14964</v>
      </c>
      <c r="AB27" s="98">
        <f t="shared" si="30"/>
        <v>0.03</v>
      </c>
      <c r="AC27" s="154" t="s">
        <v>211</v>
      </c>
      <c r="AD27" s="157">
        <f>H27</f>
        <v>58</v>
      </c>
      <c r="AE27" s="121">
        <v>0.04</v>
      </c>
      <c r="AF27" s="121">
        <f t="shared" si="15"/>
        <v>0.06</v>
      </c>
      <c r="AG27" s="158">
        <v>2.3E-2</v>
      </c>
      <c r="AH27" s="115">
        <f t="shared" si="8"/>
        <v>9.5264999999999985E-3</v>
      </c>
      <c r="AI27" s="106">
        <v>8760</v>
      </c>
      <c r="AJ27" s="99">
        <f t="shared" si="9"/>
        <v>2.1749999999999999E-3</v>
      </c>
      <c r="AK27" s="114">
        <f t="shared" si="10"/>
        <v>2E-3</v>
      </c>
      <c r="AL27" s="154" t="s">
        <v>208</v>
      </c>
      <c r="AM27" s="52">
        <f>I27</f>
        <v>145</v>
      </c>
      <c r="AN27" s="87">
        <v>0</v>
      </c>
      <c r="AO27" s="173">
        <f t="shared" si="0"/>
        <v>0</v>
      </c>
      <c r="AP27" s="52">
        <v>7.4999999999999997E-3</v>
      </c>
      <c r="AQ27" s="68"/>
      <c r="AR27" s="115">
        <f t="shared" si="11"/>
        <v>1.1431800000000001E-2</v>
      </c>
      <c r="AS27" s="106">
        <v>8760</v>
      </c>
      <c r="AT27" s="176">
        <f t="shared" si="12"/>
        <v>2.6100000000000003E-3</v>
      </c>
      <c r="AU27" s="118">
        <f t="shared" si="13"/>
        <v>1.2E-2</v>
      </c>
      <c r="AV27" s="154" t="s">
        <v>208</v>
      </c>
      <c r="AW27" s="52">
        <f>J27</f>
        <v>29</v>
      </c>
      <c r="AX27" s="87">
        <v>0</v>
      </c>
      <c r="AY27" s="173">
        <f t="shared" si="17"/>
        <v>0</v>
      </c>
      <c r="AZ27" s="52">
        <v>7.4999999999999997E-3</v>
      </c>
      <c r="BA27" s="68"/>
    </row>
    <row r="28" spans="2:53" s="119" customFormat="1" x14ac:dyDescent="0.2">
      <c r="B28" s="180" t="s">
        <v>200</v>
      </c>
      <c r="C28" s="181" t="s">
        <v>93</v>
      </c>
      <c r="D28" s="69">
        <v>30</v>
      </c>
      <c r="E28" s="68" t="s">
        <v>74</v>
      </c>
      <c r="F28" s="98">
        <v>5</v>
      </c>
      <c r="G28" s="98">
        <v>1</v>
      </c>
      <c r="H28" s="98">
        <f t="shared" si="31"/>
        <v>60</v>
      </c>
      <c r="I28" s="98">
        <f t="shared" ref="I28:I30" si="32">F28*D28</f>
        <v>150</v>
      </c>
      <c r="J28" s="98">
        <f t="shared" ref="J28:J30" si="33">G28*D28</f>
        <v>30</v>
      </c>
      <c r="K28" s="69"/>
      <c r="L28" s="183">
        <v>9449</v>
      </c>
      <c r="M28" s="163"/>
      <c r="N28" s="69"/>
      <c r="O28" s="69"/>
      <c r="P28" s="108">
        <f t="shared" si="1"/>
        <v>5.2725420000000002E-2</v>
      </c>
      <c r="Q28" s="113">
        <f t="shared" si="2"/>
        <v>105.45084</v>
      </c>
      <c r="R28" s="113">
        <v>12</v>
      </c>
      <c r="S28" s="153" t="s">
        <v>208</v>
      </c>
      <c r="T28" s="179">
        <v>4.3099999999999996</v>
      </c>
      <c r="U28" s="165">
        <f t="shared" ref="U28:U30" si="34">L28</f>
        <v>9449</v>
      </c>
      <c r="V28" s="106">
        <f t="shared" si="21"/>
        <v>9.2999999999999995E-4</v>
      </c>
      <c r="W28" s="68"/>
      <c r="X28" s="109">
        <f t="shared" si="4"/>
        <v>0.67802399999999996</v>
      </c>
      <c r="Y28" s="109">
        <f t="shared" si="5"/>
        <v>0.33901199999999998</v>
      </c>
      <c r="Z28" s="106">
        <v>8760</v>
      </c>
      <c r="AA28" s="121">
        <f t="shared" si="6"/>
        <v>0.15479999999999999</v>
      </c>
      <c r="AB28" s="98">
        <f t="shared" si="30"/>
        <v>0.03</v>
      </c>
      <c r="AC28" s="154" t="s">
        <v>211</v>
      </c>
      <c r="AD28" s="157">
        <f>H28</f>
        <v>60</v>
      </c>
      <c r="AE28" s="121">
        <v>0.04</v>
      </c>
      <c r="AF28" s="121">
        <f t="shared" si="15"/>
        <v>0.06</v>
      </c>
      <c r="AG28" s="158">
        <v>2.3E-2</v>
      </c>
      <c r="AH28" s="115">
        <f t="shared" si="8"/>
        <v>9.8549999999999992E-3</v>
      </c>
      <c r="AI28" s="106">
        <v>8760</v>
      </c>
      <c r="AJ28" s="99">
        <f t="shared" si="9"/>
        <v>2.2499999999999998E-3</v>
      </c>
      <c r="AK28" s="114">
        <f t="shared" si="10"/>
        <v>2E-3</v>
      </c>
      <c r="AL28" s="154" t="s">
        <v>208</v>
      </c>
      <c r="AM28" s="52">
        <f>I28</f>
        <v>150</v>
      </c>
      <c r="AN28" s="175">
        <v>1.1000000000000001E-3</v>
      </c>
      <c r="AO28" s="173">
        <f t="shared" si="0"/>
        <v>1.1000000000000001E-3</v>
      </c>
      <c r="AP28" s="52">
        <v>7.4999999999999997E-3</v>
      </c>
      <c r="AQ28" s="68"/>
      <c r="AR28" s="115">
        <f t="shared" si="11"/>
        <v>1.1825999999999998E-2</v>
      </c>
      <c r="AS28" s="106">
        <v>8760</v>
      </c>
      <c r="AT28" s="176">
        <f t="shared" si="12"/>
        <v>2.6999999999999997E-3</v>
      </c>
      <c r="AU28" s="118">
        <f t="shared" si="13"/>
        <v>1.2E-2</v>
      </c>
      <c r="AV28" s="154" t="s">
        <v>208</v>
      </c>
      <c r="AW28" s="52">
        <f>J28</f>
        <v>30</v>
      </c>
      <c r="AX28" s="175">
        <v>7.9000000000000008E-3</v>
      </c>
      <c r="AY28" s="173">
        <f t="shared" si="17"/>
        <v>7.9000000000000008E-3</v>
      </c>
      <c r="AZ28" s="52">
        <v>7.4999999999999997E-3</v>
      </c>
      <c r="BA28" s="68"/>
    </row>
    <row r="29" spans="2:53" s="119" customFormat="1" x14ac:dyDescent="0.2">
      <c r="B29" s="180" t="s">
        <v>200</v>
      </c>
      <c r="C29" s="181" t="s">
        <v>94</v>
      </c>
      <c r="D29" s="69">
        <v>30</v>
      </c>
      <c r="E29" s="68" t="s">
        <v>74</v>
      </c>
      <c r="F29" s="98">
        <v>5</v>
      </c>
      <c r="G29" s="98">
        <v>1</v>
      </c>
      <c r="H29" s="98">
        <f t="shared" si="31"/>
        <v>60</v>
      </c>
      <c r="I29" s="98">
        <f t="shared" si="32"/>
        <v>150</v>
      </c>
      <c r="J29" s="98">
        <f t="shared" si="33"/>
        <v>30</v>
      </c>
      <c r="K29" s="69"/>
      <c r="L29" s="183">
        <v>8827</v>
      </c>
      <c r="M29" s="68"/>
      <c r="N29" s="69"/>
      <c r="O29" s="69"/>
      <c r="P29" s="108">
        <f t="shared" si="1"/>
        <v>4.9254659999999992E-2</v>
      </c>
      <c r="Q29" s="113">
        <f t="shared" si="2"/>
        <v>98.509319999999988</v>
      </c>
      <c r="R29" s="113">
        <v>12</v>
      </c>
      <c r="S29" s="153" t="s">
        <v>208</v>
      </c>
      <c r="T29" s="179">
        <v>4.3099999999999996</v>
      </c>
      <c r="U29" s="165">
        <f t="shared" si="34"/>
        <v>8827</v>
      </c>
      <c r="V29" s="106">
        <f t="shared" si="21"/>
        <v>9.2999999999999995E-4</v>
      </c>
      <c r="W29" s="68"/>
      <c r="X29" s="109">
        <f t="shared" si="4"/>
        <v>0.67802399999999996</v>
      </c>
      <c r="Y29" s="109">
        <f t="shared" si="5"/>
        <v>0.33901199999999998</v>
      </c>
      <c r="Z29" s="106">
        <v>8760</v>
      </c>
      <c r="AA29" s="121">
        <f t="shared" si="6"/>
        <v>0.15479999999999999</v>
      </c>
      <c r="AB29" s="98">
        <f t="shared" si="30"/>
        <v>0.03</v>
      </c>
      <c r="AC29" s="154" t="s">
        <v>211</v>
      </c>
      <c r="AD29" s="157">
        <f>H29</f>
        <v>60</v>
      </c>
      <c r="AE29" s="121">
        <v>0.04</v>
      </c>
      <c r="AF29" s="121">
        <f t="shared" si="15"/>
        <v>0.06</v>
      </c>
      <c r="AG29" s="158">
        <v>2.3E-2</v>
      </c>
      <c r="AH29" s="115">
        <f t="shared" si="8"/>
        <v>9.8549999999999992E-3</v>
      </c>
      <c r="AI29" s="106">
        <v>8760</v>
      </c>
      <c r="AJ29" s="99">
        <f t="shared" si="9"/>
        <v>2.2499999999999998E-3</v>
      </c>
      <c r="AK29" s="114">
        <f t="shared" si="10"/>
        <v>2E-3</v>
      </c>
      <c r="AL29" s="154" t="s">
        <v>208</v>
      </c>
      <c r="AM29" s="52">
        <f>I29</f>
        <v>150</v>
      </c>
      <c r="AN29" s="175">
        <v>8.0000000000000004E-4</v>
      </c>
      <c r="AO29" s="173">
        <f t="shared" si="0"/>
        <v>8.0000000000000004E-4</v>
      </c>
      <c r="AP29" s="52">
        <v>7.4999999999999997E-3</v>
      </c>
      <c r="AQ29" s="68"/>
      <c r="AR29" s="115">
        <f t="shared" si="11"/>
        <v>1.1825999999999998E-2</v>
      </c>
      <c r="AS29" s="106">
        <v>8760</v>
      </c>
      <c r="AT29" s="176">
        <f t="shared" si="12"/>
        <v>2.6999999999999997E-3</v>
      </c>
      <c r="AU29" s="118">
        <f t="shared" si="13"/>
        <v>1.2E-2</v>
      </c>
      <c r="AV29" s="154" t="s">
        <v>208</v>
      </c>
      <c r="AW29" s="52">
        <f>J29</f>
        <v>30</v>
      </c>
      <c r="AX29" s="175">
        <v>5.1000000000000004E-3</v>
      </c>
      <c r="AY29" s="173">
        <f t="shared" si="17"/>
        <v>5.1000000000000004E-3</v>
      </c>
      <c r="AZ29" s="52">
        <v>7.4999999999999997E-3</v>
      </c>
      <c r="BA29" s="68"/>
    </row>
    <row r="30" spans="2:53" s="119" customFormat="1" x14ac:dyDescent="0.2">
      <c r="B30" s="180" t="s">
        <v>200</v>
      </c>
      <c r="C30" s="181" t="s">
        <v>95</v>
      </c>
      <c r="D30" s="69">
        <v>60</v>
      </c>
      <c r="E30" s="68" t="s">
        <v>74</v>
      </c>
      <c r="F30" s="98">
        <v>5</v>
      </c>
      <c r="G30" s="98">
        <v>1</v>
      </c>
      <c r="H30" s="98">
        <f t="shared" si="31"/>
        <v>120</v>
      </c>
      <c r="I30" s="98">
        <f t="shared" si="32"/>
        <v>300</v>
      </c>
      <c r="J30" s="98">
        <f t="shared" si="33"/>
        <v>60</v>
      </c>
      <c r="K30" s="69"/>
      <c r="L30" s="183">
        <v>12184</v>
      </c>
      <c r="M30" s="68"/>
      <c r="N30" s="69"/>
      <c r="O30" s="69"/>
      <c r="P30" s="108">
        <f t="shared" si="1"/>
        <v>6.7986719999999987E-2</v>
      </c>
      <c r="Q30" s="113">
        <f t="shared" si="2"/>
        <v>135.97343999999998</v>
      </c>
      <c r="R30" s="113">
        <v>12</v>
      </c>
      <c r="S30" s="153" t="s">
        <v>208</v>
      </c>
      <c r="T30" s="179">
        <v>3.48</v>
      </c>
      <c r="U30" s="165">
        <f t="shared" si="34"/>
        <v>12184</v>
      </c>
      <c r="V30" s="106">
        <f t="shared" si="21"/>
        <v>9.2999999999999995E-4</v>
      </c>
      <c r="W30" s="68"/>
      <c r="X30" s="109">
        <f t="shared" si="4"/>
        <v>1.3560479999999999</v>
      </c>
      <c r="Y30" s="109">
        <f t="shared" si="5"/>
        <v>0.67802399999999996</v>
      </c>
      <c r="Z30" s="106">
        <v>8760</v>
      </c>
      <c r="AA30" s="121">
        <f t="shared" si="6"/>
        <v>0.30959999999999999</v>
      </c>
      <c r="AB30" s="98">
        <f t="shared" si="30"/>
        <v>0.03</v>
      </c>
      <c r="AC30" s="154" t="s">
        <v>211</v>
      </c>
      <c r="AD30" s="157">
        <f>H30</f>
        <v>120</v>
      </c>
      <c r="AE30" s="121">
        <v>0.04</v>
      </c>
      <c r="AF30" s="121">
        <f t="shared" si="15"/>
        <v>0.06</v>
      </c>
      <c r="AG30" s="158">
        <v>2.3E-2</v>
      </c>
      <c r="AH30" s="115">
        <f t="shared" si="8"/>
        <v>1.9709999999999998E-2</v>
      </c>
      <c r="AI30" s="106">
        <v>8760</v>
      </c>
      <c r="AJ30" s="99">
        <f t="shared" si="9"/>
        <v>4.4999999999999997E-3</v>
      </c>
      <c r="AK30" s="114">
        <f t="shared" si="10"/>
        <v>2E-3</v>
      </c>
      <c r="AL30" s="154" t="s">
        <v>208</v>
      </c>
      <c r="AM30" s="52">
        <f>I30</f>
        <v>300</v>
      </c>
      <c r="AN30" s="175">
        <v>6.9999999999999999E-4</v>
      </c>
      <c r="AO30" s="173">
        <f t="shared" si="0"/>
        <v>6.9999999999999999E-4</v>
      </c>
      <c r="AP30" s="52">
        <v>7.4999999999999997E-3</v>
      </c>
      <c r="AQ30" s="68"/>
      <c r="AR30" s="115">
        <f t="shared" si="11"/>
        <v>2.3651999999999996E-2</v>
      </c>
      <c r="AS30" s="106">
        <v>8760</v>
      </c>
      <c r="AT30" s="176">
        <f t="shared" si="12"/>
        <v>5.3999999999999994E-3</v>
      </c>
      <c r="AU30" s="118">
        <f t="shared" si="13"/>
        <v>1.2E-2</v>
      </c>
      <c r="AV30" s="154" t="s">
        <v>208</v>
      </c>
      <c r="AW30" s="52">
        <f>J30</f>
        <v>60</v>
      </c>
      <c r="AX30" s="175">
        <v>7.6E-3</v>
      </c>
      <c r="AY30" s="173">
        <f t="shared" si="17"/>
        <v>7.6E-3</v>
      </c>
      <c r="AZ30" s="52">
        <v>7.4999999999999997E-3</v>
      </c>
      <c r="BA30" s="68"/>
    </row>
    <row r="31" spans="2:53" s="119" customFormat="1" x14ac:dyDescent="0.2">
      <c r="S31" s="186"/>
    </row>
    <row r="32" spans="2:53" s="119" customFormat="1" x14ac:dyDescent="0.2">
      <c r="S32" s="186"/>
    </row>
    <row r="33" spans="19:19" s="119" customFormat="1" x14ac:dyDescent="0.2">
      <c r="S33" s="186"/>
    </row>
    <row r="34" spans="19:19" s="119" customFormat="1" x14ac:dyDescent="0.2">
      <c r="S34" s="186"/>
    </row>
    <row r="35" spans="19:19" s="119" customFormat="1" x14ac:dyDescent="0.2">
      <c r="S35" s="186"/>
    </row>
  </sheetData>
  <autoFilter ref="B3:BA30" xr:uid="{B9D15D55-5E13-4BCF-AA66-6C66902EF48B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36731-7248-495B-A051-B9AB409DA3AF}">
  <dimension ref="B1:AZ35"/>
  <sheetViews>
    <sheetView zoomScale="70" zoomScaleNormal="70" workbookViewId="0">
      <pane xSplit="3" ySplit="3" topLeftCell="D4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4.7109375" style="46" customWidth="1"/>
    <col min="2" max="2" width="21" style="46" bestFit="1" customWidth="1"/>
    <col min="3" max="3" width="17.7109375" style="46" customWidth="1"/>
    <col min="4" max="4" width="12.140625" style="46" customWidth="1"/>
    <col min="5" max="5" width="12.85546875" style="46" customWidth="1"/>
    <col min="6" max="15" width="13.7109375" style="46" customWidth="1"/>
    <col min="16" max="16" width="15.85546875" style="46" customWidth="1"/>
    <col min="17" max="17" width="13.7109375" style="46" customWidth="1"/>
    <col min="18" max="18" width="13.7109375" style="88" customWidth="1"/>
    <col min="19" max="19" width="38.5703125" style="105" customWidth="1"/>
    <col min="20" max="23" width="13.7109375" style="46" customWidth="1"/>
    <col min="24" max="24" width="15" style="46" customWidth="1"/>
    <col min="25" max="25" width="14.5703125" style="46" customWidth="1"/>
    <col min="26" max="26" width="13.7109375" style="46" customWidth="1"/>
    <col min="27" max="27" width="24.7109375" style="46" customWidth="1"/>
    <col min="28" max="28" width="46.28515625" style="46" customWidth="1"/>
    <col min="29" max="30" width="13.7109375" style="46" customWidth="1"/>
    <col min="31" max="31" width="18.85546875" style="46" customWidth="1"/>
    <col min="32" max="32" width="13.7109375" style="46" customWidth="1"/>
    <col min="33" max="33" width="16" style="46" customWidth="1"/>
    <col min="34" max="34" width="14.85546875" style="46" customWidth="1"/>
    <col min="35" max="35" width="13.7109375" style="46" customWidth="1"/>
    <col min="36" max="36" width="17.42578125" style="46" customWidth="1"/>
    <col min="37" max="37" width="38.5703125" style="46" customWidth="1"/>
    <col min="38" max="42" width="13.7109375" style="46" customWidth="1"/>
    <col min="43" max="43" width="15" style="46" customWidth="1"/>
    <col min="44" max="44" width="14.7109375" style="46" customWidth="1"/>
    <col min="45" max="45" width="13.7109375" style="46" customWidth="1"/>
    <col min="46" max="46" width="14" style="46" customWidth="1"/>
    <col min="47" max="47" width="38.5703125" style="46" customWidth="1"/>
    <col min="48" max="52" width="13.7109375" style="46" customWidth="1"/>
    <col min="53" max="16384" width="9.140625" style="46"/>
  </cols>
  <sheetData>
    <row r="1" spans="2:52" s="1" customFormat="1" ht="15" customHeight="1" thickBot="1" x14ac:dyDescent="0.25">
      <c r="B1" s="70"/>
      <c r="C1" s="70"/>
      <c r="D1" s="70" t="s">
        <v>197</v>
      </c>
      <c r="E1" s="70"/>
      <c r="F1" s="70" t="s">
        <v>197</v>
      </c>
      <c r="G1" s="70" t="s">
        <v>197</v>
      </c>
      <c r="H1" s="70" t="s">
        <v>197</v>
      </c>
      <c r="I1" s="70" t="s">
        <v>197</v>
      </c>
      <c r="J1" s="70" t="s">
        <v>197</v>
      </c>
      <c r="K1" s="70"/>
      <c r="L1" s="70" t="s">
        <v>199</v>
      </c>
      <c r="M1" s="70" t="s">
        <v>197</v>
      </c>
      <c r="N1" s="70"/>
      <c r="O1" s="70"/>
      <c r="P1" s="71" t="s">
        <v>212</v>
      </c>
      <c r="Q1" s="71"/>
      <c r="R1" s="71"/>
      <c r="S1" s="102"/>
      <c r="T1" s="71"/>
      <c r="U1" s="71"/>
      <c r="V1" s="71"/>
      <c r="W1" s="71" t="s">
        <v>198</v>
      </c>
      <c r="X1" s="72" t="s">
        <v>212</v>
      </c>
      <c r="Y1" s="72"/>
      <c r="Z1" s="83"/>
      <c r="AA1" s="72"/>
      <c r="AB1" s="72"/>
      <c r="AC1" s="72"/>
      <c r="AD1" s="110"/>
      <c r="AE1" s="110" t="s">
        <v>220</v>
      </c>
      <c r="AF1" s="111"/>
      <c r="AG1" s="73" t="s">
        <v>212</v>
      </c>
      <c r="AH1" s="73"/>
      <c r="AI1" s="73"/>
      <c r="AJ1" s="73"/>
      <c r="AK1" s="73"/>
      <c r="AL1" s="73"/>
      <c r="AM1" s="73"/>
      <c r="AN1" s="73"/>
      <c r="AO1" s="73"/>
      <c r="AP1" s="73" t="s">
        <v>198</v>
      </c>
      <c r="AQ1" s="74" t="s">
        <v>212</v>
      </c>
      <c r="AR1" s="74"/>
      <c r="AS1" s="116"/>
      <c r="AT1" s="116"/>
      <c r="AU1" s="116"/>
      <c r="AV1" s="116"/>
      <c r="AW1" s="116"/>
      <c r="AX1" s="116"/>
      <c r="AY1" s="116"/>
      <c r="AZ1" s="116" t="s">
        <v>198</v>
      </c>
    </row>
    <row r="2" spans="2:52" s="1" customFormat="1" ht="27" thickBot="1" x14ac:dyDescent="0.3">
      <c r="B2" s="70"/>
      <c r="C2" s="70" t="s">
        <v>99</v>
      </c>
      <c r="D2" s="70" t="s">
        <v>99</v>
      </c>
      <c r="E2" s="70" t="s">
        <v>66</v>
      </c>
      <c r="F2" s="70" t="s">
        <v>99</v>
      </c>
      <c r="G2" s="70" t="s">
        <v>99</v>
      </c>
      <c r="H2" s="70" t="s">
        <v>99</v>
      </c>
      <c r="I2" s="70" t="s">
        <v>99</v>
      </c>
      <c r="J2" s="70" t="s">
        <v>99</v>
      </c>
      <c r="K2" s="70" t="s">
        <v>99</v>
      </c>
      <c r="L2" s="70" t="s">
        <v>99</v>
      </c>
      <c r="M2" s="70" t="s">
        <v>99</v>
      </c>
      <c r="N2" s="70" t="s">
        <v>99</v>
      </c>
      <c r="O2" s="70" t="s">
        <v>99</v>
      </c>
      <c r="P2" s="71" t="s">
        <v>202</v>
      </c>
      <c r="Q2" s="82" t="s">
        <v>102</v>
      </c>
      <c r="R2" s="82"/>
      <c r="S2" s="103"/>
      <c r="T2" s="82"/>
      <c r="U2" s="82"/>
      <c r="V2" s="82"/>
      <c r="W2" s="71" t="s">
        <v>99</v>
      </c>
      <c r="X2" s="72" t="s">
        <v>219</v>
      </c>
      <c r="Y2" s="72"/>
      <c r="Z2" s="107" t="s">
        <v>228</v>
      </c>
      <c r="AA2" s="83"/>
      <c r="AB2" s="83"/>
      <c r="AC2" s="83"/>
      <c r="AD2" s="83"/>
      <c r="AE2" s="184">
        <v>0.94</v>
      </c>
      <c r="AF2" s="83"/>
      <c r="AG2" s="73" t="s">
        <v>202</v>
      </c>
      <c r="AH2" s="73"/>
      <c r="AI2" s="81" t="s">
        <v>191</v>
      </c>
      <c r="AJ2" s="81"/>
      <c r="AK2" s="81"/>
      <c r="AL2" s="81"/>
      <c r="AM2" s="81"/>
      <c r="AN2" s="81"/>
      <c r="AO2" s="81"/>
      <c r="AP2" s="73" t="s">
        <v>99</v>
      </c>
      <c r="AQ2" s="74" t="s">
        <v>202</v>
      </c>
      <c r="AR2" s="74"/>
      <c r="AS2" s="117" t="s">
        <v>223</v>
      </c>
      <c r="AT2" s="117"/>
      <c r="AU2" s="117"/>
      <c r="AV2" s="117"/>
      <c r="AW2" s="117"/>
      <c r="AX2" s="117"/>
      <c r="AY2" s="117"/>
      <c r="AZ2" s="74" t="s">
        <v>99</v>
      </c>
    </row>
    <row r="3" spans="2:52" s="1" customFormat="1" ht="65.25" x14ac:dyDescent="0.2">
      <c r="B3" s="70" t="s">
        <v>11</v>
      </c>
      <c r="C3" s="75" t="s">
        <v>67</v>
      </c>
      <c r="D3" s="76" t="s">
        <v>68</v>
      </c>
      <c r="E3" s="76" t="s">
        <v>69</v>
      </c>
      <c r="F3" s="76" t="s">
        <v>107</v>
      </c>
      <c r="G3" s="76" t="s">
        <v>108</v>
      </c>
      <c r="H3" s="76" t="s">
        <v>109</v>
      </c>
      <c r="I3" s="76" t="s">
        <v>110</v>
      </c>
      <c r="J3" s="76" t="s">
        <v>111</v>
      </c>
      <c r="K3" s="76" t="s">
        <v>112</v>
      </c>
      <c r="L3" s="76" t="s">
        <v>113</v>
      </c>
      <c r="M3" s="76" t="s">
        <v>114</v>
      </c>
      <c r="N3" s="76" t="s">
        <v>116</v>
      </c>
      <c r="O3" s="76" t="s">
        <v>117</v>
      </c>
      <c r="P3" s="71" t="s">
        <v>201</v>
      </c>
      <c r="Q3" s="77" t="s">
        <v>222</v>
      </c>
      <c r="R3" s="77" t="s">
        <v>216</v>
      </c>
      <c r="S3" s="104" t="s">
        <v>209</v>
      </c>
      <c r="T3" s="77" t="s">
        <v>96</v>
      </c>
      <c r="U3" s="77" t="s">
        <v>100</v>
      </c>
      <c r="V3" s="77" t="s">
        <v>101</v>
      </c>
      <c r="W3" s="77" t="s">
        <v>16</v>
      </c>
      <c r="X3" s="72" t="s">
        <v>203</v>
      </c>
      <c r="Y3" s="78" t="s">
        <v>204</v>
      </c>
      <c r="Z3" s="78" t="s">
        <v>186</v>
      </c>
      <c r="AA3" s="78" t="s">
        <v>213</v>
      </c>
      <c r="AB3" s="78" t="s">
        <v>209</v>
      </c>
      <c r="AC3" s="78" t="s">
        <v>187</v>
      </c>
      <c r="AD3" s="78" t="s">
        <v>188</v>
      </c>
      <c r="AE3" s="78" t="s">
        <v>221</v>
      </c>
      <c r="AF3" s="78" t="s">
        <v>190</v>
      </c>
      <c r="AG3" s="73" t="s">
        <v>205</v>
      </c>
      <c r="AH3" s="79" t="s">
        <v>204</v>
      </c>
      <c r="AI3" s="79" t="s">
        <v>192</v>
      </c>
      <c r="AJ3" s="79" t="s">
        <v>214</v>
      </c>
      <c r="AK3" s="79" t="s">
        <v>209</v>
      </c>
      <c r="AL3" s="79" t="s">
        <v>193</v>
      </c>
      <c r="AM3" s="79" t="s">
        <v>97</v>
      </c>
      <c r="AN3" s="79" t="s">
        <v>194</v>
      </c>
      <c r="AO3" s="79" t="s">
        <v>195</v>
      </c>
      <c r="AP3" s="79" t="s">
        <v>18</v>
      </c>
      <c r="AQ3" s="74" t="s">
        <v>206</v>
      </c>
      <c r="AR3" s="80" t="s">
        <v>204</v>
      </c>
      <c r="AS3" s="80" t="s">
        <v>224</v>
      </c>
      <c r="AT3" s="80" t="s">
        <v>215</v>
      </c>
      <c r="AU3" s="80" t="s">
        <v>209</v>
      </c>
      <c r="AV3" s="80" t="s">
        <v>227</v>
      </c>
      <c r="AW3" s="80" t="s">
        <v>98</v>
      </c>
      <c r="AX3" s="80" t="s">
        <v>196</v>
      </c>
      <c r="AY3" s="80" t="s">
        <v>195</v>
      </c>
      <c r="AZ3" s="80" t="s">
        <v>19</v>
      </c>
    </row>
    <row r="4" spans="2:52" s="119" customFormat="1" x14ac:dyDescent="0.2">
      <c r="B4" s="161" t="s">
        <v>53</v>
      </c>
      <c r="C4" s="161" t="s">
        <v>70</v>
      </c>
      <c r="D4" s="162">
        <v>47</v>
      </c>
      <c r="E4" s="101" t="s">
        <v>71</v>
      </c>
      <c r="F4" s="106">
        <v>4</v>
      </c>
      <c r="G4" s="106">
        <v>1</v>
      </c>
      <c r="H4" s="106">
        <f>47*2</f>
        <v>94</v>
      </c>
      <c r="I4" s="106">
        <f>47*4</f>
        <v>188</v>
      </c>
      <c r="J4" s="106">
        <v>47</v>
      </c>
      <c r="K4" s="106">
        <v>124</v>
      </c>
      <c r="L4" s="100">
        <v>2978</v>
      </c>
      <c r="M4" s="163" t="s">
        <v>158</v>
      </c>
      <c r="N4" s="106" t="s">
        <v>149</v>
      </c>
      <c r="O4" s="106" t="s">
        <v>129</v>
      </c>
      <c r="P4" s="108">
        <f>Q4/2000</f>
        <v>1.6617239999999998E-2</v>
      </c>
      <c r="Q4" s="113">
        <f>R4*U4*V4</f>
        <v>33.234479999999998</v>
      </c>
      <c r="R4" s="113">
        <v>12</v>
      </c>
      <c r="S4" s="153" t="s">
        <v>208</v>
      </c>
      <c r="T4" s="164">
        <f>W4</f>
        <v>7.416666666666667</v>
      </c>
      <c r="U4" s="165">
        <f>L4</f>
        <v>2978</v>
      </c>
      <c r="V4" s="106">
        <f>0.0093/10</f>
        <v>9.2999999999999995E-4</v>
      </c>
      <c r="W4" s="108">
        <v>7.416666666666667</v>
      </c>
      <c r="X4" s="109">
        <f>Z4*Y4/2000</f>
        <v>0.83721615120000004</v>
      </c>
      <c r="Y4" s="106">
        <v>8760</v>
      </c>
      <c r="Z4" s="109">
        <f t="shared" ref="Z4:Z30" si="0">AC4*AA4*AD4+AC4*AE4*AF4</f>
        <v>0.19114523999999999</v>
      </c>
      <c r="AA4" s="108">
        <f>3.3/100</f>
        <v>3.3000000000000002E-2</v>
      </c>
      <c r="AB4" s="154" t="s">
        <v>217</v>
      </c>
      <c r="AC4" s="155">
        <f>H4</f>
        <v>94</v>
      </c>
      <c r="AD4" s="109">
        <v>0.04</v>
      </c>
      <c r="AE4" s="187">
        <f t="shared" ref="AE4:AE30" si="1">$AE$2*AA4</f>
        <v>3.1019999999999999E-2</v>
      </c>
      <c r="AF4" s="108">
        <v>2.3E-2</v>
      </c>
      <c r="AG4" s="115">
        <f>AI4*AH4/2000</f>
        <v>2.4703199999999998E-2</v>
      </c>
      <c r="AH4" s="106">
        <v>8760</v>
      </c>
      <c r="AI4" s="99">
        <f>AL4*AJ4*AO4</f>
        <v>5.64E-3</v>
      </c>
      <c r="AJ4" s="114">
        <f>0.4/100</f>
        <v>4.0000000000000001E-3</v>
      </c>
      <c r="AK4" s="154" t="s">
        <v>208</v>
      </c>
      <c r="AL4" s="101">
        <f>I4</f>
        <v>188</v>
      </c>
      <c r="AM4" s="87">
        <f>AP4</f>
        <v>0</v>
      </c>
      <c r="AN4" s="166">
        <f t="shared" ref="AN4:AN30" si="2">AM4</f>
        <v>0</v>
      </c>
      <c r="AO4" s="101">
        <v>7.4999999999999997E-3</v>
      </c>
      <c r="AP4" s="156">
        <v>0</v>
      </c>
      <c r="AQ4" s="115">
        <f>AS4*AR4/2000</f>
        <v>3.8598749999999994E-2</v>
      </c>
      <c r="AR4" s="106">
        <v>8760</v>
      </c>
      <c r="AS4" s="167">
        <f>AV4*AT4*AY4</f>
        <v>8.8124999999999992E-3</v>
      </c>
      <c r="AT4" s="118">
        <f>2.5/100</f>
        <v>2.5000000000000001E-2</v>
      </c>
      <c r="AU4" s="154" t="s">
        <v>208</v>
      </c>
      <c r="AV4" s="101">
        <f>J4</f>
        <v>47</v>
      </c>
      <c r="AW4" s="168">
        <f>AZ4</f>
        <v>1.8888888888888888E-4</v>
      </c>
      <c r="AX4" s="166">
        <f>AW4</f>
        <v>1.8888888888888888E-4</v>
      </c>
      <c r="AY4" s="101">
        <v>7.4999999999999997E-3</v>
      </c>
      <c r="AZ4" s="156">
        <f>'Enc1 Part VI BL Q89'!J18</f>
        <v>1.8888888888888888E-4</v>
      </c>
    </row>
    <row r="5" spans="2:52" s="119" customFormat="1" x14ac:dyDescent="0.2">
      <c r="B5" s="163" t="s">
        <v>53</v>
      </c>
      <c r="C5" s="87" t="s">
        <v>72</v>
      </c>
      <c r="D5" s="169">
        <v>47</v>
      </c>
      <c r="E5" s="52" t="s">
        <v>71</v>
      </c>
      <c r="F5" s="98">
        <v>4</v>
      </c>
      <c r="G5" s="98">
        <v>1</v>
      </c>
      <c r="H5" s="98">
        <v>94</v>
      </c>
      <c r="I5" s="98">
        <v>188</v>
      </c>
      <c r="J5" s="98">
        <v>47</v>
      </c>
      <c r="K5" s="98"/>
      <c r="L5" s="170"/>
      <c r="M5" s="98" t="s">
        <v>4</v>
      </c>
      <c r="N5" s="106" t="s">
        <v>149</v>
      </c>
      <c r="O5" s="98" t="s">
        <v>129</v>
      </c>
      <c r="P5" s="108">
        <f t="shared" ref="P5:P30" si="3">Q5/2000</f>
        <v>1.6617239999999998E-2</v>
      </c>
      <c r="Q5" s="113">
        <f t="shared" ref="Q5:Q30" si="4">R5*U5*V5</f>
        <v>33.234479999999998</v>
      </c>
      <c r="R5" s="113">
        <v>12</v>
      </c>
      <c r="S5" s="153" t="s">
        <v>208</v>
      </c>
      <c r="T5" s="171">
        <f>T4</f>
        <v>7.416666666666667</v>
      </c>
      <c r="U5" s="86">
        <f>U4</f>
        <v>2978</v>
      </c>
      <c r="V5" s="106">
        <f t="shared" ref="V5:V7" si="5">0.0093/10</f>
        <v>9.2999999999999995E-4</v>
      </c>
      <c r="W5" s="52"/>
      <c r="X5" s="109">
        <f t="shared" ref="X5:X30" si="6">Z5*Y5/2000</f>
        <v>0.83721615120000004</v>
      </c>
      <c r="Y5" s="106">
        <v>8760</v>
      </c>
      <c r="Z5" s="121">
        <f t="shared" si="0"/>
        <v>0.19114523999999999</v>
      </c>
      <c r="AA5" s="108">
        <f>3.3/100</f>
        <v>3.3000000000000002E-2</v>
      </c>
      <c r="AB5" s="154" t="s">
        <v>217</v>
      </c>
      <c r="AC5" s="157">
        <f>H5</f>
        <v>94</v>
      </c>
      <c r="AD5" s="109">
        <v>0.04</v>
      </c>
      <c r="AE5" s="187">
        <f t="shared" si="1"/>
        <v>3.1019999999999999E-2</v>
      </c>
      <c r="AF5" s="108">
        <v>2.3E-2</v>
      </c>
      <c r="AG5" s="115">
        <f t="shared" ref="AG5:AG30" si="7">AI5*AH5/2000</f>
        <v>2.4703199999999998E-2</v>
      </c>
      <c r="AH5" s="106">
        <v>8760</v>
      </c>
      <c r="AI5" s="99">
        <f t="shared" ref="AI5:AI30" si="8">AL5*AJ5*AO5</f>
        <v>5.64E-3</v>
      </c>
      <c r="AJ5" s="114">
        <f t="shared" ref="AJ5:AJ30" si="9">0.4/100</f>
        <v>4.0000000000000001E-3</v>
      </c>
      <c r="AK5" s="154" t="s">
        <v>208</v>
      </c>
      <c r="AL5" s="52">
        <f>I5</f>
        <v>188</v>
      </c>
      <c r="AM5" s="87">
        <f>AM4</f>
        <v>0</v>
      </c>
      <c r="AN5" s="166">
        <f t="shared" si="2"/>
        <v>0</v>
      </c>
      <c r="AO5" s="101">
        <v>7.4999999999999997E-3</v>
      </c>
      <c r="AP5" s="52"/>
      <c r="AQ5" s="115">
        <f t="shared" ref="AQ5:AQ30" si="10">AS5*AR5/2000</f>
        <v>3.8598749999999994E-2</v>
      </c>
      <c r="AR5" s="106">
        <v>8760</v>
      </c>
      <c r="AS5" s="167">
        <f t="shared" ref="AS5:AS30" si="11">AV5*AT5*AY5</f>
        <v>8.8124999999999992E-3</v>
      </c>
      <c r="AT5" s="118">
        <f t="shared" ref="AT5:AT30" si="12">2.5/100</f>
        <v>2.5000000000000001E-2</v>
      </c>
      <c r="AU5" s="154" t="s">
        <v>208</v>
      </c>
      <c r="AV5" s="52">
        <f>J5</f>
        <v>47</v>
      </c>
      <c r="AW5" s="87">
        <f>AW4</f>
        <v>1.8888888888888888E-4</v>
      </c>
      <c r="AX5" s="166">
        <f>AW5</f>
        <v>1.8888888888888888E-4</v>
      </c>
      <c r="AY5" s="101">
        <v>7.4999999999999997E-3</v>
      </c>
      <c r="AZ5" s="52"/>
    </row>
    <row r="6" spans="2:52" s="119" customFormat="1" x14ac:dyDescent="0.2">
      <c r="B6" s="163" t="s">
        <v>53</v>
      </c>
      <c r="C6" s="87" t="s">
        <v>73</v>
      </c>
      <c r="D6" s="169">
        <v>51</v>
      </c>
      <c r="E6" s="52" t="s">
        <v>71</v>
      </c>
      <c r="F6" s="98">
        <v>4</v>
      </c>
      <c r="G6" s="98">
        <v>1</v>
      </c>
      <c r="H6" s="98">
        <v>102</v>
      </c>
      <c r="I6" s="98">
        <f>51*4</f>
        <v>204</v>
      </c>
      <c r="J6" s="98">
        <v>51</v>
      </c>
      <c r="K6" s="157"/>
      <c r="L6" s="170"/>
      <c r="M6" s="98" t="s">
        <v>4</v>
      </c>
      <c r="N6" s="106" t="s">
        <v>149</v>
      </c>
      <c r="O6" s="98" t="s">
        <v>129</v>
      </c>
      <c r="P6" s="108">
        <f t="shared" si="3"/>
        <v>1.6617239999999998E-2</v>
      </c>
      <c r="Q6" s="113">
        <f t="shared" si="4"/>
        <v>33.234479999999998</v>
      </c>
      <c r="R6" s="113">
        <v>12</v>
      </c>
      <c r="S6" s="153" t="s">
        <v>208</v>
      </c>
      <c r="T6" s="171">
        <f>T4</f>
        <v>7.416666666666667</v>
      </c>
      <c r="U6" s="86">
        <f>U4</f>
        <v>2978</v>
      </c>
      <c r="V6" s="106">
        <f t="shared" si="5"/>
        <v>9.2999999999999995E-4</v>
      </c>
      <c r="W6" s="52"/>
      <c r="X6" s="109">
        <f t="shared" si="6"/>
        <v>0.90846858959999999</v>
      </c>
      <c r="Y6" s="106">
        <v>8760</v>
      </c>
      <c r="Z6" s="121">
        <f t="shared" si="0"/>
        <v>0.20741292</v>
      </c>
      <c r="AA6" s="108">
        <f>3.3/100</f>
        <v>3.3000000000000002E-2</v>
      </c>
      <c r="AB6" s="154" t="s">
        <v>217</v>
      </c>
      <c r="AC6" s="157">
        <f>H6</f>
        <v>102</v>
      </c>
      <c r="AD6" s="109">
        <v>0.04</v>
      </c>
      <c r="AE6" s="187">
        <f t="shared" si="1"/>
        <v>3.1019999999999999E-2</v>
      </c>
      <c r="AF6" s="108">
        <v>2.3E-2</v>
      </c>
      <c r="AG6" s="115">
        <f t="shared" si="7"/>
        <v>2.6805600000000002E-2</v>
      </c>
      <c r="AH6" s="106">
        <v>8760</v>
      </c>
      <c r="AI6" s="99">
        <f t="shared" si="8"/>
        <v>6.1200000000000004E-3</v>
      </c>
      <c r="AJ6" s="114">
        <f t="shared" si="9"/>
        <v>4.0000000000000001E-3</v>
      </c>
      <c r="AK6" s="154" t="s">
        <v>208</v>
      </c>
      <c r="AL6" s="52">
        <f>I6</f>
        <v>204</v>
      </c>
      <c r="AM6" s="87">
        <f>AM4</f>
        <v>0</v>
      </c>
      <c r="AN6" s="166">
        <f t="shared" si="2"/>
        <v>0</v>
      </c>
      <c r="AO6" s="101">
        <v>7.4999999999999997E-3</v>
      </c>
      <c r="AP6" s="52"/>
      <c r="AQ6" s="115">
        <f t="shared" si="10"/>
        <v>4.1883749999999997E-2</v>
      </c>
      <c r="AR6" s="106">
        <v>8760</v>
      </c>
      <c r="AS6" s="167">
        <f t="shared" si="11"/>
        <v>9.5624999999999998E-3</v>
      </c>
      <c r="AT6" s="118">
        <f t="shared" si="12"/>
        <v>2.5000000000000001E-2</v>
      </c>
      <c r="AU6" s="154" t="s">
        <v>208</v>
      </c>
      <c r="AV6" s="52">
        <f>J6</f>
        <v>51</v>
      </c>
      <c r="AW6" s="87">
        <f>AW4</f>
        <v>1.8888888888888888E-4</v>
      </c>
      <c r="AX6" s="166">
        <f>AW6</f>
        <v>1.8888888888888888E-4</v>
      </c>
      <c r="AY6" s="101">
        <v>7.4999999999999997E-3</v>
      </c>
      <c r="AZ6" s="52"/>
    </row>
    <row r="7" spans="2:52" s="119" customFormat="1" x14ac:dyDescent="0.2">
      <c r="B7" s="163" t="s">
        <v>53</v>
      </c>
      <c r="C7" s="163" t="s">
        <v>75</v>
      </c>
      <c r="D7" s="98">
        <v>79</v>
      </c>
      <c r="E7" s="52" t="s">
        <v>71</v>
      </c>
      <c r="F7" s="98">
        <v>4</v>
      </c>
      <c r="G7" s="98">
        <v>2</v>
      </c>
      <c r="H7" s="98">
        <f>79*2</f>
        <v>158</v>
      </c>
      <c r="I7" s="98">
        <f>79*4</f>
        <v>316</v>
      </c>
      <c r="J7" s="98">
        <v>158</v>
      </c>
      <c r="K7" s="98">
        <v>248</v>
      </c>
      <c r="L7" s="170">
        <v>19623</v>
      </c>
      <c r="M7" s="163" t="s">
        <v>160</v>
      </c>
      <c r="N7" s="106" t="s">
        <v>149</v>
      </c>
      <c r="O7" s="98" t="s">
        <v>129</v>
      </c>
      <c r="P7" s="108">
        <f t="shared" si="3"/>
        <v>0.10949633999999998</v>
      </c>
      <c r="Q7" s="113">
        <f t="shared" si="4"/>
        <v>218.99267999999998</v>
      </c>
      <c r="R7" s="113">
        <v>12</v>
      </c>
      <c r="S7" s="153" t="s">
        <v>208</v>
      </c>
      <c r="T7" s="171">
        <f>W7</f>
        <v>4.100833333333334</v>
      </c>
      <c r="U7" s="165">
        <f t="shared" ref="U7:U24" si="13">L7</f>
        <v>19623</v>
      </c>
      <c r="V7" s="106">
        <f t="shared" si="5"/>
        <v>9.2999999999999995E-4</v>
      </c>
      <c r="W7" s="158">
        <v>4.100833333333334</v>
      </c>
      <c r="X7" s="112">
        <f t="shared" si="6"/>
        <v>1.7057401919999999</v>
      </c>
      <c r="Y7" s="106">
        <v>8760</v>
      </c>
      <c r="Z7" s="121">
        <f t="shared" si="0"/>
        <v>0.38943840000000002</v>
      </c>
      <c r="AA7" s="109">
        <f t="shared" ref="AA7:AA30" si="14">4/100</f>
        <v>0.04</v>
      </c>
      <c r="AB7" s="154" t="s">
        <v>210</v>
      </c>
      <c r="AC7" s="157">
        <f>H7</f>
        <v>158</v>
      </c>
      <c r="AD7" s="121">
        <v>0.04</v>
      </c>
      <c r="AE7" s="187">
        <f t="shared" si="1"/>
        <v>3.7600000000000001E-2</v>
      </c>
      <c r="AF7" s="158">
        <v>2.3E-2</v>
      </c>
      <c r="AG7" s="115">
        <f t="shared" si="7"/>
        <v>4.1522400000000008E-2</v>
      </c>
      <c r="AH7" s="106">
        <v>8760</v>
      </c>
      <c r="AI7" s="99">
        <f t="shared" si="8"/>
        <v>9.4800000000000006E-3</v>
      </c>
      <c r="AJ7" s="114">
        <f t="shared" si="9"/>
        <v>4.0000000000000001E-3</v>
      </c>
      <c r="AK7" s="154" t="s">
        <v>208</v>
      </c>
      <c r="AL7" s="52">
        <f>I7</f>
        <v>316</v>
      </c>
      <c r="AM7" s="172">
        <f t="shared" ref="AM7:AM14" si="15">AP7</f>
        <v>9.1666666666666695E-5</v>
      </c>
      <c r="AN7" s="173">
        <f t="shared" si="2"/>
        <v>9.1666666666666695E-5</v>
      </c>
      <c r="AO7" s="52">
        <v>7.4999999999999997E-3</v>
      </c>
      <c r="AP7" s="159">
        <v>9.1666666666666695E-5</v>
      </c>
      <c r="AQ7" s="115">
        <f t="shared" si="10"/>
        <v>0.1297575</v>
      </c>
      <c r="AR7" s="106">
        <v>8760</v>
      </c>
      <c r="AS7" s="174">
        <f t="shared" si="11"/>
        <v>2.9624999999999999E-2</v>
      </c>
      <c r="AT7" s="118">
        <f t="shared" si="12"/>
        <v>2.5000000000000001E-2</v>
      </c>
      <c r="AU7" s="154" t="s">
        <v>208</v>
      </c>
      <c r="AV7" s="52">
        <f>J7</f>
        <v>158</v>
      </c>
      <c r="AW7" s="175">
        <f>AZ7</f>
        <v>9.300000000000001E-3</v>
      </c>
      <c r="AX7" s="173">
        <f t="shared" ref="AX7:AX30" si="16">AW7</f>
        <v>9.300000000000001E-3</v>
      </c>
      <c r="AY7" s="52">
        <v>7.4999999999999997E-3</v>
      </c>
      <c r="AZ7" s="159">
        <f>'Enc1 Part VI BL Q89'!J31</f>
        <v>9.300000000000001E-3</v>
      </c>
    </row>
    <row r="8" spans="2:52" s="119" customFormat="1" x14ac:dyDescent="0.2">
      <c r="B8" s="163" t="s">
        <v>2</v>
      </c>
      <c r="C8" s="163" t="s">
        <v>76</v>
      </c>
      <c r="D8" s="98">
        <v>76</v>
      </c>
      <c r="E8" s="52" t="s">
        <v>71</v>
      </c>
      <c r="F8" s="98">
        <v>3</v>
      </c>
      <c r="G8" s="98">
        <v>2</v>
      </c>
      <c r="H8" s="98">
        <v>152</v>
      </c>
      <c r="I8" s="98">
        <v>228</v>
      </c>
      <c r="J8" s="98">
        <v>152</v>
      </c>
      <c r="K8" s="98">
        <v>432</v>
      </c>
      <c r="L8" s="170">
        <v>32864</v>
      </c>
      <c r="M8" s="163" t="s">
        <v>121</v>
      </c>
      <c r="N8" s="106" t="s">
        <v>149</v>
      </c>
      <c r="O8" s="98" t="s">
        <v>129</v>
      </c>
      <c r="P8" s="108">
        <f t="shared" si="3"/>
        <v>0.18338111999999998</v>
      </c>
      <c r="Q8" s="113">
        <f t="shared" si="4"/>
        <v>366.76223999999996</v>
      </c>
      <c r="R8" s="113">
        <v>12</v>
      </c>
      <c r="S8" s="153" t="s">
        <v>207</v>
      </c>
      <c r="T8" s="171">
        <f t="shared" ref="T8:T14" si="17">W8</f>
        <v>5.8414418181441219</v>
      </c>
      <c r="U8" s="165">
        <f t="shared" si="13"/>
        <v>32864</v>
      </c>
      <c r="V8" s="106">
        <f>0.0093/10</f>
        <v>9.2999999999999995E-4</v>
      </c>
      <c r="W8" s="158">
        <v>5.8414418181441219</v>
      </c>
      <c r="X8" s="112">
        <f t="shared" si="6"/>
        <v>1.3537963296</v>
      </c>
      <c r="Y8" s="106">
        <v>8760</v>
      </c>
      <c r="Z8" s="121">
        <f t="shared" si="0"/>
        <v>0.30908592000000001</v>
      </c>
      <c r="AA8" s="108">
        <f>3.3/100</f>
        <v>3.3000000000000002E-2</v>
      </c>
      <c r="AB8" s="154" t="s">
        <v>218</v>
      </c>
      <c r="AC8" s="157">
        <f>H8</f>
        <v>152</v>
      </c>
      <c r="AD8" s="121">
        <v>0.04</v>
      </c>
      <c r="AE8" s="187">
        <f t="shared" si="1"/>
        <v>3.1019999999999999E-2</v>
      </c>
      <c r="AF8" s="158">
        <v>2.3E-2</v>
      </c>
      <c r="AG8" s="115">
        <f t="shared" si="7"/>
        <v>2.9959199999999998E-2</v>
      </c>
      <c r="AH8" s="106">
        <v>8760</v>
      </c>
      <c r="AI8" s="99">
        <f t="shared" si="8"/>
        <v>6.8399999999999997E-3</v>
      </c>
      <c r="AJ8" s="114">
        <f t="shared" si="9"/>
        <v>4.0000000000000001E-3</v>
      </c>
      <c r="AK8" s="154" t="s">
        <v>207</v>
      </c>
      <c r="AL8" s="52">
        <f>I8</f>
        <v>228</v>
      </c>
      <c r="AM8" s="172">
        <f t="shared" si="15"/>
        <v>5.3055555555555545E-5</v>
      </c>
      <c r="AN8" s="99">
        <f t="shared" si="2"/>
        <v>5.3055555555555545E-5</v>
      </c>
      <c r="AO8" s="52">
        <v>7.4999999999999997E-3</v>
      </c>
      <c r="AP8" s="160">
        <v>5.3055555555555545E-5</v>
      </c>
      <c r="AQ8" s="115">
        <f t="shared" si="10"/>
        <v>0.12483</v>
      </c>
      <c r="AR8" s="106">
        <v>8760</v>
      </c>
      <c r="AS8" s="176">
        <f t="shared" si="11"/>
        <v>2.8500000000000001E-2</v>
      </c>
      <c r="AT8" s="118">
        <f t="shared" si="12"/>
        <v>2.5000000000000001E-2</v>
      </c>
      <c r="AU8" s="154" t="s">
        <v>207</v>
      </c>
      <c r="AV8" s="52">
        <f>J8</f>
        <v>152</v>
      </c>
      <c r="AW8" s="87">
        <f t="shared" ref="AW8:AW14" si="18">AZ8</f>
        <v>1.3906301824212272E-4</v>
      </c>
      <c r="AX8" s="173">
        <f t="shared" si="16"/>
        <v>1.3906301824212272E-4</v>
      </c>
      <c r="AY8" s="52">
        <v>7.4999999999999997E-3</v>
      </c>
      <c r="AZ8" s="159">
        <f>'Enc1 Part VI BL Q89'!J44</f>
        <v>1.3906301824212272E-4</v>
      </c>
    </row>
    <row r="9" spans="2:52" s="119" customFormat="1" x14ac:dyDescent="0.2">
      <c r="B9" s="163" t="s">
        <v>38</v>
      </c>
      <c r="C9" s="163" t="s">
        <v>77</v>
      </c>
      <c r="D9" s="98">
        <v>82</v>
      </c>
      <c r="E9" s="52" t="s">
        <v>71</v>
      </c>
      <c r="F9" s="98">
        <v>4</v>
      </c>
      <c r="G9" s="98">
        <v>1</v>
      </c>
      <c r="H9" s="98">
        <v>164</v>
      </c>
      <c r="I9" s="98">
        <v>328</v>
      </c>
      <c r="J9" s="98">
        <v>82</v>
      </c>
      <c r="K9" s="98">
        <v>467.4</v>
      </c>
      <c r="L9" s="170">
        <v>38330</v>
      </c>
      <c r="M9" s="163" t="s">
        <v>127</v>
      </c>
      <c r="N9" s="106" t="s">
        <v>149</v>
      </c>
      <c r="O9" s="98" t="s">
        <v>129</v>
      </c>
      <c r="P9" s="109">
        <f t="shared" si="3"/>
        <v>0.21388139999999997</v>
      </c>
      <c r="Q9" s="113">
        <f t="shared" si="4"/>
        <v>427.76279999999997</v>
      </c>
      <c r="R9" s="113">
        <v>12</v>
      </c>
      <c r="S9" s="153" t="s">
        <v>208</v>
      </c>
      <c r="T9" s="171">
        <f t="shared" si="17"/>
        <v>9.0208333333333339</v>
      </c>
      <c r="U9" s="165">
        <f t="shared" si="13"/>
        <v>38330</v>
      </c>
      <c r="V9" s="106">
        <f t="shared" ref="V9:V12" si="19">0.0093/10</f>
        <v>9.2999999999999995E-4</v>
      </c>
      <c r="W9" s="158">
        <v>9.0208333333333339</v>
      </c>
      <c r="X9" s="112">
        <f t="shared" si="6"/>
        <v>1.770515136</v>
      </c>
      <c r="Y9" s="106">
        <v>8760</v>
      </c>
      <c r="Z9" s="121">
        <f t="shared" si="0"/>
        <v>0.40422720000000001</v>
      </c>
      <c r="AA9" s="109">
        <f t="shared" si="14"/>
        <v>0.04</v>
      </c>
      <c r="AB9" s="154" t="s">
        <v>210</v>
      </c>
      <c r="AC9" s="157">
        <f>H9</f>
        <v>164</v>
      </c>
      <c r="AD9" s="121">
        <v>0.04</v>
      </c>
      <c r="AE9" s="187">
        <f t="shared" si="1"/>
        <v>3.7600000000000001E-2</v>
      </c>
      <c r="AF9" s="158">
        <v>2.3E-2</v>
      </c>
      <c r="AG9" s="115">
        <f t="shared" si="7"/>
        <v>4.3099199999999997E-2</v>
      </c>
      <c r="AH9" s="106">
        <v>8760</v>
      </c>
      <c r="AI9" s="99">
        <f t="shared" si="8"/>
        <v>9.8399999999999998E-3</v>
      </c>
      <c r="AJ9" s="114">
        <f t="shared" si="9"/>
        <v>4.0000000000000001E-3</v>
      </c>
      <c r="AK9" s="154" t="s">
        <v>208</v>
      </c>
      <c r="AL9" s="52">
        <f>I9</f>
        <v>328</v>
      </c>
      <c r="AM9" s="87">
        <f t="shared" si="15"/>
        <v>6.0000000000000006E-4</v>
      </c>
      <c r="AN9" s="173">
        <f t="shared" si="2"/>
        <v>6.0000000000000006E-4</v>
      </c>
      <c r="AO9" s="52">
        <v>7.4999999999999997E-3</v>
      </c>
      <c r="AP9" s="159">
        <v>6.0000000000000006E-4</v>
      </c>
      <c r="AQ9" s="115">
        <f t="shared" si="10"/>
        <v>6.73425E-2</v>
      </c>
      <c r="AR9" s="106">
        <v>8760</v>
      </c>
      <c r="AS9" s="176">
        <f t="shared" si="11"/>
        <v>1.5375000000000002E-2</v>
      </c>
      <c r="AT9" s="118">
        <f t="shared" si="12"/>
        <v>2.5000000000000001E-2</v>
      </c>
      <c r="AU9" s="154" t="s">
        <v>208</v>
      </c>
      <c r="AV9" s="52">
        <f>J9</f>
        <v>82</v>
      </c>
      <c r="AW9" s="175">
        <f t="shared" si="18"/>
        <v>5.3999999999999994E-3</v>
      </c>
      <c r="AX9" s="173">
        <f t="shared" si="16"/>
        <v>5.3999999999999994E-3</v>
      </c>
      <c r="AY9" s="52">
        <v>7.4999999999999997E-3</v>
      </c>
      <c r="AZ9" s="159">
        <f>'Enc1 Part VI BL Q89'!J57</f>
        <v>5.3999999999999994E-3</v>
      </c>
    </row>
    <row r="10" spans="2:52" s="119" customFormat="1" x14ac:dyDescent="0.2">
      <c r="B10" s="163" t="s">
        <v>38</v>
      </c>
      <c r="C10" s="163" t="s">
        <v>78</v>
      </c>
      <c r="D10" s="98">
        <v>82</v>
      </c>
      <c r="E10" s="52" t="s">
        <v>71</v>
      </c>
      <c r="F10" s="98">
        <v>4</v>
      </c>
      <c r="G10" s="98">
        <v>1</v>
      </c>
      <c r="H10" s="98">
        <v>164</v>
      </c>
      <c r="I10" s="98">
        <v>328</v>
      </c>
      <c r="J10" s="98">
        <v>82</v>
      </c>
      <c r="K10" s="98">
        <v>468.6</v>
      </c>
      <c r="L10" s="170">
        <v>38426</v>
      </c>
      <c r="M10" s="163" t="s">
        <v>127</v>
      </c>
      <c r="N10" s="106" t="s">
        <v>149</v>
      </c>
      <c r="O10" s="98" t="s">
        <v>129</v>
      </c>
      <c r="P10" s="109">
        <f t="shared" si="3"/>
        <v>0.21441708000000001</v>
      </c>
      <c r="Q10" s="113">
        <f t="shared" si="4"/>
        <v>428.83416</v>
      </c>
      <c r="R10" s="113">
        <v>12</v>
      </c>
      <c r="S10" s="153" t="s">
        <v>208</v>
      </c>
      <c r="T10" s="171">
        <f t="shared" si="17"/>
        <v>9.6758333333333351</v>
      </c>
      <c r="U10" s="165">
        <f t="shared" si="13"/>
        <v>38426</v>
      </c>
      <c r="V10" s="106">
        <f t="shared" si="19"/>
        <v>9.2999999999999995E-4</v>
      </c>
      <c r="W10" s="158">
        <v>9.6758333333333351</v>
      </c>
      <c r="X10" s="112">
        <f t="shared" si="6"/>
        <v>1.770515136</v>
      </c>
      <c r="Y10" s="106">
        <v>8760</v>
      </c>
      <c r="Z10" s="121">
        <f t="shared" si="0"/>
        <v>0.40422720000000001</v>
      </c>
      <c r="AA10" s="109">
        <f t="shared" si="14"/>
        <v>0.04</v>
      </c>
      <c r="AB10" s="154" t="s">
        <v>210</v>
      </c>
      <c r="AC10" s="157">
        <f>H10</f>
        <v>164</v>
      </c>
      <c r="AD10" s="121">
        <v>0.04</v>
      </c>
      <c r="AE10" s="187">
        <f t="shared" si="1"/>
        <v>3.7600000000000001E-2</v>
      </c>
      <c r="AF10" s="158">
        <v>2.3E-2</v>
      </c>
      <c r="AG10" s="115">
        <f t="shared" si="7"/>
        <v>4.3099199999999997E-2</v>
      </c>
      <c r="AH10" s="106">
        <v>8760</v>
      </c>
      <c r="AI10" s="99">
        <f t="shared" si="8"/>
        <v>9.8399999999999998E-3</v>
      </c>
      <c r="AJ10" s="114">
        <f t="shared" si="9"/>
        <v>4.0000000000000001E-3</v>
      </c>
      <c r="AK10" s="154" t="s">
        <v>208</v>
      </c>
      <c r="AL10" s="52">
        <f>I10</f>
        <v>328</v>
      </c>
      <c r="AM10" s="175">
        <f t="shared" si="15"/>
        <v>1.3916666666666667E-3</v>
      </c>
      <c r="AN10" s="173">
        <f t="shared" si="2"/>
        <v>1.3916666666666667E-3</v>
      </c>
      <c r="AO10" s="52">
        <v>7.4999999999999997E-3</v>
      </c>
      <c r="AP10" s="159">
        <v>1.3916666666666667E-3</v>
      </c>
      <c r="AQ10" s="115">
        <f t="shared" si="10"/>
        <v>6.73425E-2</v>
      </c>
      <c r="AR10" s="106">
        <v>8760</v>
      </c>
      <c r="AS10" s="176">
        <f t="shared" si="11"/>
        <v>1.5375000000000002E-2</v>
      </c>
      <c r="AT10" s="118">
        <f t="shared" si="12"/>
        <v>2.5000000000000001E-2</v>
      </c>
      <c r="AU10" s="154" t="s">
        <v>208</v>
      </c>
      <c r="AV10" s="52">
        <f>J10</f>
        <v>82</v>
      </c>
      <c r="AW10" s="175">
        <f t="shared" si="18"/>
        <v>7.7250000000000001E-3</v>
      </c>
      <c r="AX10" s="173">
        <f t="shared" si="16"/>
        <v>7.7250000000000001E-3</v>
      </c>
      <c r="AY10" s="52">
        <v>7.4999999999999997E-3</v>
      </c>
      <c r="AZ10" s="159">
        <f>'Enc1 Part VI BL Q89'!J70</f>
        <v>7.7250000000000001E-3</v>
      </c>
    </row>
    <row r="11" spans="2:52" s="119" customFormat="1" x14ac:dyDescent="0.2">
      <c r="B11" s="163" t="s">
        <v>41</v>
      </c>
      <c r="C11" s="163" t="s">
        <v>42</v>
      </c>
      <c r="D11" s="98">
        <v>37</v>
      </c>
      <c r="E11" s="52" t="s">
        <v>71</v>
      </c>
      <c r="F11" s="98">
        <v>4</v>
      </c>
      <c r="G11" s="98">
        <v>2</v>
      </c>
      <c r="H11" s="98">
        <v>74</v>
      </c>
      <c r="I11" s="98">
        <v>148</v>
      </c>
      <c r="J11" s="98">
        <v>74</v>
      </c>
      <c r="K11" s="170">
        <v>471.96428571428572</v>
      </c>
      <c r="L11" s="170">
        <f>17463</f>
        <v>17463</v>
      </c>
      <c r="M11" s="163" t="s">
        <v>138</v>
      </c>
      <c r="N11" s="106" t="s">
        <v>149</v>
      </c>
      <c r="O11" s="98" t="s">
        <v>129</v>
      </c>
      <c r="P11" s="108">
        <f t="shared" si="3"/>
        <v>9.7443539999999995E-2</v>
      </c>
      <c r="Q11" s="177">
        <f t="shared" si="4"/>
        <v>194.88708</v>
      </c>
      <c r="R11" s="113">
        <v>12</v>
      </c>
      <c r="S11" s="153" t="s">
        <v>208</v>
      </c>
      <c r="T11" s="171">
        <f t="shared" si="17"/>
        <v>6.3308333333333335</v>
      </c>
      <c r="U11" s="165">
        <f t="shared" si="13"/>
        <v>17463</v>
      </c>
      <c r="V11" s="106">
        <f t="shared" si="19"/>
        <v>9.2999999999999995E-4</v>
      </c>
      <c r="W11" s="158">
        <v>6.3308333333333335</v>
      </c>
      <c r="X11" s="109">
        <f t="shared" si="6"/>
        <v>0.65908505520000005</v>
      </c>
      <c r="Y11" s="106">
        <v>8760</v>
      </c>
      <c r="Z11" s="121">
        <f t="shared" si="0"/>
        <v>0.15047604000000001</v>
      </c>
      <c r="AA11" s="108">
        <f>3.3/100</f>
        <v>3.3000000000000002E-2</v>
      </c>
      <c r="AB11" s="154" t="s">
        <v>217</v>
      </c>
      <c r="AC11" s="157">
        <f>H11</f>
        <v>74</v>
      </c>
      <c r="AD11" s="121">
        <v>0.04</v>
      </c>
      <c r="AE11" s="187">
        <f t="shared" si="1"/>
        <v>3.1019999999999999E-2</v>
      </c>
      <c r="AF11" s="158">
        <v>2.3E-2</v>
      </c>
      <c r="AG11" s="115">
        <f t="shared" si="7"/>
        <v>1.9447199999999998E-2</v>
      </c>
      <c r="AH11" s="106">
        <v>8760</v>
      </c>
      <c r="AI11" s="99">
        <f t="shared" si="8"/>
        <v>4.4399999999999995E-3</v>
      </c>
      <c r="AJ11" s="114">
        <f t="shared" si="9"/>
        <v>4.0000000000000001E-3</v>
      </c>
      <c r="AK11" s="154" t="s">
        <v>208</v>
      </c>
      <c r="AL11" s="52">
        <f>I11</f>
        <v>148</v>
      </c>
      <c r="AM11" s="87">
        <f t="shared" si="15"/>
        <v>0</v>
      </c>
      <c r="AN11" s="173">
        <f t="shared" si="2"/>
        <v>0</v>
      </c>
      <c r="AO11" s="52">
        <v>7.4999999999999997E-3</v>
      </c>
      <c r="AP11" s="159">
        <v>0</v>
      </c>
      <c r="AQ11" s="115">
        <f t="shared" si="10"/>
        <v>6.07725E-2</v>
      </c>
      <c r="AR11" s="106">
        <v>8760</v>
      </c>
      <c r="AS11" s="176">
        <f t="shared" si="11"/>
        <v>1.3875E-2</v>
      </c>
      <c r="AT11" s="118">
        <f t="shared" si="12"/>
        <v>2.5000000000000001E-2</v>
      </c>
      <c r="AU11" s="154" t="s">
        <v>208</v>
      </c>
      <c r="AV11" s="52">
        <f>J11</f>
        <v>74</v>
      </c>
      <c r="AW11" s="175">
        <f t="shared" si="18"/>
        <v>4.816666666666667E-3</v>
      </c>
      <c r="AX11" s="173">
        <f t="shared" si="16"/>
        <v>4.816666666666667E-3</v>
      </c>
      <c r="AY11" s="52">
        <v>7.4999999999999997E-3</v>
      </c>
      <c r="AZ11" s="159">
        <f>'Enc1 Part VI BL Q89'!J83/100</f>
        <v>4.816666666666667E-3</v>
      </c>
    </row>
    <row r="12" spans="2:52" s="119" customFormat="1" x14ac:dyDescent="0.2">
      <c r="B12" s="163" t="s">
        <v>41</v>
      </c>
      <c r="C12" s="163" t="s">
        <v>44</v>
      </c>
      <c r="D12" s="98">
        <v>19</v>
      </c>
      <c r="E12" s="52" t="s">
        <v>71</v>
      </c>
      <c r="F12" s="98">
        <v>4</v>
      </c>
      <c r="G12" s="98">
        <v>2</v>
      </c>
      <c r="H12" s="98">
        <v>38</v>
      </c>
      <c r="I12" s="98">
        <v>76</v>
      </c>
      <c r="J12" s="98">
        <v>38</v>
      </c>
      <c r="K12" s="170">
        <v>471.96428571428572</v>
      </c>
      <c r="L12" s="170">
        <f>8967</f>
        <v>8967</v>
      </c>
      <c r="M12" s="163"/>
      <c r="N12" s="106" t="s">
        <v>149</v>
      </c>
      <c r="O12" s="98" t="s">
        <v>129</v>
      </c>
      <c r="P12" s="108">
        <f t="shared" si="3"/>
        <v>5.0035860000000001E-2</v>
      </c>
      <c r="Q12" s="177">
        <f t="shared" si="4"/>
        <v>100.07172</v>
      </c>
      <c r="R12" s="113">
        <v>12</v>
      </c>
      <c r="S12" s="153" t="s">
        <v>208</v>
      </c>
      <c r="T12" s="171">
        <f t="shared" si="17"/>
        <v>6.3308333333333335</v>
      </c>
      <c r="U12" s="165">
        <f t="shared" si="13"/>
        <v>8967</v>
      </c>
      <c r="V12" s="106">
        <f t="shared" si="19"/>
        <v>9.2999999999999995E-4</v>
      </c>
      <c r="W12" s="158">
        <v>6.3308333333333335</v>
      </c>
      <c r="X12" s="109">
        <f t="shared" si="6"/>
        <v>0.33844908239999999</v>
      </c>
      <c r="Y12" s="106">
        <v>8760</v>
      </c>
      <c r="Z12" s="121">
        <f t="shared" si="0"/>
        <v>7.7271480000000003E-2</v>
      </c>
      <c r="AA12" s="108">
        <f>3.3/100</f>
        <v>3.3000000000000002E-2</v>
      </c>
      <c r="AB12" s="154" t="s">
        <v>217</v>
      </c>
      <c r="AC12" s="157">
        <f>H12</f>
        <v>38</v>
      </c>
      <c r="AD12" s="121">
        <v>0.04</v>
      </c>
      <c r="AE12" s="187">
        <f t="shared" si="1"/>
        <v>3.1019999999999999E-2</v>
      </c>
      <c r="AF12" s="158">
        <v>2.3E-2</v>
      </c>
      <c r="AG12" s="115">
        <f t="shared" si="7"/>
        <v>9.9863999999999994E-3</v>
      </c>
      <c r="AH12" s="106">
        <v>8760</v>
      </c>
      <c r="AI12" s="99">
        <f t="shared" si="8"/>
        <v>2.2799999999999999E-3</v>
      </c>
      <c r="AJ12" s="114">
        <f t="shared" si="9"/>
        <v>4.0000000000000001E-3</v>
      </c>
      <c r="AK12" s="154" t="s">
        <v>208</v>
      </c>
      <c r="AL12" s="52">
        <f>I12</f>
        <v>76</v>
      </c>
      <c r="AM12" s="87">
        <f t="shared" si="15"/>
        <v>0</v>
      </c>
      <c r="AN12" s="173">
        <f t="shared" si="2"/>
        <v>0</v>
      </c>
      <c r="AO12" s="52">
        <v>7.4999999999999997E-3</v>
      </c>
      <c r="AP12" s="159">
        <v>0</v>
      </c>
      <c r="AQ12" s="115">
        <f t="shared" si="10"/>
        <v>3.1207499999999999E-2</v>
      </c>
      <c r="AR12" s="106">
        <v>8760</v>
      </c>
      <c r="AS12" s="176">
        <f t="shared" si="11"/>
        <v>7.1250000000000003E-3</v>
      </c>
      <c r="AT12" s="118">
        <f t="shared" si="12"/>
        <v>2.5000000000000001E-2</v>
      </c>
      <c r="AU12" s="154" t="s">
        <v>208</v>
      </c>
      <c r="AV12" s="52">
        <f>J12</f>
        <v>38</v>
      </c>
      <c r="AW12" s="175">
        <f t="shared" si="18"/>
        <v>2.075E-3</v>
      </c>
      <c r="AX12" s="173">
        <f t="shared" si="16"/>
        <v>2.075E-3</v>
      </c>
      <c r="AY12" s="52">
        <v>7.4999999999999997E-3</v>
      </c>
      <c r="AZ12" s="159">
        <f>'Enc1 Part VI BL Q89'!J96/100</f>
        <v>2.075E-3</v>
      </c>
    </row>
    <row r="13" spans="2:52" s="119" customFormat="1" x14ac:dyDescent="0.2">
      <c r="B13" s="163" t="s">
        <v>45</v>
      </c>
      <c r="C13" s="163" t="s">
        <v>79</v>
      </c>
      <c r="D13" s="98">
        <v>85</v>
      </c>
      <c r="E13" s="52" t="s">
        <v>71</v>
      </c>
      <c r="F13" s="98">
        <v>3</v>
      </c>
      <c r="G13" s="98">
        <v>2</v>
      </c>
      <c r="H13" s="98">
        <v>170</v>
      </c>
      <c r="I13" s="98">
        <v>255</v>
      </c>
      <c r="J13" s="98">
        <v>170</v>
      </c>
      <c r="K13" s="98">
        <v>424</v>
      </c>
      <c r="L13" s="170">
        <v>30078</v>
      </c>
      <c r="M13" s="163" t="s">
        <v>138</v>
      </c>
      <c r="N13" s="106" t="s">
        <v>149</v>
      </c>
      <c r="O13" s="98" t="s">
        <v>129</v>
      </c>
      <c r="P13" s="108">
        <f t="shared" si="3"/>
        <v>0.16783524</v>
      </c>
      <c r="Q13" s="113">
        <f t="shared" si="4"/>
        <v>335.67048</v>
      </c>
      <c r="R13" s="113">
        <v>12</v>
      </c>
      <c r="S13" s="153" t="s">
        <v>208</v>
      </c>
      <c r="T13" s="171">
        <f t="shared" si="17"/>
        <v>3.5150832053251411</v>
      </c>
      <c r="U13" s="165">
        <f t="shared" si="13"/>
        <v>30078</v>
      </c>
      <c r="V13" s="106">
        <f>0.0093/10</f>
        <v>9.2999999999999995E-4</v>
      </c>
      <c r="W13" s="158">
        <v>3.5150832053251411</v>
      </c>
      <c r="X13" s="112">
        <f t="shared" si="6"/>
        <v>1.5141143159999999</v>
      </c>
      <c r="Y13" s="106">
        <v>8760</v>
      </c>
      <c r="Z13" s="121">
        <f t="shared" si="0"/>
        <v>0.3456882</v>
      </c>
      <c r="AA13" s="108">
        <f>3.3/100</f>
        <v>3.3000000000000002E-2</v>
      </c>
      <c r="AB13" s="154" t="s">
        <v>217</v>
      </c>
      <c r="AC13" s="157">
        <f>H13</f>
        <v>170</v>
      </c>
      <c r="AD13" s="121">
        <v>0.04</v>
      </c>
      <c r="AE13" s="187">
        <f t="shared" si="1"/>
        <v>3.1019999999999999E-2</v>
      </c>
      <c r="AF13" s="158">
        <v>2.3E-2</v>
      </c>
      <c r="AG13" s="115">
        <f t="shared" si="7"/>
        <v>3.3506999999999995E-2</v>
      </c>
      <c r="AH13" s="106">
        <v>8760</v>
      </c>
      <c r="AI13" s="99">
        <f t="shared" si="8"/>
        <v>7.6499999999999997E-3</v>
      </c>
      <c r="AJ13" s="114">
        <f t="shared" si="9"/>
        <v>4.0000000000000001E-3</v>
      </c>
      <c r="AK13" s="154" t="s">
        <v>208</v>
      </c>
      <c r="AL13" s="52">
        <f>I13</f>
        <v>255</v>
      </c>
      <c r="AM13" s="87">
        <f t="shared" si="15"/>
        <v>3.8722691496092659E-4</v>
      </c>
      <c r="AN13" s="173">
        <f t="shared" si="2"/>
        <v>3.8722691496092659E-4</v>
      </c>
      <c r="AO13" s="52">
        <v>7.4999999999999997E-3</v>
      </c>
      <c r="AP13" s="159">
        <v>3.8722691496092659E-4</v>
      </c>
      <c r="AQ13" s="115">
        <f t="shared" si="10"/>
        <v>0.1396125</v>
      </c>
      <c r="AR13" s="106">
        <v>8760</v>
      </c>
      <c r="AS13" s="176">
        <f t="shared" si="11"/>
        <v>3.1875000000000001E-2</v>
      </c>
      <c r="AT13" s="118">
        <f t="shared" si="12"/>
        <v>2.5000000000000001E-2</v>
      </c>
      <c r="AU13" s="154" t="s">
        <v>208</v>
      </c>
      <c r="AV13" s="52">
        <f>J13</f>
        <v>170</v>
      </c>
      <c r="AW13" s="175">
        <f t="shared" si="18"/>
        <v>8.0456297763695627E-3</v>
      </c>
      <c r="AX13" s="173">
        <f t="shared" si="16"/>
        <v>8.0456297763695627E-3</v>
      </c>
      <c r="AY13" s="52">
        <v>7.4999999999999997E-3</v>
      </c>
      <c r="AZ13" s="159">
        <f>'Enc1 Part VI BL Q89'!J109</f>
        <v>8.0456297763695627E-3</v>
      </c>
    </row>
    <row r="14" spans="2:52" s="119" customFormat="1" x14ac:dyDescent="0.2">
      <c r="B14" s="163" t="s">
        <v>47</v>
      </c>
      <c r="C14" s="163" t="s">
        <v>81</v>
      </c>
      <c r="D14" s="98">
        <v>85</v>
      </c>
      <c r="E14" s="52" t="s">
        <v>71</v>
      </c>
      <c r="F14" s="98">
        <v>4</v>
      </c>
      <c r="G14" s="98">
        <v>2</v>
      </c>
      <c r="H14" s="98">
        <v>170</v>
      </c>
      <c r="I14" s="98">
        <v>340</v>
      </c>
      <c r="J14" s="98">
        <v>170</v>
      </c>
      <c r="K14" s="98">
        <f>AVERAGE(258.3,497.4)</f>
        <v>377.85</v>
      </c>
      <c r="L14" s="170">
        <v>42355</v>
      </c>
      <c r="M14" s="163" t="s">
        <v>148</v>
      </c>
      <c r="N14" s="106" t="s">
        <v>149</v>
      </c>
      <c r="O14" s="98" t="s">
        <v>150</v>
      </c>
      <c r="P14" s="108">
        <f t="shared" si="3"/>
        <v>0.23634089999999996</v>
      </c>
      <c r="Q14" s="113">
        <f t="shared" si="4"/>
        <v>472.68179999999995</v>
      </c>
      <c r="R14" s="113">
        <v>12</v>
      </c>
      <c r="S14" s="153" t="s">
        <v>208</v>
      </c>
      <c r="T14" s="171">
        <f t="shared" si="17"/>
        <v>1.3083333333333333</v>
      </c>
      <c r="U14" s="165">
        <f t="shared" si="13"/>
        <v>42355</v>
      </c>
      <c r="V14" s="106">
        <f>0.0093/10</f>
        <v>9.2999999999999995E-4</v>
      </c>
      <c r="W14" s="158">
        <v>1.3083333333333333</v>
      </c>
      <c r="X14" s="112">
        <f t="shared" si="6"/>
        <v>1.8352900800000003</v>
      </c>
      <c r="Y14" s="106">
        <v>8760</v>
      </c>
      <c r="Z14" s="121">
        <f t="shared" si="0"/>
        <v>0.41901600000000006</v>
      </c>
      <c r="AA14" s="109">
        <f t="shared" si="14"/>
        <v>0.04</v>
      </c>
      <c r="AB14" s="154" t="s">
        <v>210</v>
      </c>
      <c r="AC14" s="157">
        <f>H14</f>
        <v>170</v>
      </c>
      <c r="AD14" s="121">
        <v>0.04</v>
      </c>
      <c r="AE14" s="187">
        <f t="shared" si="1"/>
        <v>3.7600000000000001E-2</v>
      </c>
      <c r="AF14" s="158">
        <v>2.3E-2</v>
      </c>
      <c r="AG14" s="115">
        <f t="shared" si="7"/>
        <v>4.4676E-2</v>
      </c>
      <c r="AH14" s="106">
        <v>8760</v>
      </c>
      <c r="AI14" s="99">
        <f t="shared" si="8"/>
        <v>1.0200000000000001E-2</v>
      </c>
      <c r="AJ14" s="114">
        <f t="shared" si="9"/>
        <v>4.0000000000000001E-3</v>
      </c>
      <c r="AK14" s="154" t="s">
        <v>208</v>
      </c>
      <c r="AL14" s="52">
        <f>I14</f>
        <v>340</v>
      </c>
      <c r="AM14" s="178">
        <f t="shared" si="15"/>
        <v>8.3333333333333337E-6</v>
      </c>
      <c r="AN14" s="173">
        <f t="shared" si="2"/>
        <v>8.3333333333333337E-6</v>
      </c>
      <c r="AO14" s="52">
        <v>7.4999999999999997E-3</v>
      </c>
      <c r="AP14" s="159">
        <v>8.3333333333333337E-6</v>
      </c>
      <c r="AQ14" s="115">
        <f t="shared" si="10"/>
        <v>0.1396125</v>
      </c>
      <c r="AR14" s="106">
        <v>8760</v>
      </c>
      <c r="AS14" s="176">
        <f t="shared" si="11"/>
        <v>3.1875000000000001E-2</v>
      </c>
      <c r="AT14" s="118">
        <f t="shared" si="12"/>
        <v>2.5000000000000001E-2</v>
      </c>
      <c r="AU14" s="154" t="s">
        <v>208</v>
      </c>
      <c r="AV14" s="52">
        <f>J14</f>
        <v>170</v>
      </c>
      <c r="AW14" s="87">
        <f t="shared" si="18"/>
        <v>1.4999999999999999E-4</v>
      </c>
      <c r="AX14" s="173">
        <f t="shared" si="16"/>
        <v>1.4999999999999999E-4</v>
      </c>
      <c r="AY14" s="52">
        <v>7.4999999999999997E-3</v>
      </c>
      <c r="AZ14" s="159">
        <f>'Enc1 Part VI BL Q89'!J148/100</f>
        <v>1.4999999999999999E-4</v>
      </c>
    </row>
    <row r="15" spans="2:52" s="119" customFormat="1" x14ac:dyDescent="0.2">
      <c r="B15" s="163" t="s">
        <v>7</v>
      </c>
      <c r="C15" s="163" t="s">
        <v>82</v>
      </c>
      <c r="D15" s="98">
        <v>64</v>
      </c>
      <c r="E15" s="52" t="s">
        <v>71</v>
      </c>
      <c r="F15" s="98">
        <v>4</v>
      </c>
      <c r="G15" s="98">
        <v>2</v>
      </c>
      <c r="H15" s="98">
        <f>64*2</f>
        <v>128</v>
      </c>
      <c r="I15" s="98">
        <f>4*64</f>
        <v>256</v>
      </c>
      <c r="J15" s="98">
        <f>2*64</f>
        <v>128</v>
      </c>
      <c r="K15" s="157">
        <f>L15/64</f>
        <v>332.515625</v>
      </c>
      <c r="L15" s="170">
        <v>21281</v>
      </c>
      <c r="M15" s="163" t="s">
        <v>174</v>
      </c>
      <c r="N15" s="106" t="s">
        <v>149</v>
      </c>
      <c r="O15" s="98" t="s">
        <v>153</v>
      </c>
      <c r="P15" s="108">
        <f t="shared" si="3"/>
        <v>0.11874798</v>
      </c>
      <c r="Q15" s="113">
        <f t="shared" si="4"/>
        <v>237.49596</v>
      </c>
      <c r="R15" s="113">
        <v>12</v>
      </c>
      <c r="S15" s="153" t="s">
        <v>208</v>
      </c>
      <c r="T15" s="179">
        <v>4.4580000000000002</v>
      </c>
      <c r="U15" s="165">
        <f t="shared" si="13"/>
        <v>21281</v>
      </c>
      <c r="V15" s="106">
        <f t="shared" ref="V15:V30" si="20">0.0093/10</f>
        <v>9.2999999999999995E-4</v>
      </c>
      <c r="W15" s="52"/>
      <c r="X15" s="109">
        <f>Z15*Y15/2000</f>
        <v>1.1400390144000001</v>
      </c>
      <c r="Y15" s="106">
        <v>8760</v>
      </c>
      <c r="Z15" s="121">
        <f t="shared" si="0"/>
        <v>0.26028287999999999</v>
      </c>
      <c r="AA15" s="108">
        <f t="shared" ref="AA15:AA22" si="21">3.3/100</f>
        <v>3.3000000000000002E-2</v>
      </c>
      <c r="AB15" s="154" t="s">
        <v>217</v>
      </c>
      <c r="AC15" s="157">
        <f>H15</f>
        <v>128</v>
      </c>
      <c r="AD15" s="121">
        <v>0.04</v>
      </c>
      <c r="AE15" s="187">
        <f t="shared" si="1"/>
        <v>3.1019999999999999E-2</v>
      </c>
      <c r="AF15" s="158">
        <v>2.3E-2</v>
      </c>
      <c r="AG15" s="115">
        <f t="shared" si="7"/>
        <v>3.3638400000000006E-2</v>
      </c>
      <c r="AH15" s="106">
        <v>8760</v>
      </c>
      <c r="AI15" s="99">
        <f t="shared" si="8"/>
        <v>7.6800000000000002E-3</v>
      </c>
      <c r="AJ15" s="114">
        <f t="shared" si="9"/>
        <v>4.0000000000000001E-3</v>
      </c>
      <c r="AK15" s="154" t="s">
        <v>208</v>
      </c>
      <c r="AL15" s="52">
        <f>I15</f>
        <v>256</v>
      </c>
      <c r="AM15" s="87">
        <v>0</v>
      </c>
      <c r="AN15" s="173">
        <f t="shared" si="2"/>
        <v>0</v>
      </c>
      <c r="AO15" s="52">
        <v>7.4999999999999997E-3</v>
      </c>
      <c r="AP15" s="52"/>
      <c r="AQ15" s="115">
        <f t="shared" si="10"/>
        <v>0.10512000000000001</v>
      </c>
      <c r="AR15" s="106">
        <v>8760</v>
      </c>
      <c r="AS15" s="176">
        <f t="shared" si="11"/>
        <v>2.4E-2</v>
      </c>
      <c r="AT15" s="118">
        <f t="shared" si="12"/>
        <v>2.5000000000000001E-2</v>
      </c>
      <c r="AU15" s="154" t="s">
        <v>208</v>
      </c>
      <c r="AV15" s="52">
        <f>J15</f>
        <v>128</v>
      </c>
      <c r="AW15" s="175">
        <v>6.1999999999999998E-3</v>
      </c>
      <c r="AX15" s="173">
        <f t="shared" si="16"/>
        <v>6.1999999999999998E-3</v>
      </c>
      <c r="AY15" s="52">
        <v>7.4999999999999997E-3</v>
      </c>
      <c r="AZ15" s="52"/>
    </row>
    <row r="16" spans="2:52" s="119" customFormat="1" x14ac:dyDescent="0.2">
      <c r="B16" s="163" t="s">
        <v>7</v>
      </c>
      <c r="C16" s="163" t="s">
        <v>44</v>
      </c>
      <c r="D16" s="98">
        <v>64</v>
      </c>
      <c r="E16" s="52" t="s">
        <v>71</v>
      </c>
      <c r="F16" s="98">
        <v>4</v>
      </c>
      <c r="G16" s="98">
        <v>2</v>
      </c>
      <c r="H16" s="98">
        <f>64*2</f>
        <v>128</v>
      </c>
      <c r="I16" s="98">
        <f t="shared" ref="I16:I17" si="22">4*64</f>
        <v>256</v>
      </c>
      <c r="J16" s="98">
        <f t="shared" ref="J16:J17" si="23">2*64</f>
        <v>128</v>
      </c>
      <c r="K16" s="157">
        <f t="shared" ref="K16:K17" si="24">L16/64</f>
        <v>332.515625</v>
      </c>
      <c r="L16" s="170">
        <v>21281</v>
      </c>
      <c r="M16" s="163"/>
      <c r="N16" s="106" t="s">
        <v>149</v>
      </c>
      <c r="O16" s="98" t="s">
        <v>153</v>
      </c>
      <c r="P16" s="108">
        <f t="shared" si="3"/>
        <v>0.11874798</v>
      </c>
      <c r="Q16" s="113">
        <f t="shared" si="4"/>
        <v>237.49596</v>
      </c>
      <c r="R16" s="113">
        <v>12</v>
      </c>
      <c r="S16" s="153" t="s">
        <v>208</v>
      </c>
      <c r="T16" s="179">
        <v>4.532</v>
      </c>
      <c r="U16" s="165">
        <f t="shared" si="13"/>
        <v>21281</v>
      </c>
      <c r="V16" s="106">
        <f t="shared" si="20"/>
        <v>9.2999999999999995E-4</v>
      </c>
      <c r="W16" s="52"/>
      <c r="X16" s="109">
        <f t="shared" si="6"/>
        <v>1.1400390144000001</v>
      </c>
      <c r="Y16" s="106">
        <v>8760</v>
      </c>
      <c r="Z16" s="121">
        <f t="shared" si="0"/>
        <v>0.26028287999999999</v>
      </c>
      <c r="AA16" s="108">
        <f t="shared" si="21"/>
        <v>3.3000000000000002E-2</v>
      </c>
      <c r="AB16" s="154" t="s">
        <v>217</v>
      </c>
      <c r="AC16" s="157">
        <f>H16</f>
        <v>128</v>
      </c>
      <c r="AD16" s="121">
        <v>0.04</v>
      </c>
      <c r="AE16" s="187">
        <f t="shared" si="1"/>
        <v>3.1019999999999999E-2</v>
      </c>
      <c r="AF16" s="158">
        <v>2.3E-2</v>
      </c>
      <c r="AG16" s="115">
        <f t="shared" si="7"/>
        <v>3.3638400000000006E-2</v>
      </c>
      <c r="AH16" s="106">
        <v>8760</v>
      </c>
      <c r="AI16" s="99">
        <f t="shared" si="8"/>
        <v>7.6800000000000002E-3</v>
      </c>
      <c r="AJ16" s="114">
        <f t="shared" si="9"/>
        <v>4.0000000000000001E-3</v>
      </c>
      <c r="AK16" s="154" t="s">
        <v>208</v>
      </c>
      <c r="AL16" s="52">
        <f>I16</f>
        <v>256</v>
      </c>
      <c r="AM16" s="87">
        <v>1E-4</v>
      </c>
      <c r="AN16" s="173">
        <f t="shared" si="2"/>
        <v>1E-4</v>
      </c>
      <c r="AO16" s="52">
        <v>7.4999999999999997E-3</v>
      </c>
      <c r="AP16" s="52"/>
      <c r="AQ16" s="115">
        <f t="shared" si="10"/>
        <v>0.10512000000000001</v>
      </c>
      <c r="AR16" s="106">
        <v>8760</v>
      </c>
      <c r="AS16" s="176">
        <f t="shared" si="11"/>
        <v>2.4E-2</v>
      </c>
      <c r="AT16" s="118">
        <f t="shared" si="12"/>
        <v>2.5000000000000001E-2</v>
      </c>
      <c r="AU16" s="154" t="s">
        <v>208</v>
      </c>
      <c r="AV16" s="52">
        <f>J16</f>
        <v>128</v>
      </c>
      <c r="AW16" s="175">
        <v>5.5999999999999999E-3</v>
      </c>
      <c r="AX16" s="173">
        <f t="shared" si="16"/>
        <v>5.5999999999999999E-3</v>
      </c>
      <c r="AY16" s="52">
        <v>7.4999999999999997E-3</v>
      </c>
      <c r="AZ16" s="52"/>
    </row>
    <row r="17" spans="2:52" s="119" customFormat="1" x14ac:dyDescent="0.2">
      <c r="B17" s="163" t="s">
        <v>7</v>
      </c>
      <c r="C17" s="163" t="s">
        <v>83</v>
      </c>
      <c r="D17" s="98">
        <v>64</v>
      </c>
      <c r="E17" s="52" t="s">
        <v>71</v>
      </c>
      <c r="F17" s="98">
        <v>4</v>
      </c>
      <c r="G17" s="98">
        <v>2</v>
      </c>
      <c r="H17" s="98">
        <f>64*2</f>
        <v>128</v>
      </c>
      <c r="I17" s="98">
        <f t="shared" si="22"/>
        <v>256</v>
      </c>
      <c r="J17" s="98">
        <f t="shared" si="23"/>
        <v>128</v>
      </c>
      <c r="K17" s="157">
        <f t="shared" si="24"/>
        <v>332.515625</v>
      </c>
      <c r="L17" s="170">
        <v>21281</v>
      </c>
      <c r="M17" s="163"/>
      <c r="N17" s="106" t="s">
        <v>149</v>
      </c>
      <c r="O17" s="98" t="s">
        <v>153</v>
      </c>
      <c r="P17" s="108">
        <f t="shared" si="3"/>
        <v>0.11874798</v>
      </c>
      <c r="Q17" s="113">
        <f t="shared" si="4"/>
        <v>237.49596</v>
      </c>
      <c r="R17" s="113">
        <v>12</v>
      </c>
      <c r="S17" s="153" t="s">
        <v>208</v>
      </c>
      <c r="T17" s="179">
        <v>4.6880000000000006</v>
      </c>
      <c r="U17" s="165">
        <f t="shared" si="13"/>
        <v>21281</v>
      </c>
      <c r="V17" s="106">
        <f t="shared" si="20"/>
        <v>9.2999999999999995E-4</v>
      </c>
      <c r="W17" s="52"/>
      <c r="X17" s="109">
        <f t="shared" si="6"/>
        <v>1.1400390144000001</v>
      </c>
      <c r="Y17" s="106">
        <v>8760</v>
      </c>
      <c r="Z17" s="121">
        <f t="shared" si="0"/>
        <v>0.26028287999999999</v>
      </c>
      <c r="AA17" s="108">
        <f t="shared" si="21"/>
        <v>3.3000000000000002E-2</v>
      </c>
      <c r="AB17" s="154" t="s">
        <v>217</v>
      </c>
      <c r="AC17" s="157">
        <f>H17</f>
        <v>128</v>
      </c>
      <c r="AD17" s="121">
        <v>0.04</v>
      </c>
      <c r="AE17" s="187">
        <f t="shared" si="1"/>
        <v>3.1019999999999999E-2</v>
      </c>
      <c r="AF17" s="158">
        <v>2.3E-2</v>
      </c>
      <c r="AG17" s="115">
        <f t="shared" si="7"/>
        <v>3.3638400000000006E-2</v>
      </c>
      <c r="AH17" s="106">
        <v>8760</v>
      </c>
      <c r="AI17" s="99">
        <f t="shared" si="8"/>
        <v>7.6800000000000002E-3</v>
      </c>
      <c r="AJ17" s="114">
        <f t="shared" si="9"/>
        <v>4.0000000000000001E-3</v>
      </c>
      <c r="AK17" s="154" t="s">
        <v>208</v>
      </c>
      <c r="AL17" s="52">
        <f>I17</f>
        <v>256</v>
      </c>
      <c r="AM17" s="87">
        <v>0</v>
      </c>
      <c r="AN17" s="173">
        <f t="shared" si="2"/>
        <v>0</v>
      </c>
      <c r="AO17" s="52">
        <v>7.4999999999999997E-3</v>
      </c>
      <c r="AP17" s="52"/>
      <c r="AQ17" s="115">
        <f t="shared" si="10"/>
        <v>0.10512000000000001</v>
      </c>
      <c r="AR17" s="106">
        <v>8760</v>
      </c>
      <c r="AS17" s="176">
        <f t="shared" si="11"/>
        <v>2.4E-2</v>
      </c>
      <c r="AT17" s="118">
        <f t="shared" si="12"/>
        <v>2.5000000000000001E-2</v>
      </c>
      <c r="AU17" s="154" t="s">
        <v>208</v>
      </c>
      <c r="AV17" s="52">
        <f>J17</f>
        <v>128</v>
      </c>
      <c r="AW17" s="175">
        <v>7.1999999999999998E-3</v>
      </c>
      <c r="AX17" s="173">
        <f t="shared" si="16"/>
        <v>7.1999999999999998E-3</v>
      </c>
      <c r="AY17" s="52">
        <v>7.4999999999999997E-3</v>
      </c>
      <c r="AZ17" s="52"/>
    </row>
    <row r="18" spans="2:52" s="119" customFormat="1" x14ac:dyDescent="0.2">
      <c r="B18" s="163" t="s">
        <v>7</v>
      </c>
      <c r="C18" s="163" t="s">
        <v>84</v>
      </c>
      <c r="D18" s="98">
        <v>61</v>
      </c>
      <c r="E18" s="52" t="s">
        <v>71</v>
      </c>
      <c r="F18" s="98">
        <v>4</v>
      </c>
      <c r="G18" s="98">
        <v>2</v>
      </c>
      <c r="H18" s="98">
        <f>61*2</f>
        <v>122</v>
      </c>
      <c r="I18" s="98">
        <f>4*61</f>
        <v>244</v>
      </c>
      <c r="J18" s="98">
        <f>2*61</f>
        <v>122</v>
      </c>
      <c r="K18" s="157">
        <f>L18/61</f>
        <v>335.22950819672133</v>
      </c>
      <c r="L18" s="170">
        <v>20449</v>
      </c>
      <c r="M18" s="163"/>
      <c r="N18" s="106" t="s">
        <v>149</v>
      </c>
      <c r="O18" s="98" t="s">
        <v>153</v>
      </c>
      <c r="P18" s="108">
        <f t="shared" si="3"/>
        <v>0.11410542</v>
      </c>
      <c r="Q18" s="113">
        <f t="shared" si="4"/>
        <v>228.21083999999999</v>
      </c>
      <c r="R18" s="113">
        <v>12</v>
      </c>
      <c r="S18" s="153" t="s">
        <v>208</v>
      </c>
      <c r="T18" s="179">
        <v>3.6100000000000003</v>
      </c>
      <c r="U18" s="165">
        <f t="shared" si="13"/>
        <v>20449</v>
      </c>
      <c r="V18" s="106">
        <f t="shared" si="20"/>
        <v>9.2999999999999995E-4</v>
      </c>
      <c r="W18" s="52"/>
      <c r="X18" s="109">
        <f t="shared" si="6"/>
        <v>1.0865996856</v>
      </c>
      <c r="Y18" s="106">
        <v>8760</v>
      </c>
      <c r="Z18" s="121">
        <f t="shared" si="0"/>
        <v>0.24808211999999999</v>
      </c>
      <c r="AA18" s="108">
        <f t="shared" si="21"/>
        <v>3.3000000000000002E-2</v>
      </c>
      <c r="AB18" s="154" t="s">
        <v>217</v>
      </c>
      <c r="AC18" s="157">
        <f>H18</f>
        <v>122</v>
      </c>
      <c r="AD18" s="121">
        <v>0.04</v>
      </c>
      <c r="AE18" s="187">
        <f t="shared" si="1"/>
        <v>3.1019999999999999E-2</v>
      </c>
      <c r="AF18" s="158">
        <v>2.3E-2</v>
      </c>
      <c r="AG18" s="115">
        <f t="shared" si="7"/>
        <v>3.2061599999999996E-2</v>
      </c>
      <c r="AH18" s="106">
        <v>8760</v>
      </c>
      <c r="AI18" s="99">
        <f t="shared" si="8"/>
        <v>7.3199999999999993E-3</v>
      </c>
      <c r="AJ18" s="114">
        <f t="shared" si="9"/>
        <v>4.0000000000000001E-3</v>
      </c>
      <c r="AK18" s="154" t="s">
        <v>208</v>
      </c>
      <c r="AL18" s="52">
        <f>I18</f>
        <v>244</v>
      </c>
      <c r="AM18" s="87">
        <v>0</v>
      </c>
      <c r="AN18" s="173">
        <f t="shared" si="2"/>
        <v>0</v>
      </c>
      <c r="AO18" s="52">
        <v>7.4999999999999997E-3</v>
      </c>
      <c r="AP18" s="52"/>
      <c r="AQ18" s="115">
        <f t="shared" si="10"/>
        <v>0.10019249999999999</v>
      </c>
      <c r="AR18" s="106">
        <v>8760</v>
      </c>
      <c r="AS18" s="176">
        <f t="shared" si="11"/>
        <v>2.2875E-2</v>
      </c>
      <c r="AT18" s="118">
        <f t="shared" si="12"/>
        <v>2.5000000000000001E-2</v>
      </c>
      <c r="AU18" s="154" t="s">
        <v>208</v>
      </c>
      <c r="AV18" s="52">
        <f>J18</f>
        <v>122</v>
      </c>
      <c r="AW18" s="175">
        <v>5.7000000000000002E-3</v>
      </c>
      <c r="AX18" s="173">
        <f t="shared" si="16"/>
        <v>5.7000000000000002E-3</v>
      </c>
      <c r="AY18" s="52">
        <v>7.4999999999999997E-3</v>
      </c>
      <c r="AZ18" s="52"/>
    </row>
    <row r="19" spans="2:52" s="119" customFormat="1" x14ac:dyDescent="0.2">
      <c r="B19" s="163" t="s">
        <v>7</v>
      </c>
      <c r="C19" s="163" t="s">
        <v>85</v>
      </c>
      <c r="D19" s="98">
        <v>61</v>
      </c>
      <c r="E19" s="52" t="s">
        <v>71</v>
      </c>
      <c r="F19" s="98">
        <v>4</v>
      </c>
      <c r="G19" s="98">
        <v>2</v>
      </c>
      <c r="H19" s="98">
        <f>61*2</f>
        <v>122</v>
      </c>
      <c r="I19" s="98">
        <f t="shared" ref="I19:I20" si="25">4*61</f>
        <v>244</v>
      </c>
      <c r="J19" s="98">
        <f t="shared" ref="J19:J20" si="26">2*61</f>
        <v>122</v>
      </c>
      <c r="K19" s="157">
        <f t="shared" ref="K19:K20" si="27">L19/61</f>
        <v>335.22950819672133</v>
      </c>
      <c r="L19" s="170">
        <v>20449</v>
      </c>
      <c r="M19" s="163"/>
      <c r="N19" s="106" t="s">
        <v>149</v>
      </c>
      <c r="O19" s="98" t="s">
        <v>153</v>
      </c>
      <c r="P19" s="108">
        <f t="shared" si="3"/>
        <v>0.11410542</v>
      </c>
      <c r="Q19" s="113">
        <f t="shared" si="4"/>
        <v>228.21083999999999</v>
      </c>
      <c r="R19" s="113">
        <v>12</v>
      </c>
      <c r="S19" s="153" t="s">
        <v>208</v>
      </c>
      <c r="T19" s="179">
        <v>3.7719999999999998</v>
      </c>
      <c r="U19" s="165">
        <f t="shared" si="13"/>
        <v>20449</v>
      </c>
      <c r="V19" s="106">
        <f t="shared" si="20"/>
        <v>9.2999999999999995E-4</v>
      </c>
      <c r="W19" s="52"/>
      <c r="X19" s="109">
        <f t="shared" si="6"/>
        <v>1.0865996856</v>
      </c>
      <c r="Y19" s="106">
        <v>8760</v>
      </c>
      <c r="Z19" s="121">
        <f t="shared" si="0"/>
        <v>0.24808211999999999</v>
      </c>
      <c r="AA19" s="108">
        <f t="shared" si="21"/>
        <v>3.3000000000000002E-2</v>
      </c>
      <c r="AB19" s="154" t="s">
        <v>217</v>
      </c>
      <c r="AC19" s="157">
        <f>H19</f>
        <v>122</v>
      </c>
      <c r="AD19" s="121">
        <v>0.04</v>
      </c>
      <c r="AE19" s="187">
        <f t="shared" si="1"/>
        <v>3.1019999999999999E-2</v>
      </c>
      <c r="AF19" s="158">
        <v>2.3E-2</v>
      </c>
      <c r="AG19" s="115">
        <f t="shared" si="7"/>
        <v>3.2061599999999996E-2</v>
      </c>
      <c r="AH19" s="106">
        <v>8760</v>
      </c>
      <c r="AI19" s="99">
        <f t="shared" si="8"/>
        <v>7.3199999999999993E-3</v>
      </c>
      <c r="AJ19" s="114">
        <f t="shared" si="9"/>
        <v>4.0000000000000001E-3</v>
      </c>
      <c r="AK19" s="154" t="s">
        <v>208</v>
      </c>
      <c r="AL19" s="52">
        <f>I19</f>
        <v>244</v>
      </c>
      <c r="AM19" s="87">
        <v>0</v>
      </c>
      <c r="AN19" s="173">
        <f t="shared" si="2"/>
        <v>0</v>
      </c>
      <c r="AO19" s="52">
        <v>7.4999999999999997E-3</v>
      </c>
      <c r="AP19" s="52"/>
      <c r="AQ19" s="115">
        <f t="shared" si="10"/>
        <v>0.10019249999999999</v>
      </c>
      <c r="AR19" s="106">
        <v>8760</v>
      </c>
      <c r="AS19" s="176">
        <f t="shared" si="11"/>
        <v>2.2875E-2</v>
      </c>
      <c r="AT19" s="118">
        <f t="shared" si="12"/>
        <v>2.5000000000000001E-2</v>
      </c>
      <c r="AU19" s="154" t="s">
        <v>208</v>
      </c>
      <c r="AV19" s="52">
        <f>J19</f>
        <v>122</v>
      </c>
      <c r="AW19" s="175">
        <v>7.1999999999999998E-3</v>
      </c>
      <c r="AX19" s="173">
        <f t="shared" si="16"/>
        <v>7.1999999999999998E-3</v>
      </c>
      <c r="AY19" s="52">
        <v>7.4999999999999997E-3</v>
      </c>
      <c r="AZ19" s="52"/>
    </row>
    <row r="20" spans="2:52" s="119" customFormat="1" x14ac:dyDescent="0.2">
      <c r="B20" s="163" t="s">
        <v>7</v>
      </c>
      <c r="C20" s="163" t="s">
        <v>86</v>
      </c>
      <c r="D20" s="98">
        <v>61</v>
      </c>
      <c r="E20" s="52" t="s">
        <v>71</v>
      </c>
      <c r="F20" s="98">
        <v>4</v>
      </c>
      <c r="G20" s="98">
        <v>2</v>
      </c>
      <c r="H20" s="98">
        <f>61*2</f>
        <v>122</v>
      </c>
      <c r="I20" s="98">
        <f t="shared" si="25"/>
        <v>244</v>
      </c>
      <c r="J20" s="98">
        <f t="shared" si="26"/>
        <v>122</v>
      </c>
      <c r="K20" s="157">
        <f t="shared" si="27"/>
        <v>335.22950819672133</v>
      </c>
      <c r="L20" s="170">
        <v>20449</v>
      </c>
      <c r="M20" s="163"/>
      <c r="N20" s="106" t="s">
        <v>149</v>
      </c>
      <c r="O20" s="98" t="s">
        <v>153</v>
      </c>
      <c r="P20" s="108">
        <f t="shared" si="3"/>
        <v>0.11410542</v>
      </c>
      <c r="Q20" s="113">
        <f t="shared" si="4"/>
        <v>228.21083999999999</v>
      </c>
      <c r="R20" s="113">
        <v>12</v>
      </c>
      <c r="S20" s="153" t="s">
        <v>208</v>
      </c>
      <c r="T20" s="179">
        <v>3.7679999999999998</v>
      </c>
      <c r="U20" s="165">
        <f t="shared" si="13"/>
        <v>20449</v>
      </c>
      <c r="V20" s="106">
        <f t="shared" si="20"/>
        <v>9.2999999999999995E-4</v>
      </c>
      <c r="W20" s="52"/>
      <c r="X20" s="109">
        <f t="shared" si="6"/>
        <v>1.0865996856</v>
      </c>
      <c r="Y20" s="106">
        <v>8760</v>
      </c>
      <c r="Z20" s="121">
        <f t="shared" si="0"/>
        <v>0.24808211999999999</v>
      </c>
      <c r="AA20" s="108">
        <f t="shared" si="21"/>
        <v>3.3000000000000002E-2</v>
      </c>
      <c r="AB20" s="154" t="s">
        <v>217</v>
      </c>
      <c r="AC20" s="157">
        <f>H20</f>
        <v>122</v>
      </c>
      <c r="AD20" s="121">
        <v>0.04</v>
      </c>
      <c r="AE20" s="187">
        <f t="shared" si="1"/>
        <v>3.1019999999999999E-2</v>
      </c>
      <c r="AF20" s="158">
        <v>2.3E-2</v>
      </c>
      <c r="AG20" s="115">
        <f t="shared" si="7"/>
        <v>3.2061599999999996E-2</v>
      </c>
      <c r="AH20" s="106">
        <v>8760</v>
      </c>
      <c r="AI20" s="99">
        <f t="shared" si="8"/>
        <v>7.3199999999999993E-3</v>
      </c>
      <c r="AJ20" s="114">
        <f t="shared" si="9"/>
        <v>4.0000000000000001E-3</v>
      </c>
      <c r="AK20" s="154" t="s">
        <v>208</v>
      </c>
      <c r="AL20" s="52">
        <f>I20</f>
        <v>244</v>
      </c>
      <c r="AM20" s="87">
        <v>0</v>
      </c>
      <c r="AN20" s="173">
        <f t="shared" si="2"/>
        <v>0</v>
      </c>
      <c r="AO20" s="52">
        <v>7.4999999999999997E-3</v>
      </c>
      <c r="AP20" s="52"/>
      <c r="AQ20" s="115">
        <f t="shared" si="10"/>
        <v>0.10019249999999999</v>
      </c>
      <c r="AR20" s="106">
        <v>8760</v>
      </c>
      <c r="AS20" s="176">
        <f t="shared" si="11"/>
        <v>2.2875E-2</v>
      </c>
      <c r="AT20" s="118">
        <f t="shared" si="12"/>
        <v>2.5000000000000001E-2</v>
      </c>
      <c r="AU20" s="154" t="s">
        <v>208</v>
      </c>
      <c r="AV20" s="52">
        <f>J20</f>
        <v>122</v>
      </c>
      <c r="AW20" s="175">
        <v>3.8999999999999998E-3</v>
      </c>
      <c r="AX20" s="173">
        <f t="shared" si="16"/>
        <v>3.8999999999999998E-3</v>
      </c>
      <c r="AY20" s="52">
        <v>7.4999999999999997E-3</v>
      </c>
      <c r="AZ20" s="52"/>
    </row>
    <row r="21" spans="2:52" s="119" customFormat="1" x14ac:dyDescent="0.2">
      <c r="B21" s="163" t="s">
        <v>7</v>
      </c>
      <c r="C21" s="163" t="s">
        <v>87</v>
      </c>
      <c r="D21" s="98">
        <v>87</v>
      </c>
      <c r="E21" s="52" t="s">
        <v>71</v>
      </c>
      <c r="F21" s="98">
        <v>4</v>
      </c>
      <c r="G21" s="98">
        <v>2</v>
      </c>
      <c r="H21" s="98">
        <f>87*2</f>
        <v>174</v>
      </c>
      <c r="I21" s="98">
        <f>4*87</f>
        <v>348</v>
      </c>
      <c r="J21" s="98">
        <f>2*87</f>
        <v>174</v>
      </c>
      <c r="K21" s="157">
        <f>L21/87</f>
        <v>348.32183908045977</v>
      </c>
      <c r="L21" s="170">
        <v>30304</v>
      </c>
      <c r="M21" s="163"/>
      <c r="N21" s="106" t="s">
        <v>149</v>
      </c>
      <c r="O21" s="98" t="s">
        <v>153</v>
      </c>
      <c r="P21" s="108">
        <f t="shared" si="3"/>
        <v>0.16909631999999999</v>
      </c>
      <c r="Q21" s="113">
        <f t="shared" si="4"/>
        <v>338.19263999999998</v>
      </c>
      <c r="R21" s="113">
        <v>12</v>
      </c>
      <c r="S21" s="153" t="s">
        <v>208</v>
      </c>
      <c r="T21" s="179">
        <v>4.4659999999999993</v>
      </c>
      <c r="U21" s="165">
        <f t="shared" si="13"/>
        <v>30304</v>
      </c>
      <c r="V21" s="106">
        <f t="shared" si="20"/>
        <v>9.2999999999999995E-4</v>
      </c>
      <c r="W21" s="52"/>
      <c r="X21" s="112">
        <f t="shared" si="6"/>
        <v>1.5497405352</v>
      </c>
      <c r="Y21" s="106">
        <v>8760</v>
      </c>
      <c r="Z21" s="121">
        <f t="shared" si="0"/>
        <v>0.35382204</v>
      </c>
      <c r="AA21" s="108">
        <f t="shared" si="21"/>
        <v>3.3000000000000002E-2</v>
      </c>
      <c r="AB21" s="154" t="s">
        <v>217</v>
      </c>
      <c r="AC21" s="157">
        <f>H21</f>
        <v>174</v>
      </c>
      <c r="AD21" s="121">
        <v>0.04</v>
      </c>
      <c r="AE21" s="187">
        <f t="shared" si="1"/>
        <v>3.1019999999999999E-2</v>
      </c>
      <c r="AF21" s="158">
        <v>2.3E-2</v>
      </c>
      <c r="AG21" s="115">
        <f t="shared" si="7"/>
        <v>4.5727200000000003E-2</v>
      </c>
      <c r="AH21" s="106">
        <v>8760</v>
      </c>
      <c r="AI21" s="99">
        <f t="shared" si="8"/>
        <v>1.0440000000000001E-2</v>
      </c>
      <c r="AJ21" s="114">
        <f t="shared" si="9"/>
        <v>4.0000000000000001E-3</v>
      </c>
      <c r="AK21" s="154" t="s">
        <v>208</v>
      </c>
      <c r="AL21" s="52">
        <f>I21</f>
        <v>348</v>
      </c>
      <c r="AM21" s="87">
        <v>0</v>
      </c>
      <c r="AN21" s="173">
        <f t="shared" si="2"/>
        <v>0</v>
      </c>
      <c r="AO21" s="52">
        <v>7.4999999999999997E-3</v>
      </c>
      <c r="AP21" s="52"/>
      <c r="AQ21" s="115">
        <f t="shared" si="10"/>
        <v>0.14289750000000001</v>
      </c>
      <c r="AR21" s="106">
        <v>8760</v>
      </c>
      <c r="AS21" s="176">
        <f t="shared" si="11"/>
        <v>3.2625000000000001E-2</v>
      </c>
      <c r="AT21" s="118">
        <f t="shared" si="12"/>
        <v>2.5000000000000001E-2</v>
      </c>
      <c r="AU21" s="154" t="s">
        <v>208</v>
      </c>
      <c r="AV21" s="52">
        <f>J21</f>
        <v>174</v>
      </c>
      <c r="AW21" s="175">
        <v>1.24E-2</v>
      </c>
      <c r="AX21" s="173">
        <f t="shared" si="16"/>
        <v>1.24E-2</v>
      </c>
      <c r="AY21" s="52">
        <v>7.4999999999999997E-3</v>
      </c>
      <c r="AZ21" s="52"/>
    </row>
    <row r="22" spans="2:52" s="119" customFormat="1" x14ac:dyDescent="0.2">
      <c r="B22" s="163" t="s">
        <v>7</v>
      </c>
      <c r="C22" s="163" t="s">
        <v>88</v>
      </c>
      <c r="D22" s="98">
        <v>87</v>
      </c>
      <c r="E22" s="52" t="s">
        <v>71</v>
      </c>
      <c r="F22" s="98">
        <v>4</v>
      </c>
      <c r="G22" s="98">
        <v>2</v>
      </c>
      <c r="H22" s="98">
        <f>87*2</f>
        <v>174</v>
      </c>
      <c r="I22" s="98">
        <f>4*87</f>
        <v>348</v>
      </c>
      <c r="J22" s="98">
        <f>2*87</f>
        <v>174</v>
      </c>
      <c r="K22" s="157">
        <f t="shared" ref="K22" si="28">L22/87</f>
        <v>348.32183908045977</v>
      </c>
      <c r="L22" s="170">
        <v>30304</v>
      </c>
      <c r="M22" s="163"/>
      <c r="N22" s="106" t="s">
        <v>149</v>
      </c>
      <c r="O22" s="98" t="s">
        <v>153</v>
      </c>
      <c r="P22" s="108">
        <f t="shared" si="3"/>
        <v>0.16909631999999999</v>
      </c>
      <c r="Q22" s="113">
        <f t="shared" si="4"/>
        <v>338.19263999999998</v>
      </c>
      <c r="R22" s="113">
        <v>12</v>
      </c>
      <c r="S22" s="153" t="s">
        <v>208</v>
      </c>
      <c r="T22" s="179">
        <v>4.1180000000000003</v>
      </c>
      <c r="U22" s="165">
        <f t="shared" si="13"/>
        <v>30304</v>
      </c>
      <c r="V22" s="106">
        <f t="shared" si="20"/>
        <v>9.2999999999999995E-4</v>
      </c>
      <c r="W22" s="52"/>
      <c r="X22" s="112">
        <f t="shared" si="6"/>
        <v>1.5497405352</v>
      </c>
      <c r="Y22" s="106">
        <v>8760</v>
      </c>
      <c r="Z22" s="121">
        <f t="shared" si="0"/>
        <v>0.35382204</v>
      </c>
      <c r="AA22" s="108">
        <f t="shared" si="21"/>
        <v>3.3000000000000002E-2</v>
      </c>
      <c r="AB22" s="154" t="s">
        <v>217</v>
      </c>
      <c r="AC22" s="157">
        <f>H22</f>
        <v>174</v>
      </c>
      <c r="AD22" s="121">
        <v>0.04</v>
      </c>
      <c r="AE22" s="187">
        <f t="shared" si="1"/>
        <v>3.1019999999999999E-2</v>
      </c>
      <c r="AF22" s="158">
        <v>2.3E-2</v>
      </c>
      <c r="AG22" s="115">
        <f t="shared" si="7"/>
        <v>4.5727200000000003E-2</v>
      </c>
      <c r="AH22" s="106">
        <v>8760</v>
      </c>
      <c r="AI22" s="99">
        <f t="shared" si="8"/>
        <v>1.0440000000000001E-2</v>
      </c>
      <c r="AJ22" s="114">
        <f t="shared" si="9"/>
        <v>4.0000000000000001E-3</v>
      </c>
      <c r="AK22" s="154" t="s">
        <v>208</v>
      </c>
      <c r="AL22" s="52">
        <f>I22</f>
        <v>348</v>
      </c>
      <c r="AM22" s="87">
        <v>1E-4</v>
      </c>
      <c r="AN22" s="173">
        <f t="shared" si="2"/>
        <v>1E-4</v>
      </c>
      <c r="AO22" s="52">
        <v>7.4999999999999997E-3</v>
      </c>
      <c r="AP22" s="52"/>
      <c r="AQ22" s="115">
        <f t="shared" si="10"/>
        <v>0.14289750000000001</v>
      </c>
      <c r="AR22" s="106">
        <v>8760</v>
      </c>
      <c r="AS22" s="176">
        <f t="shared" si="11"/>
        <v>3.2625000000000001E-2</v>
      </c>
      <c r="AT22" s="118">
        <f t="shared" si="12"/>
        <v>2.5000000000000001E-2</v>
      </c>
      <c r="AU22" s="154" t="s">
        <v>208</v>
      </c>
      <c r="AV22" s="52">
        <f>J22</f>
        <v>174</v>
      </c>
      <c r="AW22" s="175">
        <v>1.0500000000000001E-2</v>
      </c>
      <c r="AX22" s="173">
        <f t="shared" si="16"/>
        <v>1.0500000000000001E-2</v>
      </c>
      <c r="AY22" s="52">
        <v>7.4999999999999997E-3</v>
      </c>
      <c r="AZ22" s="52"/>
    </row>
    <row r="23" spans="2:52" s="119" customFormat="1" x14ac:dyDescent="0.2">
      <c r="B23" s="163" t="s">
        <v>7</v>
      </c>
      <c r="C23" s="163" t="s">
        <v>8</v>
      </c>
      <c r="D23" s="98">
        <v>75</v>
      </c>
      <c r="E23" s="52" t="s">
        <v>71</v>
      </c>
      <c r="F23" s="98">
        <v>4</v>
      </c>
      <c r="G23" s="98">
        <v>2</v>
      </c>
      <c r="H23" s="98">
        <f>75*2</f>
        <v>150</v>
      </c>
      <c r="I23" s="98">
        <f>4*75</f>
        <v>300</v>
      </c>
      <c r="J23" s="98">
        <f>2*75</f>
        <v>150</v>
      </c>
      <c r="K23" s="157">
        <f>L23/75</f>
        <v>377.04</v>
      </c>
      <c r="L23" s="170">
        <v>28278</v>
      </c>
      <c r="M23" s="163"/>
      <c r="N23" s="106" t="s">
        <v>149</v>
      </c>
      <c r="O23" s="98" t="s">
        <v>153</v>
      </c>
      <c r="P23" s="108">
        <f t="shared" si="3"/>
        <v>0.15779124</v>
      </c>
      <c r="Q23" s="113">
        <f t="shared" si="4"/>
        <v>315.58247999999998</v>
      </c>
      <c r="R23" s="113">
        <v>12</v>
      </c>
      <c r="S23" s="153" t="s">
        <v>208</v>
      </c>
      <c r="T23" s="179">
        <v>4.34</v>
      </c>
      <c r="U23" s="165">
        <f t="shared" si="13"/>
        <v>28278</v>
      </c>
      <c r="V23" s="106">
        <f t="shared" si="20"/>
        <v>9.2999999999999995E-4</v>
      </c>
      <c r="W23" s="52"/>
      <c r="X23" s="109">
        <f t="shared" si="6"/>
        <v>1.6193735999999999</v>
      </c>
      <c r="Y23" s="106">
        <v>8760</v>
      </c>
      <c r="Z23" s="121">
        <f t="shared" si="0"/>
        <v>0.36971999999999999</v>
      </c>
      <c r="AA23" s="109">
        <f t="shared" si="14"/>
        <v>0.04</v>
      </c>
      <c r="AB23" s="154" t="s">
        <v>210</v>
      </c>
      <c r="AC23" s="157">
        <f>H23</f>
        <v>150</v>
      </c>
      <c r="AD23" s="121">
        <v>0.04</v>
      </c>
      <c r="AE23" s="187">
        <f t="shared" si="1"/>
        <v>3.7600000000000001E-2</v>
      </c>
      <c r="AF23" s="158">
        <v>2.3E-2</v>
      </c>
      <c r="AG23" s="115">
        <f t="shared" si="7"/>
        <v>3.9419999999999997E-2</v>
      </c>
      <c r="AH23" s="106">
        <v>8760</v>
      </c>
      <c r="AI23" s="99">
        <f t="shared" si="8"/>
        <v>8.9999999999999993E-3</v>
      </c>
      <c r="AJ23" s="114">
        <f t="shared" si="9"/>
        <v>4.0000000000000001E-3</v>
      </c>
      <c r="AK23" s="154" t="s">
        <v>208</v>
      </c>
      <c r="AL23" s="52">
        <f>I23</f>
        <v>300</v>
      </c>
      <c r="AM23" s="87">
        <v>1E-4</v>
      </c>
      <c r="AN23" s="173">
        <f t="shared" si="2"/>
        <v>1E-4</v>
      </c>
      <c r="AO23" s="52">
        <v>7.4999999999999997E-3</v>
      </c>
      <c r="AP23" s="52"/>
      <c r="AQ23" s="115">
        <f t="shared" si="10"/>
        <v>0.12318749999999999</v>
      </c>
      <c r="AR23" s="106">
        <v>8760</v>
      </c>
      <c r="AS23" s="176">
        <f t="shared" si="11"/>
        <v>2.8124999999999997E-2</v>
      </c>
      <c r="AT23" s="118">
        <f t="shared" si="12"/>
        <v>2.5000000000000001E-2</v>
      </c>
      <c r="AU23" s="154" t="s">
        <v>208</v>
      </c>
      <c r="AV23" s="52">
        <f>J23</f>
        <v>150</v>
      </c>
      <c r="AW23" s="175">
        <v>1.6999999999999999E-3</v>
      </c>
      <c r="AX23" s="173">
        <f t="shared" si="16"/>
        <v>1.6999999999999999E-3</v>
      </c>
      <c r="AY23" s="52">
        <v>7.4999999999999997E-3</v>
      </c>
      <c r="AZ23" s="52"/>
    </row>
    <row r="24" spans="2:52" s="119" customFormat="1" x14ac:dyDescent="0.2">
      <c r="B24" s="163" t="s">
        <v>7</v>
      </c>
      <c r="C24" s="163" t="s">
        <v>89</v>
      </c>
      <c r="D24" s="98">
        <v>84</v>
      </c>
      <c r="E24" s="52" t="s">
        <v>71</v>
      </c>
      <c r="F24" s="98">
        <v>5</v>
      </c>
      <c r="G24" s="98">
        <v>1</v>
      </c>
      <c r="H24" s="98">
        <f>84*2</f>
        <v>168</v>
      </c>
      <c r="I24" s="98">
        <f>5*84</f>
        <v>420</v>
      </c>
      <c r="J24" s="98">
        <v>84</v>
      </c>
      <c r="K24" s="157">
        <f>L24/84</f>
        <v>432.48809523809524</v>
      </c>
      <c r="L24" s="170">
        <v>36329</v>
      </c>
      <c r="M24" s="163"/>
      <c r="N24" s="106" t="s">
        <v>149</v>
      </c>
      <c r="O24" s="98" t="s">
        <v>153</v>
      </c>
      <c r="P24" s="109">
        <f t="shared" si="3"/>
        <v>0.20271581999999999</v>
      </c>
      <c r="Q24" s="113">
        <f t="shared" si="4"/>
        <v>405.43163999999996</v>
      </c>
      <c r="R24" s="113">
        <v>12</v>
      </c>
      <c r="S24" s="153" t="s">
        <v>208</v>
      </c>
      <c r="T24" s="179">
        <v>37.531999999999996</v>
      </c>
      <c r="U24" s="165">
        <f t="shared" si="13"/>
        <v>36329</v>
      </c>
      <c r="V24" s="106">
        <f t="shared" si="20"/>
        <v>9.2999999999999995E-4</v>
      </c>
      <c r="W24" s="52"/>
      <c r="X24" s="112">
        <f t="shared" si="6"/>
        <v>1.8136984319999998</v>
      </c>
      <c r="Y24" s="106">
        <v>8760</v>
      </c>
      <c r="Z24" s="121">
        <f t="shared" si="0"/>
        <v>0.41408639999999997</v>
      </c>
      <c r="AA24" s="109">
        <f t="shared" si="14"/>
        <v>0.04</v>
      </c>
      <c r="AB24" s="154" t="s">
        <v>210</v>
      </c>
      <c r="AC24" s="157">
        <f>H24</f>
        <v>168</v>
      </c>
      <c r="AD24" s="121">
        <v>0.04</v>
      </c>
      <c r="AE24" s="187">
        <f t="shared" si="1"/>
        <v>3.7600000000000001E-2</v>
      </c>
      <c r="AF24" s="158">
        <v>2.3E-2</v>
      </c>
      <c r="AG24" s="115">
        <f t="shared" si="7"/>
        <v>5.5187999999999994E-2</v>
      </c>
      <c r="AH24" s="106">
        <v>8760</v>
      </c>
      <c r="AI24" s="99">
        <f t="shared" si="8"/>
        <v>1.2599999999999998E-2</v>
      </c>
      <c r="AJ24" s="114">
        <f t="shared" si="9"/>
        <v>4.0000000000000001E-3</v>
      </c>
      <c r="AK24" s="154" t="s">
        <v>208</v>
      </c>
      <c r="AL24" s="52">
        <f>I24</f>
        <v>420</v>
      </c>
      <c r="AM24" s="87">
        <v>0</v>
      </c>
      <c r="AN24" s="173">
        <f t="shared" si="2"/>
        <v>0</v>
      </c>
      <c r="AO24" s="52">
        <v>7.4999999999999997E-3</v>
      </c>
      <c r="AP24" s="52"/>
      <c r="AQ24" s="115">
        <f t="shared" si="10"/>
        <v>6.8985000000000005E-2</v>
      </c>
      <c r="AR24" s="106">
        <v>8760</v>
      </c>
      <c r="AS24" s="176">
        <f t="shared" si="11"/>
        <v>1.575E-2</v>
      </c>
      <c r="AT24" s="118">
        <f t="shared" si="12"/>
        <v>2.5000000000000001E-2</v>
      </c>
      <c r="AU24" s="154" t="s">
        <v>208</v>
      </c>
      <c r="AV24" s="52">
        <f>J24</f>
        <v>84</v>
      </c>
      <c r="AW24" s="175">
        <v>8.0000000000000004E-4</v>
      </c>
      <c r="AX24" s="173">
        <f t="shared" si="16"/>
        <v>8.0000000000000004E-4</v>
      </c>
      <c r="AY24" s="52">
        <v>7.4999999999999997E-3</v>
      </c>
      <c r="AZ24" s="52"/>
    </row>
    <row r="25" spans="2:52" s="119" customFormat="1" x14ac:dyDescent="0.2">
      <c r="B25" s="180" t="s">
        <v>90</v>
      </c>
      <c r="C25" s="181" t="s">
        <v>91</v>
      </c>
      <c r="D25" s="69">
        <v>78</v>
      </c>
      <c r="E25" s="68" t="s">
        <v>74</v>
      </c>
      <c r="F25" s="98"/>
      <c r="G25" s="98"/>
      <c r="H25" s="98">
        <f>D25*2</f>
        <v>156</v>
      </c>
      <c r="I25" s="98">
        <v>312</v>
      </c>
      <c r="J25" s="98">
        <v>78</v>
      </c>
      <c r="K25" s="98"/>
      <c r="L25" s="98"/>
      <c r="M25" s="163"/>
      <c r="N25" s="98"/>
      <c r="O25" s="98"/>
      <c r="P25" s="108">
        <f t="shared" si="3"/>
        <v>0.10961909999999998</v>
      </c>
      <c r="Q25" s="113">
        <f t="shared" si="4"/>
        <v>219.23819999999998</v>
      </c>
      <c r="R25" s="113">
        <v>12</v>
      </c>
      <c r="S25" s="153" t="s">
        <v>208</v>
      </c>
      <c r="T25" s="85">
        <v>3.7</v>
      </c>
      <c r="U25" s="182">
        <v>19645</v>
      </c>
      <c r="V25" s="106">
        <f t="shared" si="20"/>
        <v>9.2999999999999995E-4</v>
      </c>
      <c r="W25" s="68"/>
      <c r="X25" s="112">
        <f t="shared" si="6"/>
        <v>1.6841485440000001</v>
      </c>
      <c r="Y25" s="106">
        <v>8760</v>
      </c>
      <c r="Z25" s="121">
        <f t="shared" si="0"/>
        <v>0.38450880000000004</v>
      </c>
      <c r="AA25" s="109">
        <f t="shared" si="14"/>
        <v>0.04</v>
      </c>
      <c r="AB25" s="154" t="s">
        <v>211</v>
      </c>
      <c r="AC25" s="157">
        <f>H25</f>
        <v>156</v>
      </c>
      <c r="AD25" s="121">
        <v>0.04</v>
      </c>
      <c r="AE25" s="187">
        <f t="shared" si="1"/>
        <v>3.7600000000000001E-2</v>
      </c>
      <c r="AF25" s="158">
        <v>2.3E-2</v>
      </c>
      <c r="AG25" s="115">
        <f t="shared" si="7"/>
        <v>4.09968E-2</v>
      </c>
      <c r="AH25" s="106">
        <v>8760</v>
      </c>
      <c r="AI25" s="99">
        <f t="shared" si="8"/>
        <v>9.3600000000000003E-3</v>
      </c>
      <c r="AJ25" s="114">
        <f t="shared" si="9"/>
        <v>4.0000000000000001E-3</v>
      </c>
      <c r="AK25" s="154" t="s">
        <v>208</v>
      </c>
      <c r="AL25" s="52">
        <f>I25</f>
        <v>312</v>
      </c>
      <c r="AM25" s="87">
        <v>0</v>
      </c>
      <c r="AN25" s="173">
        <f t="shared" si="2"/>
        <v>0</v>
      </c>
      <c r="AO25" s="52">
        <v>7.4999999999999997E-3</v>
      </c>
      <c r="AP25" s="68"/>
      <c r="AQ25" s="115">
        <f t="shared" si="10"/>
        <v>6.4057500000000003E-2</v>
      </c>
      <c r="AR25" s="106">
        <v>8760</v>
      </c>
      <c r="AS25" s="176">
        <f t="shared" si="11"/>
        <v>1.4625000000000001E-2</v>
      </c>
      <c r="AT25" s="118">
        <f t="shared" si="12"/>
        <v>2.5000000000000001E-2</v>
      </c>
      <c r="AU25" s="154" t="s">
        <v>208</v>
      </c>
      <c r="AV25" s="52">
        <f>J25</f>
        <v>78</v>
      </c>
      <c r="AW25" s="87">
        <v>2.9999999999999997E-4</v>
      </c>
      <c r="AX25" s="173">
        <f t="shared" si="16"/>
        <v>2.9999999999999997E-4</v>
      </c>
      <c r="AY25" s="52">
        <v>7.4999999999999997E-3</v>
      </c>
      <c r="AZ25" s="68"/>
    </row>
    <row r="26" spans="2:52" s="119" customFormat="1" x14ac:dyDescent="0.2">
      <c r="B26" s="52" t="s">
        <v>90</v>
      </c>
      <c r="C26" s="181" t="s">
        <v>81</v>
      </c>
      <c r="D26" s="69">
        <v>25</v>
      </c>
      <c r="E26" s="68" t="s">
        <v>74</v>
      </c>
      <c r="F26" s="98"/>
      <c r="G26" s="98"/>
      <c r="H26" s="98">
        <f t="shared" ref="H26:H30" si="29">D26*2</f>
        <v>50</v>
      </c>
      <c r="I26" s="98">
        <v>125</v>
      </c>
      <c r="J26" s="98">
        <v>25</v>
      </c>
      <c r="K26" s="69"/>
      <c r="L26" s="69"/>
      <c r="M26" s="163"/>
      <c r="N26" s="69"/>
      <c r="O26" s="69"/>
      <c r="P26" s="108">
        <f t="shared" si="3"/>
        <v>3.1588379999999999E-2</v>
      </c>
      <c r="Q26" s="113">
        <f t="shared" si="4"/>
        <v>63.176759999999994</v>
      </c>
      <c r="R26" s="113">
        <v>12</v>
      </c>
      <c r="S26" s="153" t="s">
        <v>208</v>
      </c>
      <c r="T26" s="85">
        <v>4.3</v>
      </c>
      <c r="U26" s="182">
        <v>5661</v>
      </c>
      <c r="V26" s="106">
        <f t="shared" si="20"/>
        <v>9.2999999999999995E-4</v>
      </c>
      <c r="W26" s="68"/>
      <c r="X26" s="109">
        <f t="shared" si="6"/>
        <v>0.53979120000000003</v>
      </c>
      <c r="Y26" s="106">
        <v>8760</v>
      </c>
      <c r="Z26" s="121">
        <f t="shared" si="0"/>
        <v>0.12324</v>
      </c>
      <c r="AA26" s="109">
        <f t="shared" si="14"/>
        <v>0.04</v>
      </c>
      <c r="AB26" s="154" t="s">
        <v>211</v>
      </c>
      <c r="AC26" s="157">
        <f>H26</f>
        <v>50</v>
      </c>
      <c r="AD26" s="121">
        <v>0.04</v>
      </c>
      <c r="AE26" s="187">
        <f t="shared" si="1"/>
        <v>3.7600000000000001E-2</v>
      </c>
      <c r="AF26" s="158">
        <v>2.3E-2</v>
      </c>
      <c r="AG26" s="115">
        <f t="shared" si="7"/>
        <v>1.6425000000000002E-2</v>
      </c>
      <c r="AH26" s="106">
        <v>8760</v>
      </c>
      <c r="AI26" s="99">
        <f t="shared" si="8"/>
        <v>3.7499999999999999E-3</v>
      </c>
      <c r="AJ26" s="114">
        <f t="shared" si="9"/>
        <v>4.0000000000000001E-3</v>
      </c>
      <c r="AK26" s="154" t="s">
        <v>208</v>
      </c>
      <c r="AL26" s="52">
        <f>I26</f>
        <v>125</v>
      </c>
      <c r="AM26" s="87">
        <v>0</v>
      </c>
      <c r="AN26" s="173">
        <f t="shared" si="2"/>
        <v>0</v>
      </c>
      <c r="AO26" s="52">
        <v>7.4999999999999997E-3</v>
      </c>
      <c r="AP26" s="68"/>
      <c r="AQ26" s="115">
        <f t="shared" si="10"/>
        <v>2.0531250000000001E-2</v>
      </c>
      <c r="AR26" s="106">
        <v>8760</v>
      </c>
      <c r="AS26" s="176">
        <f t="shared" si="11"/>
        <v>4.6874999999999998E-3</v>
      </c>
      <c r="AT26" s="118">
        <f t="shared" si="12"/>
        <v>2.5000000000000001E-2</v>
      </c>
      <c r="AU26" s="154" t="s">
        <v>208</v>
      </c>
      <c r="AV26" s="52">
        <f>J26</f>
        <v>25</v>
      </c>
      <c r="AW26" s="87">
        <v>0</v>
      </c>
      <c r="AX26" s="173">
        <f t="shared" si="16"/>
        <v>0</v>
      </c>
      <c r="AY26" s="52">
        <v>7.4999999999999997E-3</v>
      </c>
      <c r="AZ26" s="68"/>
    </row>
    <row r="27" spans="2:52" s="119" customFormat="1" x14ac:dyDescent="0.2">
      <c r="B27" s="52" t="s">
        <v>90</v>
      </c>
      <c r="C27" s="181" t="s">
        <v>92</v>
      </c>
      <c r="D27" s="69">
        <v>29</v>
      </c>
      <c r="E27" s="68" t="s">
        <v>74</v>
      </c>
      <c r="F27" s="98"/>
      <c r="G27" s="98"/>
      <c r="H27" s="98">
        <f t="shared" si="29"/>
        <v>58</v>
      </c>
      <c r="I27" s="98">
        <v>145</v>
      </c>
      <c r="J27" s="98">
        <v>29</v>
      </c>
      <c r="K27" s="69"/>
      <c r="L27" s="69"/>
      <c r="M27" s="163"/>
      <c r="N27" s="69"/>
      <c r="O27" s="69"/>
      <c r="P27" s="108">
        <f t="shared" si="3"/>
        <v>3.6638279999999995E-2</v>
      </c>
      <c r="Q27" s="113">
        <f t="shared" si="4"/>
        <v>73.276559999999989</v>
      </c>
      <c r="R27" s="113">
        <v>12</v>
      </c>
      <c r="S27" s="153" t="s">
        <v>208</v>
      </c>
      <c r="T27" s="85">
        <v>4.3</v>
      </c>
      <c r="U27" s="182">
        <v>6566</v>
      </c>
      <c r="V27" s="106">
        <f t="shared" si="20"/>
        <v>9.2999999999999995E-4</v>
      </c>
      <c r="W27" s="68"/>
      <c r="X27" s="109">
        <f t="shared" si="6"/>
        <v>0.62615779199999999</v>
      </c>
      <c r="Y27" s="106">
        <v>8760</v>
      </c>
      <c r="Z27" s="121">
        <f t="shared" si="0"/>
        <v>0.14295839999999999</v>
      </c>
      <c r="AA27" s="109">
        <f t="shared" si="14"/>
        <v>0.04</v>
      </c>
      <c r="AB27" s="154" t="s">
        <v>211</v>
      </c>
      <c r="AC27" s="157">
        <f>H27</f>
        <v>58</v>
      </c>
      <c r="AD27" s="121">
        <v>0.04</v>
      </c>
      <c r="AE27" s="187">
        <f t="shared" si="1"/>
        <v>3.7600000000000001E-2</v>
      </c>
      <c r="AF27" s="158">
        <v>2.3E-2</v>
      </c>
      <c r="AG27" s="115">
        <f t="shared" si="7"/>
        <v>1.9052999999999997E-2</v>
      </c>
      <c r="AH27" s="106">
        <v>8760</v>
      </c>
      <c r="AI27" s="99">
        <f t="shared" si="8"/>
        <v>4.3499999999999997E-3</v>
      </c>
      <c r="AJ27" s="114">
        <f t="shared" si="9"/>
        <v>4.0000000000000001E-3</v>
      </c>
      <c r="AK27" s="154" t="s">
        <v>208</v>
      </c>
      <c r="AL27" s="52">
        <f>I27</f>
        <v>145</v>
      </c>
      <c r="AM27" s="87">
        <v>0</v>
      </c>
      <c r="AN27" s="173">
        <f t="shared" si="2"/>
        <v>0</v>
      </c>
      <c r="AO27" s="52">
        <v>7.4999999999999997E-3</v>
      </c>
      <c r="AP27" s="68"/>
      <c r="AQ27" s="115">
        <f t="shared" si="10"/>
        <v>2.3816250000000004E-2</v>
      </c>
      <c r="AR27" s="106">
        <v>8760</v>
      </c>
      <c r="AS27" s="176">
        <f t="shared" si="11"/>
        <v>5.4375000000000005E-3</v>
      </c>
      <c r="AT27" s="118">
        <f t="shared" si="12"/>
        <v>2.5000000000000001E-2</v>
      </c>
      <c r="AU27" s="154" t="s">
        <v>208</v>
      </c>
      <c r="AV27" s="52">
        <f>J27</f>
        <v>29</v>
      </c>
      <c r="AW27" s="87">
        <v>0</v>
      </c>
      <c r="AX27" s="173">
        <f t="shared" si="16"/>
        <v>0</v>
      </c>
      <c r="AY27" s="52">
        <v>7.4999999999999997E-3</v>
      </c>
      <c r="AZ27" s="68"/>
    </row>
    <row r="28" spans="2:52" s="119" customFormat="1" x14ac:dyDescent="0.2">
      <c r="B28" s="180" t="s">
        <v>200</v>
      </c>
      <c r="C28" s="181" t="s">
        <v>93</v>
      </c>
      <c r="D28" s="69">
        <v>30</v>
      </c>
      <c r="E28" s="68" t="s">
        <v>74</v>
      </c>
      <c r="F28" s="98">
        <v>5</v>
      </c>
      <c r="G28" s="98">
        <v>1</v>
      </c>
      <c r="H28" s="98">
        <f t="shared" si="29"/>
        <v>60</v>
      </c>
      <c r="I28" s="98">
        <f t="shared" ref="I28:I30" si="30">F28*D28</f>
        <v>150</v>
      </c>
      <c r="J28" s="98">
        <f t="shared" ref="J28:J30" si="31">G28*D28</f>
        <v>30</v>
      </c>
      <c r="K28" s="69"/>
      <c r="L28" s="183">
        <v>9449</v>
      </c>
      <c r="M28" s="163"/>
      <c r="N28" s="69"/>
      <c r="O28" s="69"/>
      <c r="P28" s="108">
        <f t="shared" si="3"/>
        <v>5.2725420000000002E-2</v>
      </c>
      <c r="Q28" s="113">
        <f t="shared" si="4"/>
        <v>105.45084</v>
      </c>
      <c r="R28" s="113">
        <v>12</v>
      </c>
      <c r="S28" s="153" t="s">
        <v>208</v>
      </c>
      <c r="T28" s="179">
        <v>4.3099999999999996</v>
      </c>
      <c r="U28" s="165">
        <f t="shared" ref="U28:U30" si="32">L28</f>
        <v>9449</v>
      </c>
      <c r="V28" s="106">
        <f t="shared" si="20"/>
        <v>9.2999999999999995E-4</v>
      </c>
      <c r="W28" s="68"/>
      <c r="X28" s="109">
        <f t="shared" si="6"/>
        <v>0.64774944000000001</v>
      </c>
      <c r="Y28" s="106">
        <v>8760</v>
      </c>
      <c r="Z28" s="121">
        <f t="shared" si="0"/>
        <v>0.14788800000000002</v>
      </c>
      <c r="AA28" s="109">
        <f t="shared" si="14"/>
        <v>0.04</v>
      </c>
      <c r="AB28" s="154" t="s">
        <v>211</v>
      </c>
      <c r="AC28" s="157">
        <f>H28</f>
        <v>60</v>
      </c>
      <c r="AD28" s="121">
        <v>0.04</v>
      </c>
      <c r="AE28" s="187">
        <f t="shared" si="1"/>
        <v>3.7600000000000001E-2</v>
      </c>
      <c r="AF28" s="158">
        <v>2.3E-2</v>
      </c>
      <c r="AG28" s="115">
        <f t="shared" si="7"/>
        <v>1.9709999999999998E-2</v>
      </c>
      <c r="AH28" s="106">
        <v>8760</v>
      </c>
      <c r="AI28" s="99">
        <f t="shared" si="8"/>
        <v>4.4999999999999997E-3</v>
      </c>
      <c r="AJ28" s="114">
        <f t="shared" si="9"/>
        <v>4.0000000000000001E-3</v>
      </c>
      <c r="AK28" s="154" t="s">
        <v>208</v>
      </c>
      <c r="AL28" s="52">
        <f>I28</f>
        <v>150</v>
      </c>
      <c r="AM28" s="175">
        <v>1.1000000000000001E-3</v>
      </c>
      <c r="AN28" s="173">
        <f t="shared" si="2"/>
        <v>1.1000000000000001E-3</v>
      </c>
      <c r="AO28" s="52">
        <v>7.4999999999999997E-3</v>
      </c>
      <c r="AP28" s="68"/>
      <c r="AQ28" s="115">
        <f t="shared" si="10"/>
        <v>2.46375E-2</v>
      </c>
      <c r="AR28" s="106">
        <v>8760</v>
      </c>
      <c r="AS28" s="176">
        <f t="shared" si="11"/>
        <v>5.6249999999999998E-3</v>
      </c>
      <c r="AT28" s="118">
        <f t="shared" si="12"/>
        <v>2.5000000000000001E-2</v>
      </c>
      <c r="AU28" s="154" t="s">
        <v>208</v>
      </c>
      <c r="AV28" s="52">
        <f>J28</f>
        <v>30</v>
      </c>
      <c r="AW28" s="175">
        <v>7.9000000000000008E-3</v>
      </c>
      <c r="AX28" s="173">
        <f t="shared" si="16"/>
        <v>7.9000000000000008E-3</v>
      </c>
      <c r="AY28" s="52">
        <v>7.4999999999999997E-3</v>
      </c>
      <c r="AZ28" s="68"/>
    </row>
    <row r="29" spans="2:52" s="119" customFormat="1" x14ac:dyDescent="0.2">
      <c r="B29" s="180" t="s">
        <v>200</v>
      </c>
      <c r="C29" s="181" t="s">
        <v>94</v>
      </c>
      <c r="D29" s="69">
        <v>30</v>
      </c>
      <c r="E29" s="68" t="s">
        <v>74</v>
      </c>
      <c r="F29" s="98">
        <v>5</v>
      </c>
      <c r="G29" s="98">
        <v>1</v>
      </c>
      <c r="H29" s="98">
        <f t="shared" si="29"/>
        <v>60</v>
      </c>
      <c r="I29" s="98">
        <f t="shared" si="30"/>
        <v>150</v>
      </c>
      <c r="J29" s="98">
        <f t="shared" si="31"/>
        <v>30</v>
      </c>
      <c r="K29" s="69"/>
      <c r="L29" s="183">
        <v>8827</v>
      </c>
      <c r="M29" s="68"/>
      <c r="N29" s="69"/>
      <c r="O29" s="69"/>
      <c r="P29" s="108">
        <f t="shared" si="3"/>
        <v>4.9254659999999992E-2</v>
      </c>
      <c r="Q29" s="113">
        <f t="shared" si="4"/>
        <v>98.509319999999988</v>
      </c>
      <c r="R29" s="113">
        <v>12</v>
      </c>
      <c r="S29" s="153" t="s">
        <v>208</v>
      </c>
      <c r="T29" s="179">
        <v>4.3099999999999996</v>
      </c>
      <c r="U29" s="165">
        <f t="shared" si="32"/>
        <v>8827</v>
      </c>
      <c r="V29" s="106">
        <f t="shared" si="20"/>
        <v>9.2999999999999995E-4</v>
      </c>
      <c r="W29" s="68"/>
      <c r="X29" s="109">
        <f t="shared" si="6"/>
        <v>0.64774944000000001</v>
      </c>
      <c r="Y29" s="106">
        <v>8760</v>
      </c>
      <c r="Z29" s="121">
        <f t="shared" si="0"/>
        <v>0.14788800000000002</v>
      </c>
      <c r="AA29" s="109">
        <f t="shared" si="14"/>
        <v>0.04</v>
      </c>
      <c r="AB29" s="154" t="s">
        <v>211</v>
      </c>
      <c r="AC29" s="157">
        <f>H29</f>
        <v>60</v>
      </c>
      <c r="AD29" s="121">
        <v>0.04</v>
      </c>
      <c r="AE29" s="187">
        <f t="shared" si="1"/>
        <v>3.7600000000000001E-2</v>
      </c>
      <c r="AF29" s="158">
        <v>2.3E-2</v>
      </c>
      <c r="AG29" s="115">
        <f t="shared" si="7"/>
        <v>1.9709999999999998E-2</v>
      </c>
      <c r="AH29" s="106">
        <v>8760</v>
      </c>
      <c r="AI29" s="99">
        <f t="shared" si="8"/>
        <v>4.4999999999999997E-3</v>
      </c>
      <c r="AJ29" s="114">
        <f t="shared" si="9"/>
        <v>4.0000000000000001E-3</v>
      </c>
      <c r="AK29" s="154" t="s">
        <v>208</v>
      </c>
      <c r="AL29" s="52">
        <f>I29</f>
        <v>150</v>
      </c>
      <c r="AM29" s="175">
        <v>8.0000000000000004E-4</v>
      </c>
      <c r="AN29" s="173">
        <f t="shared" si="2"/>
        <v>8.0000000000000004E-4</v>
      </c>
      <c r="AO29" s="52">
        <v>7.4999999999999997E-3</v>
      </c>
      <c r="AP29" s="68"/>
      <c r="AQ29" s="115">
        <f t="shared" si="10"/>
        <v>2.46375E-2</v>
      </c>
      <c r="AR29" s="106">
        <v>8760</v>
      </c>
      <c r="AS29" s="176">
        <f t="shared" si="11"/>
        <v>5.6249999999999998E-3</v>
      </c>
      <c r="AT29" s="118">
        <f t="shared" si="12"/>
        <v>2.5000000000000001E-2</v>
      </c>
      <c r="AU29" s="154" t="s">
        <v>208</v>
      </c>
      <c r="AV29" s="52">
        <f>J29</f>
        <v>30</v>
      </c>
      <c r="AW29" s="175">
        <v>5.1000000000000004E-3</v>
      </c>
      <c r="AX29" s="173">
        <f t="shared" si="16"/>
        <v>5.1000000000000004E-3</v>
      </c>
      <c r="AY29" s="52">
        <v>7.4999999999999997E-3</v>
      </c>
      <c r="AZ29" s="68"/>
    </row>
    <row r="30" spans="2:52" s="119" customFormat="1" x14ac:dyDescent="0.2">
      <c r="B30" s="180" t="s">
        <v>200</v>
      </c>
      <c r="C30" s="181" t="s">
        <v>95</v>
      </c>
      <c r="D30" s="69">
        <v>60</v>
      </c>
      <c r="E30" s="68" t="s">
        <v>74</v>
      </c>
      <c r="F30" s="98">
        <v>5</v>
      </c>
      <c r="G30" s="98">
        <v>1</v>
      </c>
      <c r="H30" s="98">
        <f t="shared" si="29"/>
        <v>120</v>
      </c>
      <c r="I30" s="98">
        <f t="shared" si="30"/>
        <v>300</v>
      </c>
      <c r="J30" s="98">
        <f t="shared" si="31"/>
        <v>60</v>
      </c>
      <c r="K30" s="69"/>
      <c r="L30" s="183">
        <v>12184</v>
      </c>
      <c r="M30" s="68"/>
      <c r="N30" s="69"/>
      <c r="O30" s="69"/>
      <c r="P30" s="108">
        <f t="shared" si="3"/>
        <v>6.7986719999999987E-2</v>
      </c>
      <c r="Q30" s="113">
        <f t="shared" si="4"/>
        <v>135.97343999999998</v>
      </c>
      <c r="R30" s="113">
        <v>12</v>
      </c>
      <c r="S30" s="153" t="s">
        <v>208</v>
      </c>
      <c r="T30" s="179">
        <v>3.48</v>
      </c>
      <c r="U30" s="165">
        <f t="shared" si="32"/>
        <v>12184</v>
      </c>
      <c r="V30" s="106">
        <f t="shared" si="20"/>
        <v>9.2999999999999995E-4</v>
      </c>
      <c r="W30" s="68"/>
      <c r="X30" s="109">
        <f t="shared" si="6"/>
        <v>1.29549888</v>
      </c>
      <c r="Y30" s="106">
        <v>8760</v>
      </c>
      <c r="Z30" s="121">
        <f t="shared" si="0"/>
        <v>0.29577600000000004</v>
      </c>
      <c r="AA30" s="109">
        <f t="shared" si="14"/>
        <v>0.04</v>
      </c>
      <c r="AB30" s="154" t="s">
        <v>211</v>
      </c>
      <c r="AC30" s="157">
        <f>H30</f>
        <v>120</v>
      </c>
      <c r="AD30" s="121">
        <v>0.04</v>
      </c>
      <c r="AE30" s="187">
        <f t="shared" si="1"/>
        <v>3.7600000000000001E-2</v>
      </c>
      <c r="AF30" s="158">
        <v>2.3E-2</v>
      </c>
      <c r="AG30" s="115">
        <f t="shared" si="7"/>
        <v>3.9419999999999997E-2</v>
      </c>
      <c r="AH30" s="106">
        <v>8760</v>
      </c>
      <c r="AI30" s="99">
        <f t="shared" si="8"/>
        <v>8.9999999999999993E-3</v>
      </c>
      <c r="AJ30" s="114">
        <f t="shared" si="9"/>
        <v>4.0000000000000001E-3</v>
      </c>
      <c r="AK30" s="154" t="s">
        <v>208</v>
      </c>
      <c r="AL30" s="52">
        <f>I30</f>
        <v>300</v>
      </c>
      <c r="AM30" s="175">
        <v>6.9999999999999999E-4</v>
      </c>
      <c r="AN30" s="173">
        <f t="shared" si="2"/>
        <v>6.9999999999999999E-4</v>
      </c>
      <c r="AO30" s="52">
        <v>7.4999999999999997E-3</v>
      </c>
      <c r="AP30" s="68"/>
      <c r="AQ30" s="115">
        <f t="shared" si="10"/>
        <v>4.9274999999999999E-2</v>
      </c>
      <c r="AR30" s="106">
        <v>8760</v>
      </c>
      <c r="AS30" s="176">
        <f t="shared" si="11"/>
        <v>1.125E-2</v>
      </c>
      <c r="AT30" s="118">
        <f t="shared" si="12"/>
        <v>2.5000000000000001E-2</v>
      </c>
      <c r="AU30" s="154" t="s">
        <v>208</v>
      </c>
      <c r="AV30" s="52">
        <f>J30</f>
        <v>60</v>
      </c>
      <c r="AW30" s="175">
        <v>7.6E-3</v>
      </c>
      <c r="AX30" s="173">
        <f t="shared" si="16"/>
        <v>7.6E-3</v>
      </c>
      <c r="AY30" s="52">
        <v>7.4999999999999997E-3</v>
      </c>
      <c r="AZ30" s="68"/>
    </row>
    <row r="31" spans="2:52" s="119" customFormat="1" x14ac:dyDescent="0.2">
      <c r="S31" s="186"/>
    </row>
    <row r="32" spans="2:52" s="119" customFormat="1" x14ac:dyDescent="0.2">
      <c r="S32" s="186"/>
    </row>
    <row r="33" spans="19:19" s="119" customFormat="1" x14ac:dyDescent="0.2">
      <c r="S33" s="186"/>
    </row>
    <row r="34" spans="19:19" s="119" customFormat="1" x14ac:dyDescent="0.2">
      <c r="S34" s="186"/>
    </row>
    <row r="35" spans="19:19" s="119" customFormat="1" x14ac:dyDescent="0.2">
      <c r="S35" s="186"/>
    </row>
  </sheetData>
  <autoFilter ref="B3:AZ30" xr:uid="{B9D15D55-5E13-4BCF-AA66-6C66902EF48B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1E2AA-B0B7-4271-9C68-B389371A40A6}">
  <dimension ref="B1:AZ42"/>
  <sheetViews>
    <sheetView zoomScale="70" zoomScaleNormal="70" workbookViewId="0">
      <pane xSplit="3" ySplit="3" topLeftCell="D4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4.7109375" style="46" customWidth="1"/>
    <col min="2" max="2" width="21" style="46" bestFit="1" customWidth="1"/>
    <col min="3" max="3" width="17.7109375" style="46" customWidth="1"/>
    <col min="4" max="4" width="12.140625" style="46" customWidth="1"/>
    <col min="5" max="5" width="12.85546875" style="46" customWidth="1"/>
    <col min="6" max="15" width="13.7109375" style="46" customWidth="1"/>
    <col min="16" max="16" width="15.85546875" style="46" customWidth="1"/>
    <col min="17" max="17" width="13.7109375" style="46" customWidth="1"/>
    <col min="18" max="18" width="13.7109375" style="88" customWidth="1"/>
    <col min="19" max="19" width="38.5703125" style="105" customWidth="1"/>
    <col min="20" max="23" width="13.7109375" style="46" customWidth="1"/>
    <col min="24" max="24" width="15" style="46" customWidth="1"/>
    <col min="25" max="25" width="14.5703125" style="46" customWidth="1"/>
    <col min="26" max="26" width="13.7109375" style="46" customWidth="1"/>
    <col min="27" max="27" width="24.7109375" style="46" customWidth="1"/>
    <col min="28" max="28" width="46.28515625" style="46" customWidth="1"/>
    <col min="29" max="30" width="13.7109375" style="46" customWidth="1"/>
    <col min="31" max="31" width="18.85546875" style="46" customWidth="1"/>
    <col min="32" max="32" width="13.7109375" style="46" customWidth="1"/>
    <col min="33" max="33" width="16" style="46" customWidth="1"/>
    <col min="34" max="34" width="14.85546875" style="46" customWidth="1"/>
    <col min="35" max="35" width="13.7109375" style="46" customWidth="1"/>
    <col min="36" max="36" width="17.42578125" style="46" customWidth="1"/>
    <col min="37" max="37" width="38.5703125" style="46" customWidth="1"/>
    <col min="38" max="42" width="13.7109375" style="46" customWidth="1"/>
    <col min="43" max="43" width="15" style="46" customWidth="1"/>
    <col min="44" max="44" width="14.7109375" style="46" customWidth="1"/>
    <col min="45" max="45" width="13.7109375" style="46" customWidth="1"/>
    <col min="46" max="46" width="14" style="46" customWidth="1"/>
    <col min="47" max="47" width="38.5703125" style="46" customWidth="1"/>
    <col min="48" max="52" width="13.7109375" style="46" customWidth="1"/>
    <col min="53" max="16384" width="9.140625" style="46"/>
  </cols>
  <sheetData>
    <row r="1" spans="2:52" s="1" customFormat="1" ht="15" customHeight="1" x14ac:dyDescent="0.25">
      <c r="B1" s="70"/>
      <c r="C1" s="70"/>
      <c r="D1" s="70" t="s">
        <v>197</v>
      </c>
      <c r="E1" s="70"/>
      <c r="F1" s="70" t="s">
        <v>197</v>
      </c>
      <c r="G1" s="70" t="s">
        <v>197</v>
      </c>
      <c r="H1" s="70" t="s">
        <v>197</v>
      </c>
      <c r="I1" s="70" t="s">
        <v>197</v>
      </c>
      <c r="J1" s="70" t="s">
        <v>197</v>
      </c>
      <c r="K1" s="70"/>
      <c r="L1" s="70" t="s">
        <v>199</v>
      </c>
      <c r="M1" s="70" t="s">
        <v>197</v>
      </c>
      <c r="N1" s="70"/>
      <c r="O1" s="70"/>
      <c r="P1" s="71" t="s">
        <v>212</v>
      </c>
      <c r="Q1" s="71"/>
      <c r="R1" s="71"/>
      <c r="S1" s="102"/>
      <c r="T1" s="71"/>
      <c r="U1" s="71"/>
      <c r="V1" s="71"/>
      <c r="W1" s="71" t="s">
        <v>198</v>
      </c>
      <c r="X1" s="72" t="s">
        <v>212</v>
      </c>
      <c r="Y1" s="72"/>
      <c r="Z1" s="83" t="s">
        <v>185</v>
      </c>
      <c r="AA1" s="72"/>
      <c r="AB1" s="72"/>
      <c r="AC1" s="72"/>
      <c r="AD1" s="110"/>
      <c r="AE1" s="72"/>
      <c r="AF1" s="111"/>
      <c r="AG1" s="73" t="s">
        <v>212</v>
      </c>
      <c r="AH1" s="73"/>
      <c r="AI1" s="73"/>
      <c r="AJ1" s="73"/>
      <c r="AK1" s="73"/>
      <c r="AL1" s="73"/>
      <c r="AM1" s="73"/>
      <c r="AN1" s="73"/>
      <c r="AO1" s="73"/>
      <c r="AP1" s="73" t="s">
        <v>198</v>
      </c>
      <c r="AQ1" s="74" t="s">
        <v>212</v>
      </c>
      <c r="AR1" s="74"/>
      <c r="AS1" s="116"/>
      <c r="AT1" s="116"/>
      <c r="AU1" s="116"/>
      <c r="AV1" s="116"/>
      <c r="AW1" s="116"/>
      <c r="AX1" s="116"/>
      <c r="AY1" s="116"/>
      <c r="AZ1" s="116" t="s">
        <v>198</v>
      </c>
    </row>
    <row r="2" spans="2:52" s="1" customFormat="1" ht="26.25" x14ac:dyDescent="0.25">
      <c r="B2" s="70"/>
      <c r="C2" s="70" t="s">
        <v>99</v>
      </c>
      <c r="D2" s="70" t="s">
        <v>99</v>
      </c>
      <c r="E2" s="70" t="s">
        <v>66</v>
      </c>
      <c r="F2" s="70" t="s">
        <v>99</v>
      </c>
      <c r="G2" s="70" t="s">
        <v>99</v>
      </c>
      <c r="H2" s="70" t="s">
        <v>99</v>
      </c>
      <c r="I2" s="70" t="s">
        <v>99</v>
      </c>
      <c r="J2" s="70" t="s">
        <v>99</v>
      </c>
      <c r="K2" s="70" t="s">
        <v>99</v>
      </c>
      <c r="L2" s="70" t="s">
        <v>99</v>
      </c>
      <c r="M2" s="70" t="s">
        <v>99</v>
      </c>
      <c r="N2" s="70" t="s">
        <v>99</v>
      </c>
      <c r="O2" s="70" t="s">
        <v>99</v>
      </c>
      <c r="P2" s="71" t="s">
        <v>202</v>
      </c>
      <c r="Q2" s="82" t="s">
        <v>102</v>
      </c>
      <c r="R2" s="82"/>
      <c r="S2" s="103"/>
      <c r="T2" s="82"/>
      <c r="U2" s="82"/>
      <c r="V2" s="82"/>
      <c r="W2" s="71" t="s">
        <v>99</v>
      </c>
      <c r="X2" s="72" t="s">
        <v>219</v>
      </c>
      <c r="Y2" s="72"/>
      <c r="Z2" s="107"/>
      <c r="AA2" s="83"/>
      <c r="AB2" s="83"/>
      <c r="AC2" s="83"/>
      <c r="AD2" s="83"/>
      <c r="AE2" s="107"/>
      <c r="AF2" s="83"/>
      <c r="AG2" s="73" t="s">
        <v>202</v>
      </c>
      <c r="AH2" s="73"/>
      <c r="AI2" s="81" t="s">
        <v>191</v>
      </c>
      <c r="AJ2" s="81"/>
      <c r="AK2" s="81"/>
      <c r="AL2" s="81"/>
      <c r="AM2" s="81"/>
      <c r="AN2" s="81"/>
      <c r="AO2" s="81"/>
      <c r="AP2" s="73" t="s">
        <v>99</v>
      </c>
      <c r="AQ2" s="74" t="s">
        <v>202</v>
      </c>
      <c r="AR2" s="74"/>
      <c r="AS2" s="117" t="s">
        <v>223</v>
      </c>
      <c r="AT2" s="117"/>
      <c r="AU2" s="117"/>
      <c r="AV2" s="117"/>
      <c r="AW2" s="117"/>
      <c r="AX2" s="117"/>
      <c r="AY2" s="117"/>
      <c r="AZ2" s="74" t="s">
        <v>99</v>
      </c>
    </row>
    <row r="3" spans="2:52" s="1" customFormat="1" ht="65.25" x14ac:dyDescent="0.2">
      <c r="B3" s="70" t="s">
        <v>11</v>
      </c>
      <c r="C3" s="75" t="s">
        <v>67</v>
      </c>
      <c r="D3" s="76" t="s">
        <v>68</v>
      </c>
      <c r="E3" s="76" t="s">
        <v>69</v>
      </c>
      <c r="F3" s="76" t="s">
        <v>107</v>
      </c>
      <c r="G3" s="76" t="s">
        <v>108</v>
      </c>
      <c r="H3" s="76" t="s">
        <v>109</v>
      </c>
      <c r="I3" s="76" t="s">
        <v>110</v>
      </c>
      <c r="J3" s="76" t="s">
        <v>111</v>
      </c>
      <c r="K3" s="76" t="s">
        <v>112</v>
      </c>
      <c r="L3" s="76" t="s">
        <v>113</v>
      </c>
      <c r="M3" s="76" t="s">
        <v>114</v>
      </c>
      <c r="N3" s="76" t="s">
        <v>116</v>
      </c>
      <c r="O3" s="76" t="s">
        <v>117</v>
      </c>
      <c r="P3" s="71" t="s">
        <v>201</v>
      </c>
      <c r="Q3" s="77" t="s">
        <v>222</v>
      </c>
      <c r="R3" s="77" t="s">
        <v>216</v>
      </c>
      <c r="S3" s="104" t="s">
        <v>209</v>
      </c>
      <c r="T3" s="77" t="s">
        <v>96</v>
      </c>
      <c r="U3" s="77" t="s">
        <v>100</v>
      </c>
      <c r="V3" s="77" t="s">
        <v>101</v>
      </c>
      <c r="W3" s="77" t="s">
        <v>16</v>
      </c>
      <c r="X3" s="72" t="s">
        <v>203</v>
      </c>
      <c r="Y3" s="78" t="s">
        <v>204</v>
      </c>
      <c r="Z3" s="78" t="s">
        <v>186</v>
      </c>
      <c r="AA3" s="78" t="s">
        <v>213</v>
      </c>
      <c r="AB3" s="78" t="s">
        <v>209</v>
      </c>
      <c r="AC3" s="78" t="s">
        <v>187</v>
      </c>
      <c r="AD3" s="78" t="s">
        <v>188</v>
      </c>
      <c r="AE3" s="78" t="s">
        <v>189</v>
      </c>
      <c r="AF3" s="78" t="s">
        <v>190</v>
      </c>
      <c r="AG3" s="73" t="s">
        <v>205</v>
      </c>
      <c r="AH3" s="79" t="s">
        <v>204</v>
      </c>
      <c r="AI3" s="79" t="s">
        <v>192</v>
      </c>
      <c r="AJ3" s="79" t="s">
        <v>214</v>
      </c>
      <c r="AK3" s="79" t="s">
        <v>209</v>
      </c>
      <c r="AL3" s="79" t="s">
        <v>193</v>
      </c>
      <c r="AM3" s="79" t="s">
        <v>97</v>
      </c>
      <c r="AN3" s="79" t="s">
        <v>194</v>
      </c>
      <c r="AO3" s="79" t="s">
        <v>195</v>
      </c>
      <c r="AP3" s="79" t="s">
        <v>18</v>
      </c>
      <c r="AQ3" s="74" t="s">
        <v>206</v>
      </c>
      <c r="AR3" s="80" t="s">
        <v>204</v>
      </c>
      <c r="AS3" s="80" t="s">
        <v>224</v>
      </c>
      <c r="AT3" s="80" t="s">
        <v>215</v>
      </c>
      <c r="AU3" s="80" t="s">
        <v>209</v>
      </c>
      <c r="AV3" s="80" t="s">
        <v>227</v>
      </c>
      <c r="AW3" s="80" t="s">
        <v>98</v>
      </c>
      <c r="AX3" s="80" t="s">
        <v>196</v>
      </c>
      <c r="AY3" s="80" t="s">
        <v>195</v>
      </c>
      <c r="AZ3" s="80" t="s">
        <v>19</v>
      </c>
    </row>
    <row r="4" spans="2:52" s="119" customFormat="1" x14ac:dyDescent="0.2">
      <c r="B4" s="161" t="s">
        <v>53</v>
      </c>
      <c r="C4" s="161" t="s">
        <v>70</v>
      </c>
      <c r="D4" s="162">
        <v>47</v>
      </c>
      <c r="E4" s="101" t="s">
        <v>71</v>
      </c>
      <c r="F4" s="106">
        <v>4</v>
      </c>
      <c r="G4" s="106">
        <v>1</v>
      </c>
      <c r="H4" s="106">
        <f>47*2</f>
        <v>94</v>
      </c>
      <c r="I4" s="106">
        <f>47*4</f>
        <v>188</v>
      </c>
      <c r="J4" s="106">
        <v>47</v>
      </c>
      <c r="K4" s="106">
        <v>124</v>
      </c>
      <c r="L4" s="100">
        <v>2978</v>
      </c>
      <c r="M4" s="163" t="s">
        <v>158</v>
      </c>
      <c r="N4" s="106" t="s">
        <v>149</v>
      </c>
      <c r="O4" s="106" t="s">
        <v>129</v>
      </c>
      <c r="P4" s="108">
        <f>Q4/2000</f>
        <v>1.6617239999999998E-2</v>
      </c>
      <c r="Q4" s="113">
        <f>R4*U4*V4</f>
        <v>33.234479999999998</v>
      </c>
      <c r="R4" s="113">
        <v>12</v>
      </c>
      <c r="S4" s="153" t="s">
        <v>208</v>
      </c>
      <c r="T4" s="164">
        <f>W4</f>
        <v>7.416666666666667</v>
      </c>
      <c r="U4" s="165">
        <f>L4</f>
        <v>2978</v>
      </c>
      <c r="V4" s="106">
        <f>0.0093/10</f>
        <v>9.2999999999999995E-4</v>
      </c>
      <c r="W4" s="108">
        <v>7.416666666666667</v>
      </c>
      <c r="X4" s="109">
        <f>Z4*Y4/2000</f>
        <v>1.1116440000000001</v>
      </c>
      <c r="Y4" s="106">
        <v>8760</v>
      </c>
      <c r="Z4" s="109">
        <f>AC4*AA4*AD4+AC4*AE4*AF4</f>
        <v>0.25380000000000003</v>
      </c>
      <c r="AA4" s="108">
        <f>3.3/100</f>
        <v>3.3000000000000002E-2</v>
      </c>
      <c r="AB4" s="154" t="s">
        <v>217</v>
      </c>
      <c r="AC4" s="155">
        <f>H4</f>
        <v>94</v>
      </c>
      <c r="AD4" s="109">
        <v>0.04</v>
      </c>
      <c r="AE4" s="109">
        <f>6/100</f>
        <v>0.06</v>
      </c>
      <c r="AF4" s="108">
        <v>2.3E-2</v>
      </c>
      <c r="AG4" s="115">
        <f>AI4*AH4/2000</f>
        <v>2.4703199999999998E-2</v>
      </c>
      <c r="AH4" s="106">
        <v>8760</v>
      </c>
      <c r="AI4" s="99">
        <f>AL4*AJ4*AO4</f>
        <v>5.64E-3</v>
      </c>
      <c r="AJ4" s="114">
        <f>0.4/100</f>
        <v>4.0000000000000001E-3</v>
      </c>
      <c r="AK4" s="154" t="s">
        <v>208</v>
      </c>
      <c r="AL4" s="101">
        <f>I4</f>
        <v>188</v>
      </c>
      <c r="AM4" s="87">
        <f>AP4</f>
        <v>0</v>
      </c>
      <c r="AN4" s="166">
        <f t="shared" ref="AN4:AN30" si="0">AM4</f>
        <v>0</v>
      </c>
      <c r="AO4" s="101">
        <v>7.4999999999999997E-3</v>
      </c>
      <c r="AP4" s="156">
        <v>0</v>
      </c>
      <c r="AQ4" s="115">
        <f>AS4*AR4/2000</f>
        <v>3.8598749999999994E-2</v>
      </c>
      <c r="AR4" s="106">
        <v>8760</v>
      </c>
      <c r="AS4" s="167">
        <f>AV4*AT4*AY4</f>
        <v>8.8124999999999992E-3</v>
      </c>
      <c r="AT4" s="118">
        <f>2.5/100</f>
        <v>2.5000000000000001E-2</v>
      </c>
      <c r="AU4" s="154" t="s">
        <v>208</v>
      </c>
      <c r="AV4" s="101">
        <f>J4</f>
        <v>47</v>
      </c>
      <c r="AW4" s="168">
        <f>AZ4</f>
        <v>1.8888888888888888E-4</v>
      </c>
      <c r="AX4" s="166">
        <f>AW4</f>
        <v>1.8888888888888888E-4</v>
      </c>
      <c r="AY4" s="101">
        <v>7.4999999999999997E-3</v>
      </c>
      <c r="AZ4" s="156">
        <f>'Enc1 Part VI BL Q89'!J18</f>
        <v>1.8888888888888888E-4</v>
      </c>
    </row>
    <row r="5" spans="2:52" s="119" customFormat="1" x14ac:dyDescent="0.2">
      <c r="B5" s="163" t="s">
        <v>53</v>
      </c>
      <c r="C5" s="87" t="s">
        <v>72</v>
      </c>
      <c r="D5" s="169">
        <v>47</v>
      </c>
      <c r="E5" s="52" t="s">
        <v>71</v>
      </c>
      <c r="F5" s="98">
        <v>4</v>
      </c>
      <c r="G5" s="98">
        <v>1</v>
      </c>
      <c r="H5" s="98">
        <v>94</v>
      </c>
      <c r="I5" s="98">
        <v>188</v>
      </c>
      <c r="J5" s="98">
        <v>47</v>
      </c>
      <c r="K5" s="98"/>
      <c r="L5" s="170"/>
      <c r="M5" s="98" t="s">
        <v>4</v>
      </c>
      <c r="N5" s="106" t="s">
        <v>149</v>
      </c>
      <c r="O5" s="98" t="s">
        <v>129</v>
      </c>
      <c r="P5" s="108">
        <f t="shared" ref="P5:P30" si="1">Q5/2000</f>
        <v>1.6617239999999998E-2</v>
      </c>
      <c r="Q5" s="113">
        <f t="shared" ref="Q5:Q30" si="2">R5*U5*V5</f>
        <v>33.234479999999998</v>
      </c>
      <c r="R5" s="113">
        <v>12</v>
      </c>
      <c r="S5" s="153" t="s">
        <v>208</v>
      </c>
      <c r="T5" s="171">
        <f>T4</f>
        <v>7.416666666666667</v>
      </c>
      <c r="U5" s="86">
        <f>U4</f>
        <v>2978</v>
      </c>
      <c r="V5" s="106">
        <f t="shared" ref="V5:V7" si="3">0.0093/10</f>
        <v>9.2999999999999995E-4</v>
      </c>
      <c r="W5" s="52"/>
      <c r="X5" s="109">
        <f t="shared" ref="X5:X30" si="4">Z5*Y5/2000</f>
        <v>1.1116440000000001</v>
      </c>
      <c r="Y5" s="106">
        <v>8760</v>
      </c>
      <c r="Z5" s="121">
        <f t="shared" ref="Z5:Z30" si="5">AC5*AA5*AD5+AC5*AE5*AF5</f>
        <v>0.25380000000000003</v>
      </c>
      <c r="AA5" s="108">
        <f>3.3/100</f>
        <v>3.3000000000000002E-2</v>
      </c>
      <c r="AB5" s="154" t="s">
        <v>217</v>
      </c>
      <c r="AC5" s="157">
        <f>H5</f>
        <v>94</v>
      </c>
      <c r="AD5" s="109">
        <v>0.04</v>
      </c>
      <c r="AE5" s="109">
        <f>6/100</f>
        <v>0.06</v>
      </c>
      <c r="AF5" s="108">
        <v>2.3E-2</v>
      </c>
      <c r="AG5" s="115">
        <f t="shared" ref="AG5:AG30" si="6">AI5*AH5/2000</f>
        <v>2.4703199999999998E-2</v>
      </c>
      <c r="AH5" s="106">
        <v>8760</v>
      </c>
      <c r="AI5" s="99">
        <f t="shared" ref="AI5:AI30" si="7">AL5*AJ5*AO5</f>
        <v>5.64E-3</v>
      </c>
      <c r="AJ5" s="114">
        <f t="shared" ref="AJ5:AJ30" si="8">0.4/100</f>
        <v>4.0000000000000001E-3</v>
      </c>
      <c r="AK5" s="154" t="s">
        <v>208</v>
      </c>
      <c r="AL5" s="52">
        <f>I5</f>
        <v>188</v>
      </c>
      <c r="AM5" s="87">
        <f>AM4</f>
        <v>0</v>
      </c>
      <c r="AN5" s="166">
        <f t="shared" si="0"/>
        <v>0</v>
      </c>
      <c r="AO5" s="101">
        <v>7.4999999999999997E-3</v>
      </c>
      <c r="AP5" s="52"/>
      <c r="AQ5" s="115">
        <f t="shared" ref="AQ5:AQ30" si="9">AS5*AR5/2000</f>
        <v>3.8598749999999994E-2</v>
      </c>
      <c r="AR5" s="106">
        <v>8760</v>
      </c>
      <c r="AS5" s="167">
        <f t="shared" ref="AS5:AS30" si="10">AV5*AT5*AY5</f>
        <v>8.8124999999999992E-3</v>
      </c>
      <c r="AT5" s="118">
        <f t="shared" ref="AT5:AT30" si="11">2.5/100</f>
        <v>2.5000000000000001E-2</v>
      </c>
      <c r="AU5" s="154" t="s">
        <v>208</v>
      </c>
      <c r="AV5" s="52">
        <f>J5</f>
        <v>47</v>
      </c>
      <c r="AW5" s="87">
        <f>AW4</f>
        <v>1.8888888888888888E-4</v>
      </c>
      <c r="AX5" s="166">
        <f>AW5</f>
        <v>1.8888888888888888E-4</v>
      </c>
      <c r="AY5" s="101">
        <v>7.4999999999999997E-3</v>
      </c>
      <c r="AZ5" s="52"/>
    </row>
    <row r="6" spans="2:52" s="119" customFormat="1" x14ac:dyDescent="0.2">
      <c r="B6" s="163" t="s">
        <v>53</v>
      </c>
      <c r="C6" s="87" t="s">
        <v>73</v>
      </c>
      <c r="D6" s="169">
        <v>51</v>
      </c>
      <c r="E6" s="52" t="s">
        <v>71</v>
      </c>
      <c r="F6" s="98">
        <v>4</v>
      </c>
      <c r="G6" s="98">
        <v>1</v>
      </c>
      <c r="H6" s="98">
        <v>102</v>
      </c>
      <c r="I6" s="98">
        <f>51*4</f>
        <v>204</v>
      </c>
      <c r="J6" s="98">
        <v>51</v>
      </c>
      <c r="K6" s="157"/>
      <c r="L6" s="170"/>
      <c r="M6" s="98" t="s">
        <v>4</v>
      </c>
      <c r="N6" s="106" t="s">
        <v>149</v>
      </c>
      <c r="O6" s="98" t="s">
        <v>129</v>
      </c>
      <c r="P6" s="108">
        <f t="shared" si="1"/>
        <v>1.6617239999999998E-2</v>
      </c>
      <c r="Q6" s="113">
        <f t="shared" si="2"/>
        <v>33.234479999999998</v>
      </c>
      <c r="R6" s="113">
        <v>12</v>
      </c>
      <c r="S6" s="153" t="s">
        <v>208</v>
      </c>
      <c r="T6" s="171">
        <f>T4</f>
        <v>7.416666666666667</v>
      </c>
      <c r="U6" s="86">
        <f>U4</f>
        <v>2978</v>
      </c>
      <c r="V6" s="106">
        <f t="shared" si="3"/>
        <v>9.2999999999999995E-4</v>
      </c>
      <c r="W6" s="52"/>
      <c r="X6" s="109">
        <f t="shared" si="4"/>
        <v>1.2062519999999999</v>
      </c>
      <c r="Y6" s="106">
        <v>8760</v>
      </c>
      <c r="Z6" s="121">
        <f t="shared" si="5"/>
        <v>0.27539999999999998</v>
      </c>
      <c r="AA6" s="108">
        <f>3.3/100</f>
        <v>3.3000000000000002E-2</v>
      </c>
      <c r="AB6" s="154" t="s">
        <v>217</v>
      </c>
      <c r="AC6" s="157">
        <f>H6</f>
        <v>102</v>
      </c>
      <c r="AD6" s="109">
        <v>0.04</v>
      </c>
      <c r="AE6" s="109">
        <f>6/100</f>
        <v>0.06</v>
      </c>
      <c r="AF6" s="108">
        <v>2.3E-2</v>
      </c>
      <c r="AG6" s="115">
        <f t="shared" si="6"/>
        <v>2.6805600000000002E-2</v>
      </c>
      <c r="AH6" s="106">
        <v>8760</v>
      </c>
      <c r="AI6" s="99">
        <f t="shared" si="7"/>
        <v>6.1200000000000004E-3</v>
      </c>
      <c r="AJ6" s="114">
        <f t="shared" si="8"/>
        <v>4.0000000000000001E-3</v>
      </c>
      <c r="AK6" s="154" t="s">
        <v>208</v>
      </c>
      <c r="AL6" s="52">
        <f>I6</f>
        <v>204</v>
      </c>
      <c r="AM6" s="87">
        <f>AM4</f>
        <v>0</v>
      </c>
      <c r="AN6" s="166">
        <f t="shared" si="0"/>
        <v>0</v>
      </c>
      <c r="AO6" s="101">
        <v>7.4999999999999997E-3</v>
      </c>
      <c r="AP6" s="52"/>
      <c r="AQ6" s="115">
        <f t="shared" si="9"/>
        <v>4.1883749999999997E-2</v>
      </c>
      <c r="AR6" s="106">
        <v>8760</v>
      </c>
      <c r="AS6" s="167">
        <f t="shared" si="10"/>
        <v>9.5624999999999998E-3</v>
      </c>
      <c r="AT6" s="118">
        <f t="shared" si="11"/>
        <v>2.5000000000000001E-2</v>
      </c>
      <c r="AU6" s="154" t="s">
        <v>208</v>
      </c>
      <c r="AV6" s="52">
        <f>J6</f>
        <v>51</v>
      </c>
      <c r="AW6" s="87">
        <f>AW4</f>
        <v>1.8888888888888888E-4</v>
      </c>
      <c r="AX6" s="166">
        <f>AW6</f>
        <v>1.8888888888888888E-4</v>
      </c>
      <c r="AY6" s="101">
        <v>7.4999999999999997E-3</v>
      </c>
      <c r="AZ6" s="52"/>
    </row>
    <row r="7" spans="2:52" s="119" customFormat="1" x14ac:dyDescent="0.2">
      <c r="B7" s="163" t="s">
        <v>53</v>
      </c>
      <c r="C7" s="163" t="s">
        <v>75</v>
      </c>
      <c r="D7" s="98">
        <v>79</v>
      </c>
      <c r="E7" s="52" t="s">
        <v>71</v>
      </c>
      <c r="F7" s="98">
        <v>4</v>
      </c>
      <c r="G7" s="98">
        <v>2</v>
      </c>
      <c r="H7" s="98">
        <f>79*2</f>
        <v>158</v>
      </c>
      <c r="I7" s="98">
        <f>79*4</f>
        <v>316</v>
      </c>
      <c r="J7" s="98">
        <v>158</v>
      </c>
      <c r="K7" s="98">
        <v>248</v>
      </c>
      <c r="L7" s="170">
        <v>19623</v>
      </c>
      <c r="M7" s="163" t="s">
        <v>160</v>
      </c>
      <c r="N7" s="106" t="s">
        <v>149</v>
      </c>
      <c r="O7" s="98" t="s">
        <v>129</v>
      </c>
      <c r="P7" s="108">
        <f t="shared" si="1"/>
        <v>0.10949633999999998</v>
      </c>
      <c r="Q7" s="113">
        <f t="shared" si="2"/>
        <v>218.99267999999998</v>
      </c>
      <c r="R7" s="113">
        <v>12</v>
      </c>
      <c r="S7" s="153" t="s">
        <v>208</v>
      </c>
      <c r="T7" s="171">
        <f>W7</f>
        <v>4.100833333333334</v>
      </c>
      <c r="U7" s="165">
        <f t="shared" ref="U7:U24" si="12">L7</f>
        <v>19623</v>
      </c>
      <c r="V7" s="106">
        <f t="shared" si="3"/>
        <v>9.2999999999999995E-4</v>
      </c>
      <c r="W7" s="158">
        <v>4.100833333333334</v>
      </c>
      <c r="X7" s="112">
        <f t="shared" si="4"/>
        <v>2.0622791999999999</v>
      </c>
      <c r="Y7" s="106">
        <v>8760</v>
      </c>
      <c r="Z7" s="121">
        <f t="shared" si="5"/>
        <v>0.47084000000000004</v>
      </c>
      <c r="AA7" s="109">
        <f t="shared" ref="AA7:AA30" si="13">4/100</f>
        <v>0.04</v>
      </c>
      <c r="AB7" s="154" t="s">
        <v>210</v>
      </c>
      <c r="AC7" s="157">
        <f>H7</f>
        <v>158</v>
      </c>
      <c r="AD7" s="121">
        <v>0.04</v>
      </c>
      <c r="AE7" s="121">
        <f t="shared" ref="AE7:AE30" si="14">6/100</f>
        <v>0.06</v>
      </c>
      <c r="AF7" s="158">
        <v>2.3E-2</v>
      </c>
      <c r="AG7" s="115">
        <f t="shared" si="6"/>
        <v>4.1522400000000008E-2</v>
      </c>
      <c r="AH7" s="106">
        <v>8760</v>
      </c>
      <c r="AI7" s="99">
        <f t="shared" si="7"/>
        <v>9.4800000000000006E-3</v>
      </c>
      <c r="AJ7" s="114">
        <f t="shared" si="8"/>
        <v>4.0000000000000001E-3</v>
      </c>
      <c r="AK7" s="154" t="s">
        <v>208</v>
      </c>
      <c r="AL7" s="52">
        <f>I7</f>
        <v>316</v>
      </c>
      <c r="AM7" s="172">
        <f t="shared" ref="AM7:AM14" si="15">AP7</f>
        <v>9.1666666666666695E-5</v>
      </c>
      <c r="AN7" s="173">
        <f t="shared" si="0"/>
        <v>9.1666666666666695E-5</v>
      </c>
      <c r="AO7" s="52">
        <v>7.4999999999999997E-3</v>
      </c>
      <c r="AP7" s="159">
        <v>9.1666666666666695E-5</v>
      </c>
      <c r="AQ7" s="115">
        <f t="shared" si="9"/>
        <v>0.1297575</v>
      </c>
      <c r="AR7" s="106">
        <v>8760</v>
      </c>
      <c r="AS7" s="174">
        <f t="shared" si="10"/>
        <v>2.9624999999999999E-2</v>
      </c>
      <c r="AT7" s="118">
        <f t="shared" si="11"/>
        <v>2.5000000000000001E-2</v>
      </c>
      <c r="AU7" s="154" t="s">
        <v>208</v>
      </c>
      <c r="AV7" s="52">
        <f>J7</f>
        <v>158</v>
      </c>
      <c r="AW7" s="175">
        <f>AZ7</f>
        <v>9.300000000000001E-3</v>
      </c>
      <c r="AX7" s="173">
        <f t="shared" ref="AX7:AX30" si="16">AW7</f>
        <v>9.300000000000001E-3</v>
      </c>
      <c r="AY7" s="52">
        <v>7.4999999999999997E-3</v>
      </c>
      <c r="AZ7" s="159">
        <f>'Enc1 Part VI BL Q89'!J31</f>
        <v>9.300000000000001E-3</v>
      </c>
    </row>
    <row r="8" spans="2:52" s="119" customFormat="1" x14ac:dyDescent="0.2">
      <c r="B8" s="163" t="s">
        <v>2</v>
      </c>
      <c r="C8" s="163" t="s">
        <v>76</v>
      </c>
      <c r="D8" s="98">
        <v>76</v>
      </c>
      <c r="E8" s="52" t="s">
        <v>71</v>
      </c>
      <c r="F8" s="98">
        <v>3</v>
      </c>
      <c r="G8" s="98">
        <v>2</v>
      </c>
      <c r="H8" s="98">
        <v>152</v>
      </c>
      <c r="I8" s="98">
        <v>228</v>
      </c>
      <c r="J8" s="98">
        <v>152</v>
      </c>
      <c r="K8" s="98">
        <v>432</v>
      </c>
      <c r="L8" s="170">
        <v>32864</v>
      </c>
      <c r="M8" s="163" t="s">
        <v>121</v>
      </c>
      <c r="N8" s="106" t="s">
        <v>149</v>
      </c>
      <c r="O8" s="98" t="s">
        <v>129</v>
      </c>
      <c r="P8" s="108">
        <f t="shared" si="1"/>
        <v>0.18338111999999998</v>
      </c>
      <c r="Q8" s="113">
        <f t="shared" si="2"/>
        <v>366.76223999999996</v>
      </c>
      <c r="R8" s="113">
        <v>12</v>
      </c>
      <c r="S8" s="153" t="s">
        <v>207</v>
      </c>
      <c r="T8" s="171">
        <f t="shared" ref="T8:T14" si="17">W8</f>
        <v>5.8414418181441219</v>
      </c>
      <c r="U8" s="165">
        <f t="shared" si="12"/>
        <v>32864</v>
      </c>
      <c r="V8" s="106">
        <f>0.0093/10</f>
        <v>9.2999999999999995E-4</v>
      </c>
      <c r="W8" s="158">
        <v>5.8414418181441219</v>
      </c>
      <c r="X8" s="112">
        <f t="shared" si="4"/>
        <v>1.7975519999999998</v>
      </c>
      <c r="Y8" s="106">
        <v>8760</v>
      </c>
      <c r="Z8" s="121">
        <f t="shared" si="5"/>
        <v>0.41039999999999999</v>
      </c>
      <c r="AA8" s="108">
        <f>3.3/100</f>
        <v>3.3000000000000002E-2</v>
      </c>
      <c r="AB8" s="154" t="s">
        <v>218</v>
      </c>
      <c r="AC8" s="157">
        <f>H8</f>
        <v>152</v>
      </c>
      <c r="AD8" s="121">
        <v>0.04</v>
      </c>
      <c r="AE8" s="121">
        <f t="shared" si="14"/>
        <v>0.06</v>
      </c>
      <c r="AF8" s="158">
        <v>2.3E-2</v>
      </c>
      <c r="AG8" s="115">
        <f t="shared" si="6"/>
        <v>2.9959199999999998E-2</v>
      </c>
      <c r="AH8" s="106">
        <v>8760</v>
      </c>
      <c r="AI8" s="99">
        <f t="shared" si="7"/>
        <v>6.8399999999999997E-3</v>
      </c>
      <c r="AJ8" s="114">
        <f t="shared" si="8"/>
        <v>4.0000000000000001E-3</v>
      </c>
      <c r="AK8" s="154" t="s">
        <v>207</v>
      </c>
      <c r="AL8" s="52">
        <f>I8</f>
        <v>228</v>
      </c>
      <c r="AM8" s="172">
        <f t="shared" si="15"/>
        <v>5.3055555555555545E-5</v>
      </c>
      <c r="AN8" s="99">
        <f t="shared" si="0"/>
        <v>5.3055555555555545E-5</v>
      </c>
      <c r="AO8" s="52">
        <v>7.4999999999999997E-3</v>
      </c>
      <c r="AP8" s="160">
        <v>5.3055555555555545E-5</v>
      </c>
      <c r="AQ8" s="115">
        <f t="shared" si="9"/>
        <v>0.12483</v>
      </c>
      <c r="AR8" s="106">
        <v>8760</v>
      </c>
      <c r="AS8" s="176">
        <f t="shared" si="10"/>
        <v>2.8500000000000001E-2</v>
      </c>
      <c r="AT8" s="118">
        <f t="shared" si="11"/>
        <v>2.5000000000000001E-2</v>
      </c>
      <c r="AU8" s="154" t="s">
        <v>207</v>
      </c>
      <c r="AV8" s="52">
        <f>J8</f>
        <v>152</v>
      </c>
      <c r="AW8" s="87">
        <f t="shared" ref="AW8:AW14" si="18">AZ8</f>
        <v>1.3906301824212272E-4</v>
      </c>
      <c r="AX8" s="173">
        <f t="shared" si="16"/>
        <v>1.3906301824212272E-4</v>
      </c>
      <c r="AY8" s="52">
        <v>7.4999999999999997E-3</v>
      </c>
      <c r="AZ8" s="159">
        <f>'Enc1 Part VI BL Q89'!J44</f>
        <v>1.3906301824212272E-4</v>
      </c>
    </row>
    <row r="9" spans="2:52" s="119" customFormat="1" x14ac:dyDescent="0.2">
      <c r="B9" s="163" t="s">
        <v>38</v>
      </c>
      <c r="C9" s="163" t="s">
        <v>77</v>
      </c>
      <c r="D9" s="98">
        <v>82</v>
      </c>
      <c r="E9" s="52" t="s">
        <v>71</v>
      </c>
      <c r="F9" s="98">
        <v>4</v>
      </c>
      <c r="G9" s="98">
        <v>1</v>
      </c>
      <c r="H9" s="98">
        <v>164</v>
      </c>
      <c r="I9" s="98">
        <v>328</v>
      </c>
      <c r="J9" s="98">
        <v>82</v>
      </c>
      <c r="K9" s="98">
        <v>467.4</v>
      </c>
      <c r="L9" s="170">
        <v>38330</v>
      </c>
      <c r="M9" s="163" t="s">
        <v>127</v>
      </c>
      <c r="N9" s="106" t="s">
        <v>149</v>
      </c>
      <c r="O9" s="98" t="s">
        <v>129</v>
      </c>
      <c r="P9" s="109">
        <f t="shared" si="1"/>
        <v>0.21388139999999997</v>
      </c>
      <c r="Q9" s="113">
        <f t="shared" si="2"/>
        <v>427.76279999999997</v>
      </c>
      <c r="R9" s="113">
        <v>12</v>
      </c>
      <c r="S9" s="153" t="s">
        <v>208</v>
      </c>
      <c r="T9" s="171">
        <f t="shared" si="17"/>
        <v>9.0208333333333339</v>
      </c>
      <c r="U9" s="165">
        <f t="shared" si="12"/>
        <v>38330</v>
      </c>
      <c r="V9" s="106">
        <f t="shared" ref="V9:V12" si="19">0.0093/10</f>
        <v>9.2999999999999995E-4</v>
      </c>
      <c r="W9" s="158">
        <v>9.0208333333333339</v>
      </c>
      <c r="X9" s="112">
        <f t="shared" si="4"/>
        <v>2.1405936000000003</v>
      </c>
      <c r="Y9" s="106">
        <v>8760</v>
      </c>
      <c r="Z9" s="121">
        <f t="shared" si="5"/>
        <v>0.48872000000000004</v>
      </c>
      <c r="AA9" s="109">
        <f t="shared" si="13"/>
        <v>0.04</v>
      </c>
      <c r="AB9" s="154" t="s">
        <v>210</v>
      </c>
      <c r="AC9" s="157">
        <f>H9</f>
        <v>164</v>
      </c>
      <c r="AD9" s="121">
        <v>0.04</v>
      </c>
      <c r="AE9" s="121">
        <f t="shared" si="14"/>
        <v>0.06</v>
      </c>
      <c r="AF9" s="158">
        <v>2.3E-2</v>
      </c>
      <c r="AG9" s="115">
        <f t="shared" si="6"/>
        <v>4.3099199999999997E-2</v>
      </c>
      <c r="AH9" s="106">
        <v>8760</v>
      </c>
      <c r="AI9" s="99">
        <f t="shared" si="7"/>
        <v>9.8399999999999998E-3</v>
      </c>
      <c r="AJ9" s="114">
        <f t="shared" si="8"/>
        <v>4.0000000000000001E-3</v>
      </c>
      <c r="AK9" s="154" t="s">
        <v>208</v>
      </c>
      <c r="AL9" s="52">
        <f>I9</f>
        <v>328</v>
      </c>
      <c r="AM9" s="87">
        <f t="shared" si="15"/>
        <v>6.0000000000000006E-4</v>
      </c>
      <c r="AN9" s="173">
        <f t="shared" si="0"/>
        <v>6.0000000000000006E-4</v>
      </c>
      <c r="AO9" s="52">
        <v>7.4999999999999997E-3</v>
      </c>
      <c r="AP9" s="159">
        <v>6.0000000000000006E-4</v>
      </c>
      <c r="AQ9" s="115">
        <f t="shared" si="9"/>
        <v>6.73425E-2</v>
      </c>
      <c r="AR9" s="106">
        <v>8760</v>
      </c>
      <c r="AS9" s="176">
        <f t="shared" si="10"/>
        <v>1.5375000000000002E-2</v>
      </c>
      <c r="AT9" s="118">
        <f t="shared" si="11"/>
        <v>2.5000000000000001E-2</v>
      </c>
      <c r="AU9" s="154" t="s">
        <v>208</v>
      </c>
      <c r="AV9" s="52">
        <f>J9</f>
        <v>82</v>
      </c>
      <c r="AW9" s="175">
        <f t="shared" si="18"/>
        <v>5.3999999999999994E-3</v>
      </c>
      <c r="AX9" s="173">
        <f t="shared" si="16"/>
        <v>5.3999999999999994E-3</v>
      </c>
      <c r="AY9" s="52">
        <v>7.4999999999999997E-3</v>
      </c>
      <c r="AZ9" s="159">
        <f>'Enc1 Part VI BL Q89'!J57</f>
        <v>5.3999999999999994E-3</v>
      </c>
    </row>
    <row r="10" spans="2:52" s="119" customFormat="1" x14ac:dyDescent="0.2">
      <c r="B10" s="163" t="s">
        <v>38</v>
      </c>
      <c r="C10" s="163" t="s">
        <v>78</v>
      </c>
      <c r="D10" s="98">
        <v>82</v>
      </c>
      <c r="E10" s="52" t="s">
        <v>71</v>
      </c>
      <c r="F10" s="98">
        <v>4</v>
      </c>
      <c r="G10" s="98">
        <v>1</v>
      </c>
      <c r="H10" s="98">
        <v>164</v>
      </c>
      <c r="I10" s="98">
        <v>328</v>
      </c>
      <c r="J10" s="98">
        <v>82</v>
      </c>
      <c r="K10" s="98">
        <v>468.6</v>
      </c>
      <c r="L10" s="170">
        <v>38426</v>
      </c>
      <c r="M10" s="163" t="s">
        <v>127</v>
      </c>
      <c r="N10" s="106" t="s">
        <v>149</v>
      </c>
      <c r="O10" s="98" t="s">
        <v>129</v>
      </c>
      <c r="P10" s="109">
        <f t="shared" si="1"/>
        <v>0.21441708000000001</v>
      </c>
      <c r="Q10" s="113">
        <f t="shared" si="2"/>
        <v>428.83416</v>
      </c>
      <c r="R10" s="113">
        <v>12</v>
      </c>
      <c r="S10" s="153" t="s">
        <v>208</v>
      </c>
      <c r="T10" s="171">
        <f t="shared" si="17"/>
        <v>9.6758333333333351</v>
      </c>
      <c r="U10" s="165">
        <f t="shared" si="12"/>
        <v>38426</v>
      </c>
      <c r="V10" s="106">
        <f t="shared" si="19"/>
        <v>9.2999999999999995E-4</v>
      </c>
      <c r="W10" s="158">
        <v>9.6758333333333351</v>
      </c>
      <c r="X10" s="112">
        <f t="shared" si="4"/>
        <v>2.1405936000000003</v>
      </c>
      <c r="Y10" s="106">
        <v>8760</v>
      </c>
      <c r="Z10" s="121">
        <f t="shared" si="5"/>
        <v>0.48872000000000004</v>
      </c>
      <c r="AA10" s="109">
        <f t="shared" si="13"/>
        <v>0.04</v>
      </c>
      <c r="AB10" s="154" t="s">
        <v>210</v>
      </c>
      <c r="AC10" s="157">
        <f>H10</f>
        <v>164</v>
      </c>
      <c r="AD10" s="121">
        <v>0.04</v>
      </c>
      <c r="AE10" s="121">
        <f t="shared" si="14"/>
        <v>0.06</v>
      </c>
      <c r="AF10" s="158">
        <v>2.3E-2</v>
      </c>
      <c r="AG10" s="115">
        <f t="shared" si="6"/>
        <v>4.3099199999999997E-2</v>
      </c>
      <c r="AH10" s="106">
        <v>8760</v>
      </c>
      <c r="AI10" s="99">
        <f t="shared" si="7"/>
        <v>9.8399999999999998E-3</v>
      </c>
      <c r="AJ10" s="114">
        <f t="shared" si="8"/>
        <v>4.0000000000000001E-3</v>
      </c>
      <c r="AK10" s="154" t="s">
        <v>208</v>
      </c>
      <c r="AL10" s="52">
        <f>I10</f>
        <v>328</v>
      </c>
      <c r="AM10" s="175">
        <f t="shared" si="15"/>
        <v>1.3916666666666667E-3</v>
      </c>
      <c r="AN10" s="173">
        <f t="shared" si="0"/>
        <v>1.3916666666666667E-3</v>
      </c>
      <c r="AO10" s="52">
        <v>7.4999999999999997E-3</v>
      </c>
      <c r="AP10" s="159">
        <v>1.3916666666666667E-3</v>
      </c>
      <c r="AQ10" s="115">
        <f t="shared" si="9"/>
        <v>6.73425E-2</v>
      </c>
      <c r="AR10" s="106">
        <v>8760</v>
      </c>
      <c r="AS10" s="176">
        <f t="shared" si="10"/>
        <v>1.5375000000000002E-2</v>
      </c>
      <c r="AT10" s="118">
        <f t="shared" si="11"/>
        <v>2.5000000000000001E-2</v>
      </c>
      <c r="AU10" s="154" t="s">
        <v>208</v>
      </c>
      <c r="AV10" s="52">
        <f>J10</f>
        <v>82</v>
      </c>
      <c r="AW10" s="175">
        <f t="shared" si="18"/>
        <v>7.7250000000000001E-3</v>
      </c>
      <c r="AX10" s="173">
        <f t="shared" si="16"/>
        <v>7.7250000000000001E-3</v>
      </c>
      <c r="AY10" s="52">
        <v>7.4999999999999997E-3</v>
      </c>
      <c r="AZ10" s="159">
        <f>'Enc1 Part VI BL Q89'!J70</f>
        <v>7.7250000000000001E-3</v>
      </c>
    </row>
    <row r="11" spans="2:52" s="119" customFormat="1" x14ac:dyDescent="0.2">
      <c r="B11" s="163" t="s">
        <v>41</v>
      </c>
      <c r="C11" s="163" t="s">
        <v>42</v>
      </c>
      <c r="D11" s="98">
        <v>37</v>
      </c>
      <c r="E11" s="52" t="s">
        <v>71</v>
      </c>
      <c r="F11" s="98">
        <v>4</v>
      </c>
      <c r="G11" s="98">
        <v>2</v>
      </c>
      <c r="H11" s="98">
        <v>74</v>
      </c>
      <c r="I11" s="98">
        <v>148</v>
      </c>
      <c r="J11" s="98">
        <v>74</v>
      </c>
      <c r="K11" s="170">
        <v>471.96428571428572</v>
      </c>
      <c r="L11" s="170">
        <f>17463</f>
        <v>17463</v>
      </c>
      <c r="M11" s="163" t="s">
        <v>138</v>
      </c>
      <c r="N11" s="106" t="s">
        <v>149</v>
      </c>
      <c r="O11" s="98" t="s">
        <v>129</v>
      </c>
      <c r="P11" s="108">
        <f t="shared" si="1"/>
        <v>9.7443539999999995E-2</v>
      </c>
      <c r="Q11" s="177">
        <f t="shared" si="2"/>
        <v>194.88708</v>
      </c>
      <c r="R11" s="113">
        <v>12</v>
      </c>
      <c r="S11" s="153" t="s">
        <v>208</v>
      </c>
      <c r="T11" s="171">
        <f t="shared" si="17"/>
        <v>6.3308333333333335</v>
      </c>
      <c r="U11" s="165">
        <f t="shared" si="12"/>
        <v>17463</v>
      </c>
      <c r="V11" s="106">
        <f t="shared" si="19"/>
        <v>9.2999999999999995E-4</v>
      </c>
      <c r="W11" s="158">
        <v>6.3308333333333335</v>
      </c>
      <c r="X11" s="109">
        <f t="shared" si="4"/>
        <v>0.8751239999999999</v>
      </c>
      <c r="Y11" s="106">
        <v>8760</v>
      </c>
      <c r="Z11" s="121">
        <f t="shared" si="5"/>
        <v>0.19979999999999998</v>
      </c>
      <c r="AA11" s="108">
        <f>3.3/100</f>
        <v>3.3000000000000002E-2</v>
      </c>
      <c r="AB11" s="154" t="s">
        <v>217</v>
      </c>
      <c r="AC11" s="157">
        <f>H11</f>
        <v>74</v>
      </c>
      <c r="AD11" s="121">
        <v>0.04</v>
      </c>
      <c r="AE11" s="121">
        <f t="shared" si="14"/>
        <v>0.06</v>
      </c>
      <c r="AF11" s="158">
        <v>2.3E-2</v>
      </c>
      <c r="AG11" s="115">
        <f t="shared" si="6"/>
        <v>1.9447199999999998E-2</v>
      </c>
      <c r="AH11" s="106">
        <v>8760</v>
      </c>
      <c r="AI11" s="99">
        <f t="shared" si="7"/>
        <v>4.4399999999999995E-3</v>
      </c>
      <c r="AJ11" s="114">
        <f t="shared" si="8"/>
        <v>4.0000000000000001E-3</v>
      </c>
      <c r="AK11" s="154" t="s">
        <v>208</v>
      </c>
      <c r="AL11" s="52">
        <f>I11</f>
        <v>148</v>
      </c>
      <c r="AM11" s="87">
        <f t="shared" si="15"/>
        <v>0</v>
      </c>
      <c r="AN11" s="173">
        <f t="shared" si="0"/>
        <v>0</v>
      </c>
      <c r="AO11" s="52">
        <v>7.4999999999999997E-3</v>
      </c>
      <c r="AP11" s="159">
        <v>0</v>
      </c>
      <c r="AQ11" s="115">
        <f t="shared" si="9"/>
        <v>6.07725E-2</v>
      </c>
      <c r="AR11" s="106">
        <v>8760</v>
      </c>
      <c r="AS11" s="176">
        <f t="shared" si="10"/>
        <v>1.3875E-2</v>
      </c>
      <c r="AT11" s="118">
        <f t="shared" si="11"/>
        <v>2.5000000000000001E-2</v>
      </c>
      <c r="AU11" s="154" t="s">
        <v>208</v>
      </c>
      <c r="AV11" s="52">
        <f>J11</f>
        <v>74</v>
      </c>
      <c r="AW11" s="175">
        <f t="shared" si="18"/>
        <v>4.816666666666667E-3</v>
      </c>
      <c r="AX11" s="173">
        <f t="shared" si="16"/>
        <v>4.816666666666667E-3</v>
      </c>
      <c r="AY11" s="52">
        <v>7.4999999999999997E-3</v>
      </c>
      <c r="AZ11" s="159">
        <f>'Enc1 Part VI BL Q89'!J83/100</f>
        <v>4.816666666666667E-3</v>
      </c>
    </row>
    <row r="12" spans="2:52" s="119" customFormat="1" x14ac:dyDescent="0.2">
      <c r="B12" s="163" t="s">
        <v>41</v>
      </c>
      <c r="C12" s="163" t="s">
        <v>44</v>
      </c>
      <c r="D12" s="98">
        <v>19</v>
      </c>
      <c r="E12" s="52" t="s">
        <v>71</v>
      </c>
      <c r="F12" s="98">
        <v>4</v>
      </c>
      <c r="G12" s="98">
        <v>2</v>
      </c>
      <c r="H12" s="98">
        <v>38</v>
      </c>
      <c r="I12" s="98">
        <v>76</v>
      </c>
      <c r="J12" s="98">
        <v>38</v>
      </c>
      <c r="K12" s="170">
        <v>471.96428571428572</v>
      </c>
      <c r="L12" s="170">
        <f>8967</f>
        <v>8967</v>
      </c>
      <c r="M12" s="163"/>
      <c r="N12" s="106" t="s">
        <v>149</v>
      </c>
      <c r="O12" s="98" t="s">
        <v>129</v>
      </c>
      <c r="P12" s="108">
        <f t="shared" si="1"/>
        <v>5.0035860000000001E-2</v>
      </c>
      <c r="Q12" s="177">
        <f t="shared" si="2"/>
        <v>100.07172</v>
      </c>
      <c r="R12" s="113">
        <v>12</v>
      </c>
      <c r="S12" s="153" t="s">
        <v>208</v>
      </c>
      <c r="T12" s="171">
        <f t="shared" si="17"/>
        <v>6.3308333333333335</v>
      </c>
      <c r="U12" s="165">
        <f t="shared" si="12"/>
        <v>8967</v>
      </c>
      <c r="V12" s="106">
        <f t="shared" si="19"/>
        <v>9.2999999999999995E-4</v>
      </c>
      <c r="W12" s="158">
        <v>6.3308333333333335</v>
      </c>
      <c r="X12" s="109">
        <f t="shared" si="4"/>
        <v>0.44938799999999995</v>
      </c>
      <c r="Y12" s="106">
        <v>8760</v>
      </c>
      <c r="Z12" s="121">
        <f t="shared" si="5"/>
        <v>0.1026</v>
      </c>
      <c r="AA12" s="108">
        <f>3.3/100</f>
        <v>3.3000000000000002E-2</v>
      </c>
      <c r="AB12" s="154" t="s">
        <v>217</v>
      </c>
      <c r="AC12" s="157">
        <f>H12</f>
        <v>38</v>
      </c>
      <c r="AD12" s="121">
        <v>0.04</v>
      </c>
      <c r="AE12" s="121">
        <f t="shared" si="14"/>
        <v>0.06</v>
      </c>
      <c r="AF12" s="158">
        <v>2.3E-2</v>
      </c>
      <c r="AG12" s="115">
        <f t="shared" si="6"/>
        <v>9.9863999999999994E-3</v>
      </c>
      <c r="AH12" s="106">
        <v>8760</v>
      </c>
      <c r="AI12" s="99">
        <f t="shared" si="7"/>
        <v>2.2799999999999999E-3</v>
      </c>
      <c r="AJ12" s="114">
        <f t="shared" si="8"/>
        <v>4.0000000000000001E-3</v>
      </c>
      <c r="AK12" s="154" t="s">
        <v>208</v>
      </c>
      <c r="AL12" s="52">
        <f>I12</f>
        <v>76</v>
      </c>
      <c r="AM12" s="87">
        <f t="shared" si="15"/>
        <v>0</v>
      </c>
      <c r="AN12" s="173">
        <f t="shared" si="0"/>
        <v>0</v>
      </c>
      <c r="AO12" s="52">
        <v>7.4999999999999997E-3</v>
      </c>
      <c r="AP12" s="159">
        <v>0</v>
      </c>
      <c r="AQ12" s="115">
        <f t="shared" si="9"/>
        <v>3.1207499999999999E-2</v>
      </c>
      <c r="AR12" s="106">
        <v>8760</v>
      </c>
      <c r="AS12" s="176">
        <f t="shared" si="10"/>
        <v>7.1250000000000003E-3</v>
      </c>
      <c r="AT12" s="118">
        <f t="shared" si="11"/>
        <v>2.5000000000000001E-2</v>
      </c>
      <c r="AU12" s="154" t="s">
        <v>208</v>
      </c>
      <c r="AV12" s="52">
        <f>J12</f>
        <v>38</v>
      </c>
      <c r="AW12" s="175">
        <f t="shared" si="18"/>
        <v>2.075E-3</v>
      </c>
      <c r="AX12" s="173">
        <f t="shared" si="16"/>
        <v>2.075E-3</v>
      </c>
      <c r="AY12" s="52">
        <v>7.4999999999999997E-3</v>
      </c>
      <c r="AZ12" s="159">
        <f>'Enc1 Part VI BL Q89'!J96/100</f>
        <v>2.075E-3</v>
      </c>
    </row>
    <row r="13" spans="2:52" s="119" customFormat="1" x14ac:dyDescent="0.2">
      <c r="B13" s="163" t="s">
        <v>45</v>
      </c>
      <c r="C13" s="163" t="s">
        <v>79</v>
      </c>
      <c r="D13" s="98">
        <v>85</v>
      </c>
      <c r="E13" s="52" t="s">
        <v>71</v>
      </c>
      <c r="F13" s="98">
        <v>3</v>
      </c>
      <c r="G13" s="98">
        <v>2</v>
      </c>
      <c r="H13" s="98">
        <v>170</v>
      </c>
      <c r="I13" s="98">
        <v>255</v>
      </c>
      <c r="J13" s="98">
        <v>170</v>
      </c>
      <c r="K13" s="98">
        <v>424</v>
      </c>
      <c r="L13" s="170">
        <v>30078</v>
      </c>
      <c r="M13" s="163" t="s">
        <v>138</v>
      </c>
      <c r="N13" s="106" t="s">
        <v>149</v>
      </c>
      <c r="O13" s="98" t="s">
        <v>129</v>
      </c>
      <c r="P13" s="108">
        <f t="shared" si="1"/>
        <v>0.16783524</v>
      </c>
      <c r="Q13" s="113">
        <f t="shared" si="2"/>
        <v>335.67048</v>
      </c>
      <c r="R13" s="113">
        <v>12</v>
      </c>
      <c r="S13" s="153" t="s">
        <v>208</v>
      </c>
      <c r="T13" s="171">
        <f t="shared" si="17"/>
        <v>3.5150832053251411</v>
      </c>
      <c r="U13" s="165">
        <f t="shared" si="12"/>
        <v>30078</v>
      </c>
      <c r="V13" s="106">
        <f>0.0093/10</f>
        <v>9.2999999999999995E-4</v>
      </c>
      <c r="W13" s="158">
        <v>3.5150832053251411</v>
      </c>
      <c r="X13" s="112">
        <f t="shared" si="4"/>
        <v>2.0104199999999999</v>
      </c>
      <c r="Y13" s="106">
        <v>8760</v>
      </c>
      <c r="Z13" s="121">
        <f t="shared" si="5"/>
        <v>0.45899999999999996</v>
      </c>
      <c r="AA13" s="108">
        <f>3.3/100</f>
        <v>3.3000000000000002E-2</v>
      </c>
      <c r="AB13" s="154" t="s">
        <v>217</v>
      </c>
      <c r="AC13" s="157">
        <f>H13</f>
        <v>170</v>
      </c>
      <c r="AD13" s="121">
        <v>0.04</v>
      </c>
      <c r="AE13" s="121">
        <f t="shared" si="14"/>
        <v>0.06</v>
      </c>
      <c r="AF13" s="158">
        <v>2.3E-2</v>
      </c>
      <c r="AG13" s="115">
        <f t="shared" si="6"/>
        <v>3.3506999999999995E-2</v>
      </c>
      <c r="AH13" s="106">
        <v>8760</v>
      </c>
      <c r="AI13" s="99">
        <f t="shared" si="7"/>
        <v>7.6499999999999997E-3</v>
      </c>
      <c r="AJ13" s="114">
        <f t="shared" si="8"/>
        <v>4.0000000000000001E-3</v>
      </c>
      <c r="AK13" s="154" t="s">
        <v>208</v>
      </c>
      <c r="AL13" s="52">
        <f>I13</f>
        <v>255</v>
      </c>
      <c r="AM13" s="87">
        <f t="shared" si="15"/>
        <v>3.8722691496092659E-4</v>
      </c>
      <c r="AN13" s="173">
        <f t="shared" si="0"/>
        <v>3.8722691496092659E-4</v>
      </c>
      <c r="AO13" s="52">
        <v>7.4999999999999997E-3</v>
      </c>
      <c r="AP13" s="159">
        <v>3.8722691496092659E-4</v>
      </c>
      <c r="AQ13" s="115">
        <f t="shared" si="9"/>
        <v>0.1396125</v>
      </c>
      <c r="AR13" s="106">
        <v>8760</v>
      </c>
      <c r="AS13" s="176">
        <f t="shared" si="10"/>
        <v>3.1875000000000001E-2</v>
      </c>
      <c r="AT13" s="118">
        <f t="shared" si="11"/>
        <v>2.5000000000000001E-2</v>
      </c>
      <c r="AU13" s="154" t="s">
        <v>208</v>
      </c>
      <c r="AV13" s="52">
        <f>J13</f>
        <v>170</v>
      </c>
      <c r="AW13" s="175">
        <f t="shared" si="18"/>
        <v>8.0456297763695627E-3</v>
      </c>
      <c r="AX13" s="173">
        <f t="shared" si="16"/>
        <v>8.0456297763695627E-3</v>
      </c>
      <c r="AY13" s="52">
        <v>7.4999999999999997E-3</v>
      </c>
      <c r="AZ13" s="159">
        <f>'Enc1 Part VI BL Q89'!J109</f>
        <v>8.0456297763695627E-3</v>
      </c>
    </row>
    <row r="14" spans="2:52" s="119" customFormat="1" x14ac:dyDescent="0.2">
      <c r="B14" s="163" t="s">
        <v>47</v>
      </c>
      <c r="C14" s="163" t="s">
        <v>81</v>
      </c>
      <c r="D14" s="98">
        <v>85</v>
      </c>
      <c r="E14" s="52" t="s">
        <v>71</v>
      </c>
      <c r="F14" s="98">
        <v>4</v>
      </c>
      <c r="G14" s="98">
        <v>2</v>
      </c>
      <c r="H14" s="98">
        <v>170</v>
      </c>
      <c r="I14" s="98">
        <v>340</v>
      </c>
      <c r="J14" s="98">
        <v>170</v>
      </c>
      <c r="K14" s="98">
        <f>AVERAGE(258.3,497.4)</f>
        <v>377.85</v>
      </c>
      <c r="L14" s="170">
        <v>42355</v>
      </c>
      <c r="M14" s="163" t="s">
        <v>148</v>
      </c>
      <c r="N14" s="106" t="s">
        <v>149</v>
      </c>
      <c r="O14" s="98" t="s">
        <v>150</v>
      </c>
      <c r="P14" s="108">
        <f t="shared" si="1"/>
        <v>0.23634089999999996</v>
      </c>
      <c r="Q14" s="113">
        <f t="shared" si="2"/>
        <v>472.68179999999995</v>
      </c>
      <c r="R14" s="113">
        <v>12</v>
      </c>
      <c r="S14" s="153" t="s">
        <v>208</v>
      </c>
      <c r="T14" s="171">
        <f t="shared" si="17"/>
        <v>1.3083333333333333</v>
      </c>
      <c r="U14" s="165">
        <f t="shared" si="12"/>
        <v>42355</v>
      </c>
      <c r="V14" s="106">
        <f>0.0093/10</f>
        <v>9.2999999999999995E-4</v>
      </c>
      <c r="W14" s="158">
        <v>1.3083333333333333</v>
      </c>
      <c r="X14" s="112">
        <f t="shared" si="4"/>
        <v>2.2189079999999999</v>
      </c>
      <c r="Y14" s="106">
        <v>8760</v>
      </c>
      <c r="Z14" s="121">
        <f t="shared" si="5"/>
        <v>0.50659999999999994</v>
      </c>
      <c r="AA14" s="109">
        <f t="shared" si="13"/>
        <v>0.04</v>
      </c>
      <c r="AB14" s="154" t="s">
        <v>210</v>
      </c>
      <c r="AC14" s="157">
        <f>H14</f>
        <v>170</v>
      </c>
      <c r="AD14" s="121">
        <v>0.04</v>
      </c>
      <c r="AE14" s="121">
        <f t="shared" si="14"/>
        <v>0.06</v>
      </c>
      <c r="AF14" s="158">
        <v>2.3E-2</v>
      </c>
      <c r="AG14" s="115">
        <f t="shared" si="6"/>
        <v>4.4676E-2</v>
      </c>
      <c r="AH14" s="106">
        <v>8760</v>
      </c>
      <c r="AI14" s="99">
        <f t="shared" si="7"/>
        <v>1.0200000000000001E-2</v>
      </c>
      <c r="AJ14" s="114">
        <f t="shared" si="8"/>
        <v>4.0000000000000001E-3</v>
      </c>
      <c r="AK14" s="154" t="s">
        <v>208</v>
      </c>
      <c r="AL14" s="52">
        <f>I14</f>
        <v>340</v>
      </c>
      <c r="AM14" s="178">
        <f t="shared" si="15"/>
        <v>8.3333333333333337E-6</v>
      </c>
      <c r="AN14" s="173">
        <f t="shared" si="0"/>
        <v>8.3333333333333337E-6</v>
      </c>
      <c r="AO14" s="52">
        <v>7.4999999999999997E-3</v>
      </c>
      <c r="AP14" s="159">
        <v>8.3333333333333337E-6</v>
      </c>
      <c r="AQ14" s="115">
        <f t="shared" si="9"/>
        <v>0.1396125</v>
      </c>
      <c r="AR14" s="106">
        <v>8760</v>
      </c>
      <c r="AS14" s="176">
        <f t="shared" si="10"/>
        <v>3.1875000000000001E-2</v>
      </c>
      <c r="AT14" s="118">
        <f t="shared" si="11"/>
        <v>2.5000000000000001E-2</v>
      </c>
      <c r="AU14" s="154" t="s">
        <v>208</v>
      </c>
      <c r="AV14" s="52">
        <f>J14</f>
        <v>170</v>
      </c>
      <c r="AW14" s="87">
        <f t="shared" si="18"/>
        <v>1.4999999999999999E-4</v>
      </c>
      <c r="AX14" s="173">
        <f t="shared" si="16"/>
        <v>1.4999999999999999E-4</v>
      </c>
      <c r="AY14" s="52">
        <v>7.4999999999999997E-3</v>
      </c>
      <c r="AZ14" s="159">
        <f>'Enc1 Part VI BL Q89'!J148/100</f>
        <v>1.4999999999999999E-4</v>
      </c>
    </row>
    <row r="15" spans="2:52" s="119" customFormat="1" x14ac:dyDescent="0.2">
      <c r="B15" s="163" t="s">
        <v>7</v>
      </c>
      <c r="C15" s="163" t="s">
        <v>82</v>
      </c>
      <c r="D15" s="98">
        <v>64</v>
      </c>
      <c r="E15" s="52" t="s">
        <v>71</v>
      </c>
      <c r="F15" s="98">
        <v>4</v>
      </c>
      <c r="G15" s="98">
        <v>2</v>
      </c>
      <c r="H15" s="98">
        <f>64*2</f>
        <v>128</v>
      </c>
      <c r="I15" s="98">
        <f>4*64</f>
        <v>256</v>
      </c>
      <c r="J15" s="98">
        <f>2*64</f>
        <v>128</v>
      </c>
      <c r="K15" s="157">
        <f>L15/64</f>
        <v>332.515625</v>
      </c>
      <c r="L15" s="170">
        <v>21281</v>
      </c>
      <c r="M15" s="163" t="s">
        <v>174</v>
      </c>
      <c r="N15" s="106" t="s">
        <v>149</v>
      </c>
      <c r="O15" s="98" t="s">
        <v>153</v>
      </c>
      <c r="P15" s="108">
        <f t="shared" si="1"/>
        <v>0.11874798</v>
      </c>
      <c r="Q15" s="113">
        <f t="shared" si="2"/>
        <v>237.49596</v>
      </c>
      <c r="R15" s="113">
        <v>12</v>
      </c>
      <c r="S15" s="153" t="s">
        <v>208</v>
      </c>
      <c r="T15" s="179">
        <v>4.4580000000000002</v>
      </c>
      <c r="U15" s="165">
        <f t="shared" si="12"/>
        <v>21281</v>
      </c>
      <c r="V15" s="106">
        <f t="shared" ref="V15:V30" si="20">0.0093/10</f>
        <v>9.2999999999999995E-4</v>
      </c>
      <c r="W15" s="52"/>
      <c r="X15" s="109">
        <f t="shared" si="4"/>
        <v>1.513728</v>
      </c>
      <c r="Y15" s="106">
        <v>8760</v>
      </c>
      <c r="Z15" s="121">
        <f t="shared" si="5"/>
        <v>0.34560000000000002</v>
      </c>
      <c r="AA15" s="108">
        <f t="shared" ref="AA15:AA22" si="21">3.3/100</f>
        <v>3.3000000000000002E-2</v>
      </c>
      <c r="AB15" s="154" t="s">
        <v>217</v>
      </c>
      <c r="AC15" s="157">
        <f>H15</f>
        <v>128</v>
      </c>
      <c r="AD15" s="121">
        <v>0.04</v>
      </c>
      <c r="AE15" s="121">
        <f t="shared" si="14"/>
        <v>0.06</v>
      </c>
      <c r="AF15" s="158">
        <v>2.3E-2</v>
      </c>
      <c r="AG15" s="115">
        <f t="shared" si="6"/>
        <v>3.3638400000000006E-2</v>
      </c>
      <c r="AH15" s="106">
        <v>8760</v>
      </c>
      <c r="AI15" s="99">
        <f t="shared" si="7"/>
        <v>7.6800000000000002E-3</v>
      </c>
      <c r="AJ15" s="114">
        <f t="shared" si="8"/>
        <v>4.0000000000000001E-3</v>
      </c>
      <c r="AK15" s="154" t="s">
        <v>208</v>
      </c>
      <c r="AL15" s="52">
        <f>I15</f>
        <v>256</v>
      </c>
      <c r="AM15" s="87">
        <v>0</v>
      </c>
      <c r="AN15" s="173">
        <f t="shared" si="0"/>
        <v>0</v>
      </c>
      <c r="AO15" s="52">
        <v>7.4999999999999997E-3</v>
      </c>
      <c r="AP15" s="52"/>
      <c r="AQ15" s="115">
        <f t="shared" si="9"/>
        <v>0.10512000000000001</v>
      </c>
      <c r="AR15" s="106">
        <v>8760</v>
      </c>
      <c r="AS15" s="176">
        <f t="shared" si="10"/>
        <v>2.4E-2</v>
      </c>
      <c r="AT15" s="118">
        <f t="shared" si="11"/>
        <v>2.5000000000000001E-2</v>
      </c>
      <c r="AU15" s="154" t="s">
        <v>208</v>
      </c>
      <c r="AV15" s="52">
        <f>J15</f>
        <v>128</v>
      </c>
      <c r="AW15" s="175">
        <v>6.1999999999999998E-3</v>
      </c>
      <c r="AX15" s="173">
        <f t="shared" si="16"/>
        <v>6.1999999999999998E-3</v>
      </c>
      <c r="AY15" s="52">
        <v>7.4999999999999997E-3</v>
      </c>
      <c r="AZ15" s="52"/>
    </row>
    <row r="16" spans="2:52" s="119" customFormat="1" x14ac:dyDescent="0.2">
      <c r="B16" s="163" t="s">
        <v>7</v>
      </c>
      <c r="C16" s="163" t="s">
        <v>44</v>
      </c>
      <c r="D16" s="98">
        <v>64</v>
      </c>
      <c r="E16" s="52" t="s">
        <v>71</v>
      </c>
      <c r="F16" s="98">
        <v>4</v>
      </c>
      <c r="G16" s="98">
        <v>2</v>
      </c>
      <c r="H16" s="98">
        <f>64*2</f>
        <v>128</v>
      </c>
      <c r="I16" s="98">
        <f t="shared" ref="I16:I17" si="22">4*64</f>
        <v>256</v>
      </c>
      <c r="J16" s="98">
        <f t="shared" ref="J16:J17" si="23">2*64</f>
        <v>128</v>
      </c>
      <c r="K16" s="157">
        <f t="shared" ref="K16:K17" si="24">L16/64</f>
        <v>332.515625</v>
      </c>
      <c r="L16" s="170">
        <v>21281</v>
      </c>
      <c r="M16" s="163"/>
      <c r="N16" s="106" t="s">
        <v>149</v>
      </c>
      <c r="O16" s="98" t="s">
        <v>153</v>
      </c>
      <c r="P16" s="108">
        <f t="shared" si="1"/>
        <v>0.11874798</v>
      </c>
      <c r="Q16" s="113">
        <f t="shared" si="2"/>
        <v>237.49596</v>
      </c>
      <c r="R16" s="113">
        <v>12</v>
      </c>
      <c r="S16" s="153" t="s">
        <v>208</v>
      </c>
      <c r="T16" s="179">
        <v>4.532</v>
      </c>
      <c r="U16" s="165">
        <f t="shared" si="12"/>
        <v>21281</v>
      </c>
      <c r="V16" s="106">
        <f t="shared" si="20"/>
        <v>9.2999999999999995E-4</v>
      </c>
      <c r="W16" s="52"/>
      <c r="X16" s="109">
        <f t="shared" si="4"/>
        <v>1.513728</v>
      </c>
      <c r="Y16" s="106">
        <v>8760</v>
      </c>
      <c r="Z16" s="121">
        <f t="shared" si="5"/>
        <v>0.34560000000000002</v>
      </c>
      <c r="AA16" s="108">
        <f t="shared" si="21"/>
        <v>3.3000000000000002E-2</v>
      </c>
      <c r="AB16" s="154" t="s">
        <v>217</v>
      </c>
      <c r="AC16" s="157">
        <f>H16</f>
        <v>128</v>
      </c>
      <c r="AD16" s="121">
        <v>0.04</v>
      </c>
      <c r="AE16" s="121">
        <f t="shared" si="14"/>
        <v>0.06</v>
      </c>
      <c r="AF16" s="158">
        <v>2.3E-2</v>
      </c>
      <c r="AG16" s="115">
        <f t="shared" si="6"/>
        <v>3.3638400000000006E-2</v>
      </c>
      <c r="AH16" s="106">
        <v>8760</v>
      </c>
      <c r="AI16" s="99">
        <f t="shared" si="7"/>
        <v>7.6800000000000002E-3</v>
      </c>
      <c r="AJ16" s="114">
        <f t="shared" si="8"/>
        <v>4.0000000000000001E-3</v>
      </c>
      <c r="AK16" s="154" t="s">
        <v>208</v>
      </c>
      <c r="AL16" s="52">
        <f>I16</f>
        <v>256</v>
      </c>
      <c r="AM16" s="87">
        <v>1E-4</v>
      </c>
      <c r="AN16" s="173">
        <f t="shared" si="0"/>
        <v>1E-4</v>
      </c>
      <c r="AO16" s="52">
        <v>7.4999999999999997E-3</v>
      </c>
      <c r="AP16" s="52"/>
      <c r="AQ16" s="115">
        <f t="shared" si="9"/>
        <v>0.10512000000000001</v>
      </c>
      <c r="AR16" s="106">
        <v>8760</v>
      </c>
      <c r="AS16" s="176">
        <f t="shared" si="10"/>
        <v>2.4E-2</v>
      </c>
      <c r="AT16" s="118">
        <f t="shared" si="11"/>
        <v>2.5000000000000001E-2</v>
      </c>
      <c r="AU16" s="154" t="s">
        <v>208</v>
      </c>
      <c r="AV16" s="52">
        <f>J16</f>
        <v>128</v>
      </c>
      <c r="AW16" s="175">
        <v>5.5999999999999999E-3</v>
      </c>
      <c r="AX16" s="173">
        <f t="shared" si="16"/>
        <v>5.5999999999999999E-3</v>
      </c>
      <c r="AY16" s="52">
        <v>7.4999999999999997E-3</v>
      </c>
      <c r="AZ16" s="52"/>
    </row>
    <row r="17" spans="2:52" s="119" customFormat="1" x14ac:dyDescent="0.2">
      <c r="B17" s="163" t="s">
        <v>7</v>
      </c>
      <c r="C17" s="163" t="s">
        <v>83</v>
      </c>
      <c r="D17" s="98">
        <v>64</v>
      </c>
      <c r="E17" s="52" t="s">
        <v>71</v>
      </c>
      <c r="F17" s="98">
        <v>4</v>
      </c>
      <c r="G17" s="98">
        <v>2</v>
      </c>
      <c r="H17" s="98">
        <f>64*2</f>
        <v>128</v>
      </c>
      <c r="I17" s="98">
        <f t="shared" si="22"/>
        <v>256</v>
      </c>
      <c r="J17" s="98">
        <f t="shared" si="23"/>
        <v>128</v>
      </c>
      <c r="K17" s="157">
        <f t="shared" si="24"/>
        <v>332.515625</v>
      </c>
      <c r="L17" s="170">
        <v>21281</v>
      </c>
      <c r="M17" s="163"/>
      <c r="N17" s="106" t="s">
        <v>149</v>
      </c>
      <c r="O17" s="98" t="s">
        <v>153</v>
      </c>
      <c r="P17" s="108">
        <f t="shared" si="1"/>
        <v>0.11874798</v>
      </c>
      <c r="Q17" s="113">
        <f t="shared" si="2"/>
        <v>237.49596</v>
      </c>
      <c r="R17" s="113">
        <v>12</v>
      </c>
      <c r="S17" s="153" t="s">
        <v>208</v>
      </c>
      <c r="T17" s="179">
        <v>4.6880000000000006</v>
      </c>
      <c r="U17" s="165">
        <f t="shared" si="12"/>
        <v>21281</v>
      </c>
      <c r="V17" s="106">
        <f t="shared" si="20"/>
        <v>9.2999999999999995E-4</v>
      </c>
      <c r="W17" s="52"/>
      <c r="X17" s="109">
        <f t="shared" si="4"/>
        <v>1.513728</v>
      </c>
      <c r="Y17" s="106">
        <v>8760</v>
      </c>
      <c r="Z17" s="121">
        <f t="shared" si="5"/>
        <v>0.34560000000000002</v>
      </c>
      <c r="AA17" s="108">
        <f t="shared" si="21"/>
        <v>3.3000000000000002E-2</v>
      </c>
      <c r="AB17" s="154" t="s">
        <v>217</v>
      </c>
      <c r="AC17" s="157">
        <f>H17</f>
        <v>128</v>
      </c>
      <c r="AD17" s="121">
        <v>0.04</v>
      </c>
      <c r="AE17" s="121">
        <f t="shared" si="14"/>
        <v>0.06</v>
      </c>
      <c r="AF17" s="158">
        <v>2.3E-2</v>
      </c>
      <c r="AG17" s="115">
        <f t="shared" si="6"/>
        <v>3.3638400000000006E-2</v>
      </c>
      <c r="AH17" s="106">
        <v>8760</v>
      </c>
      <c r="AI17" s="99">
        <f t="shared" si="7"/>
        <v>7.6800000000000002E-3</v>
      </c>
      <c r="AJ17" s="114">
        <f t="shared" si="8"/>
        <v>4.0000000000000001E-3</v>
      </c>
      <c r="AK17" s="154" t="s">
        <v>208</v>
      </c>
      <c r="AL17" s="52">
        <f>I17</f>
        <v>256</v>
      </c>
      <c r="AM17" s="87">
        <v>0</v>
      </c>
      <c r="AN17" s="173">
        <f t="shared" si="0"/>
        <v>0</v>
      </c>
      <c r="AO17" s="52">
        <v>7.4999999999999997E-3</v>
      </c>
      <c r="AP17" s="52"/>
      <c r="AQ17" s="115">
        <f t="shared" si="9"/>
        <v>0.10512000000000001</v>
      </c>
      <c r="AR17" s="106">
        <v>8760</v>
      </c>
      <c r="AS17" s="176">
        <f t="shared" si="10"/>
        <v>2.4E-2</v>
      </c>
      <c r="AT17" s="118">
        <f t="shared" si="11"/>
        <v>2.5000000000000001E-2</v>
      </c>
      <c r="AU17" s="154" t="s">
        <v>208</v>
      </c>
      <c r="AV17" s="52">
        <f>J17</f>
        <v>128</v>
      </c>
      <c r="AW17" s="175">
        <v>7.1999999999999998E-3</v>
      </c>
      <c r="AX17" s="173">
        <f t="shared" si="16"/>
        <v>7.1999999999999998E-3</v>
      </c>
      <c r="AY17" s="52">
        <v>7.4999999999999997E-3</v>
      </c>
      <c r="AZ17" s="52"/>
    </row>
    <row r="18" spans="2:52" s="119" customFormat="1" x14ac:dyDescent="0.2">
      <c r="B18" s="163" t="s">
        <v>7</v>
      </c>
      <c r="C18" s="163" t="s">
        <v>84</v>
      </c>
      <c r="D18" s="98">
        <v>61</v>
      </c>
      <c r="E18" s="52" t="s">
        <v>71</v>
      </c>
      <c r="F18" s="98">
        <v>4</v>
      </c>
      <c r="G18" s="98">
        <v>2</v>
      </c>
      <c r="H18" s="98">
        <f>61*2</f>
        <v>122</v>
      </c>
      <c r="I18" s="98">
        <f>4*61</f>
        <v>244</v>
      </c>
      <c r="J18" s="98">
        <f>2*61</f>
        <v>122</v>
      </c>
      <c r="K18" s="157">
        <f>L18/61</f>
        <v>335.22950819672133</v>
      </c>
      <c r="L18" s="170">
        <v>20449</v>
      </c>
      <c r="M18" s="163"/>
      <c r="N18" s="106" t="s">
        <v>149</v>
      </c>
      <c r="O18" s="98" t="s">
        <v>153</v>
      </c>
      <c r="P18" s="108">
        <f t="shared" si="1"/>
        <v>0.11410542</v>
      </c>
      <c r="Q18" s="113">
        <f t="shared" si="2"/>
        <v>228.21083999999999</v>
      </c>
      <c r="R18" s="113">
        <v>12</v>
      </c>
      <c r="S18" s="153" t="s">
        <v>208</v>
      </c>
      <c r="T18" s="179">
        <v>3.6100000000000003</v>
      </c>
      <c r="U18" s="165">
        <f t="shared" si="12"/>
        <v>20449</v>
      </c>
      <c r="V18" s="106">
        <f t="shared" si="20"/>
        <v>9.2999999999999995E-4</v>
      </c>
      <c r="W18" s="52"/>
      <c r="X18" s="109">
        <f t="shared" si="4"/>
        <v>1.4427719999999999</v>
      </c>
      <c r="Y18" s="106">
        <v>8760</v>
      </c>
      <c r="Z18" s="121">
        <f t="shared" si="5"/>
        <v>0.32939999999999997</v>
      </c>
      <c r="AA18" s="108">
        <f t="shared" si="21"/>
        <v>3.3000000000000002E-2</v>
      </c>
      <c r="AB18" s="154" t="s">
        <v>217</v>
      </c>
      <c r="AC18" s="157">
        <f>H18</f>
        <v>122</v>
      </c>
      <c r="AD18" s="121">
        <v>0.04</v>
      </c>
      <c r="AE18" s="121">
        <f t="shared" si="14"/>
        <v>0.06</v>
      </c>
      <c r="AF18" s="158">
        <v>2.3E-2</v>
      </c>
      <c r="AG18" s="115">
        <f t="shared" si="6"/>
        <v>3.2061599999999996E-2</v>
      </c>
      <c r="AH18" s="106">
        <v>8760</v>
      </c>
      <c r="AI18" s="99">
        <f t="shared" si="7"/>
        <v>7.3199999999999993E-3</v>
      </c>
      <c r="AJ18" s="114">
        <f t="shared" si="8"/>
        <v>4.0000000000000001E-3</v>
      </c>
      <c r="AK18" s="154" t="s">
        <v>208</v>
      </c>
      <c r="AL18" s="52">
        <f>I18</f>
        <v>244</v>
      </c>
      <c r="AM18" s="87">
        <v>0</v>
      </c>
      <c r="AN18" s="173">
        <f t="shared" si="0"/>
        <v>0</v>
      </c>
      <c r="AO18" s="52">
        <v>7.4999999999999997E-3</v>
      </c>
      <c r="AP18" s="52"/>
      <c r="AQ18" s="115">
        <f t="shared" si="9"/>
        <v>0.10019249999999999</v>
      </c>
      <c r="AR18" s="106">
        <v>8760</v>
      </c>
      <c r="AS18" s="176">
        <f t="shared" si="10"/>
        <v>2.2875E-2</v>
      </c>
      <c r="AT18" s="118">
        <f t="shared" si="11"/>
        <v>2.5000000000000001E-2</v>
      </c>
      <c r="AU18" s="154" t="s">
        <v>208</v>
      </c>
      <c r="AV18" s="52">
        <f>J18</f>
        <v>122</v>
      </c>
      <c r="AW18" s="175">
        <v>5.7000000000000002E-3</v>
      </c>
      <c r="AX18" s="173">
        <f t="shared" si="16"/>
        <v>5.7000000000000002E-3</v>
      </c>
      <c r="AY18" s="52">
        <v>7.4999999999999997E-3</v>
      </c>
      <c r="AZ18" s="52"/>
    </row>
    <row r="19" spans="2:52" s="119" customFormat="1" x14ac:dyDescent="0.2">
      <c r="B19" s="163" t="s">
        <v>7</v>
      </c>
      <c r="C19" s="163" t="s">
        <v>85</v>
      </c>
      <c r="D19" s="98">
        <v>61</v>
      </c>
      <c r="E19" s="52" t="s">
        <v>71</v>
      </c>
      <c r="F19" s="98">
        <v>4</v>
      </c>
      <c r="G19" s="98">
        <v>2</v>
      </c>
      <c r="H19" s="98">
        <f>61*2</f>
        <v>122</v>
      </c>
      <c r="I19" s="98">
        <f t="shared" ref="I19:I20" si="25">4*61</f>
        <v>244</v>
      </c>
      <c r="J19" s="98">
        <f t="shared" ref="J19:J20" si="26">2*61</f>
        <v>122</v>
      </c>
      <c r="K19" s="157">
        <f t="shared" ref="K19:K20" si="27">L19/61</f>
        <v>335.22950819672133</v>
      </c>
      <c r="L19" s="170">
        <v>20449</v>
      </c>
      <c r="M19" s="163"/>
      <c r="N19" s="106" t="s">
        <v>149</v>
      </c>
      <c r="O19" s="98" t="s">
        <v>153</v>
      </c>
      <c r="P19" s="108">
        <f t="shared" si="1"/>
        <v>0.11410542</v>
      </c>
      <c r="Q19" s="113">
        <f t="shared" si="2"/>
        <v>228.21083999999999</v>
      </c>
      <c r="R19" s="113">
        <v>12</v>
      </c>
      <c r="S19" s="153" t="s">
        <v>208</v>
      </c>
      <c r="T19" s="179">
        <v>3.7719999999999998</v>
      </c>
      <c r="U19" s="165">
        <f t="shared" si="12"/>
        <v>20449</v>
      </c>
      <c r="V19" s="106">
        <f t="shared" si="20"/>
        <v>9.2999999999999995E-4</v>
      </c>
      <c r="W19" s="52"/>
      <c r="X19" s="109">
        <f t="shared" si="4"/>
        <v>1.4427719999999999</v>
      </c>
      <c r="Y19" s="106">
        <v>8760</v>
      </c>
      <c r="Z19" s="121">
        <f t="shared" si="5"/>
        <v>0.32939999999999997</v>
      </c>
      <c r="AA19" s="108">
        <f t="shared" si="21"/>
        <v>3.3000000000000002E-2</v>
      </c>
      <c r="AB19" s="154" t="s">
        <v>217</v>
      </c>
      <c r="AC19" s="157">
        <f>H19</f>
        <v>122</v>
      </c>
      <c r="AD19" s="121">
        <v>0.04</v>
      </c>
      <c r="AE19" s="121">
        <f t="shared" si="14"/>
        <v>0.06</v>
      </c>
      <c r="AF19" s="158">
        <v>2.3E-2</v>
      </c>
      <c r="AG19" s="115">
        <f t="shared" si="6"/>
        <v>3.2061599999999996E-2</v>
      </c>
      <c r="AH19" s="106">
        <v>8760</v>
      </c>
      <c r="AI19" s="99">
        <f t="shared" si="7"/>
        <v>7.3199999999999993E-3</v>
      </c>
      <c r="AJ19" s="114">
        <f t="shared" si="8"/>
        <v>4.0000000000000001E-3</v>
      </c>
      <c r="AK19" s="154" t="s">
        <v>208</v>
      </c>
      <c r="AL19" s="52">
        <f>I19</f>
        <v>244</v>
      </c>
      <c r="AM19" s="87">
        <v>0</v>
      </c>
      <c r="AN19" s="173">
        <f t="shared" si="0"/>
        <v>0</v>
      </c>
      <c r="AO19" s="52">
        <v>7.4999999999999997E-3</v>
      </c>
      <c r="AP19" s="52"/>
      <c r="AQ19" s="115">
        <f t="shared" si="9"/>
        <v>0.10019249999999999</v>
      </c>
      <c r="AR19" s="106">
        <v>8760</v>
      </c>
      <c r="AS19" s="176">
        <f t="shared" si="10"/>
        <v>2.2875E-2</v>
      </c>
      <c r="AT19" s="118">
        <f t="shared" si="11"/>
        <v>2.5000000000000001E-2</v>
      </c>
      <c r="AU19" s="154" t="s">
        <v>208</v>
      </c>
      <c r="AV19" s="52">
        <f>J19</f>
        <v>122</v>
      </c>
      <c r="AW19" s="175">
        <v>7.1999999999999998E-3</v>
      </c>
      <c r="AX19" s="173">
        <f t="shared" si="16"/>
        <v>7.1999999999999998E-3</v>
      </c>
      <c r="AY19" s="52">
        <v>7.4999999999999997E-3</v>
      </c>
      <c r="AZ19" s="52"/>
    </row>
    <row r="20" spans="2:52" s="119" customFormat="1" x14ac:dyDescent="0.2">
      <c r="B20" s="163" t="s">
        <v>7</v>
      </c>
      <c r="C20" s="163" t="s">
        <v>86</v>
      </c>
      <c r="D20" s="98">
        <v>61</v>
      </c>
      <c r="E20" s="52" t="s">
        <v>71</v>
      </c>
      <c r="F20" s="98">
        <v>4</v>
      </c>
      <c r="G20" s="98">
        <v>2</v>
      </c>
      <c r="H20" s="98">
        <f>61*2</f>
        <v>122</v>
      </c>
      <c r="I20" s="98">
        <f t="shared" si="25"/>
        <v>244</v>
      </c>
      <c r="J20" s="98">
        <f t="shared" si="26"/>
        <v>122</v>
      </c>
      <c r="K20" s="157">
        <f t="shared" si="27"/>
        <v>335.22950819672133</v>
      </c>
      <c r="L20" s="170">
        <v>20449</v>
      </c>
      <c r="M20" s="163"/>
      <c r="N20" s="106" t="s">
        <v>149</v>
      </c>
      <c r="O20" s="98" t="s">
        <v>153</v>
      </c>
      <c r="P20" s="108">
        <f t="shared" si="1"/>
        <v>0.11410542</v>
      </c>
      <c r="Q20" s="113">
        <f t="shared" si="2"/>
        <v>228.21083999999999</v>
      </c>
      <c r="R20" s="113">
        <v>12</v>
      </c>
      <c r="S20" s="153" t="s">
        <v>208</v>
      </c>
      <c r="T20" s="179">
        <v>3.7679999999999998</v>
      </c>
      <c r="U20" s="165">
        <f t="shared" si="12"/>
        <v>20449</v>
      </c>
      <c r="V20" s="106">
        <f t="shared" si="20"/>
        <v>9.2999999999999995E-4</v>
      </c>
      <c r="W20" s="52"/>
      <c r="X20" s="109">
        <f t="shared" si="4"/>
        <v>1.4427719999999999</v>
      </c>
      <c r="Y20" s="106">
        <v>8760</v>
      </c>
      <c r="Z20" s="121">
        <f t="shared" si="5"/>
        <v>0.32939999999999997</v>
      </c>
      <c r="AA20" s="108">
        <f t="shared" si="21"/>
        <v>3.3000000000000002E-2</v>
      </c>
      <c r="AB20" s="154" t="s">
        <v>217</v>
      </c>
      <c r="AC20" s="157">
        <f>H20</f>
        <v>122</v>
      </c>
      <c r="AD20" s="121">
        <v>0.04</v>
      </c>
      <c r="AE20" s="121">
        <f t="shared" si="14"/>
        <v>0.06</v>
      </c>
      <c r="AF20" s="158">
        <v>2.3E-2</v>
      </c>
      <c r="AG20" s="115">
        <f t="shared" si="6"/>
        <v>3.2061599999999996E-2</v>
      </c>
      <c r="AH20" s="106">
        <v>8760</v>
      </c>
      <c r="AI20" s="99">
        <f t="shared" si="7"/>
        <v>7.3199999999999993E-3</v>
      </c>
      <c r="AJ20" s="114">
        <f t="shared" si="8"/>
        <v>4.0000000000000001E-3</v>
      </c>
      <c r="AK20" s="154" t="s">
        <v>208</v>
      </c>
      <c r="AL20" s="52">
        <f>I20</f>
        <v>244</v>
      </c>
      <c r="AM20" s="87">
        <v>0</v>
      </c>
      <c r="AN20" s="173">
        <f t="shared" si="0"/>
        <v>0</v>
      </c>
      <c r="AO20" s="52">
        <v>7.4999999999999997E-3</v>
      </c>
      <c r="AP20" s="52"/>
      <c r="AQ20" s="115">
        <f t="shared" si="9"/>
        <v>0.10019249999999999</v>
      </c>
      <c r="AR20" s="106">
        <v>8760</v>
      </c>
      <c r="AS20" s="176">
        <f t="shared" si="10"/>
        <v>2.2875E-2</v>
      </c>
      <c r="AT20" s="118">
        <f t="shared" si="11"/>
        <v>2.5000000000000001E-2</v>
      </c>
      <c r="AU20" s="154" t="s">
        <v>208</v>
      </c>
      <c r="AV20" s="52">
        <f>J20</f>
        <v>122</v>
      </c>
      <c r="AW20" s="175">
        <v>3.8999999999999998E-3</v>
      </c>
      <c r="AX20" s="173">
        <f t="shared" si="16"/>
        <v>3.8999999999999998E-3</v>
      </c>
      <c r="AY20" s="52">
        <v>7.4999999999999997E-3</v>
      </c>
      <c r="AZ20" s="52"/>
    </row>
    <row r="21" spans="2:52" s="119" customFormat="1" x14ac:dyDescent="0.2">
      <c r="B21" s="163" t="s">
        <v>7</v>
      </c>
      <c r="C21" s="163" t="s">
        <v>87</v>
      </c>
      <c r="D21" s="98">
        <v>87</v>
      </c>
      <c r="E21" s="52" t="s">
        <v>71</v>
      </c>
      <c r="F21" s="98">
        <v>4</v>
      </c>
      <c r="G21" s="98">
        <v>2</v>
      </c>
      <c r="H21" s="98">
        <f>87*2</f>
        <v>174</v>
      </c>
      <c r="I21" s="98">
        <f>4*87</f>
        <v>348</v>
      </c>
      <c r="J21" s="98">
        <f>2*87</f>
        <v>174</v>
      </c>
      <c r="K21" s="157">
        <f>L21/87</f>
        <v>348.32183908045977</v>
      </c>
      <c r="L21" s="170">
        <v>30304</v>
      </c>
      <c r="M21" s="163"/>
      <c r="N21" s="106" t="s">
        <v>149</v>
      </c>
      <c r="O21" s="98" t="s">
        <v>153</v>
      </c>
      <c r="P21" s="108">
        <f t="shared" si="1"/>
        <v>0.16909631999999999</v>
      </c>
      <c r="Q21" s="113">
        <f t="shared" si="2"/>
        <v>338.19263999999998</v>
      </c>
      <c r="R21" s="113">
        <v>12</v>
      </c>
      <c r="S21" s="153" t="s">
        <v>208</v>
      </c>
      <c r="T21" s="179">
        <v>4.4659999999999993</v>
      </c>
      <c r="U21" s="165">
        <f t="shared" si="12"/>
        <v>30304</v>
      </c>
      <c r="V21" s="106">
        <f t="shared" si="20"/>
        <v>9.2999999999999995E-4</v>
      </c>
      <c r="W21" s="52"/>
      <c r="X21" s="112">
        <f t="shared" si="4"/>
        <v>2.0577240000000003</v>
      </c>
      <c r="Y21" s="106">
        <v>8760</v>
      </c>
      <c r="Z21" s="121">
        <f t="shared" si="5"/>
        <v>0.4698</v>
      </c>
      <c r="AA21" s="108">
        <f t="shared" si="21"/>
        <v>3.3000000000000002E-2</v>
      </c>
      <c r="AB21" s="154" t="s">
        <v>217</v>
      </c>
      <c r="AC21" s="157">
        <f>H21</f>
        <v>174</v>
      </c>
      <c r="AD21" s="121">
        <v>0.04</v>
      </c>
      <c r="AE21" s="121">
        <f t="shared" si="14"/>
        <v>0.06</v>
      </c>
      <c r="AF21" s="158">
        <v>2.3E-2</v>
      </c>
      <c r="AG21" s="115">
        <f t="shared" si="6"/>
        <v>4.5727200000000003E-2</v>
      </c>
      <c r="AH21" s="106">
        <v>8760</v>
      </c>
      <c r="AI21" s="99">
        <f t="shared" si="7"/>
        <v>1.0440000000000001E-2</v>
      </c>
      <c r="AJ21" s="114">
        <f t="shared" si="8"/>
        <v>4.0000000000000001E-3</v>
      </c>
      <c r="AK21" s="154" t="s">
        <v>208</v>
      </c>
      <c r="AL21" s="52">
        <f>I21</f>
        <v>348</v>
      </c>
      <c r="AM21" s="87">
        <v>0</v>
      </c>
      <c r="AN21" s="173">
        <f t="shared" si="0"/>
        <v>0</v>
      </c>
      <c r="AO21" s="52">
        <v>7.4999999999999997E-3</v>
      </c>
      <c r="AP21" s="52"/>
      <c r="AQ21" s="115">
        <f t="shared" si="9"/>
        <v>0.14289750000000001</v>
      </c>
      <c r="AR21" s="106">
        <v>8760</v>
      </c>
      <c r="AS21" s="176">
        <f t="shared" si="10"/>
        <v>3.2625000000000001E-2</v>
      </c>
      <c r="AT21" s="118">
        <f t="shared" si="11"/>
        <v>2.5000000000000001E-2</v>
      </c>
      <c r="AU21" s="154" t="s">
        <v>208</v>
      </c>
      <c r="AV21" s="52">
        <f>J21</f>
        <v>174</v>
      </c>
      <c r="AW21" s="175">
        <v>1.24E-2</v>
      </c>
      <c r="AX21" s="173">
        <f t="shared" si="16"/>
        <v>1.24E-2</v>
      </c>
      <c r="AY21" s="52">
        <v>7.4999999999999997E-3</v>
      </c>
      <c r="AZ21" s="52"/>
    </row>
    <row r="22" spans="2:52" s="119" customFormat="1" x14ac:dyDescent="0.2">
      <c r="B22" s="163" t="s">
        <v>7</v>
      </c>
      <c r="C22" s="163" t="s">
        <v>88</v>
      </c>
      <c r="D22" s="98">
        <v>87</v>
      </c>
      <c r="E22" s="52" t="s">
        <v>71</v>
      </c>
      <c r="F22" s="98">
        <v>4</v>
      </c>
      <c r="G22" s="98">
        <v>2</v>
      </c>
      <c r="H22" s="98">
        <f>87*2</f>
        <v>174</v>
      </c>
      <c r="I22" s="98">
        <f>4*87</f>
        <v>348</v>
      </c>
      <c r="J22" s="98">
        <f>2*87</f>
        <v>174</v>
      </c>
      <c r="K22" s="157">
        <f t="shared" ref="K22" si="28">L22/87</f>
        <v>348.32183908045977</v>
      </c>
      <c r="L22" s="170">
        <v>30304</v>
      </c>
      <c r="M22" s="163"/>
      <c r="N22" s="106" t="s">
        <v>149</v>
      </c>
      <c r="O22" s="98" t="s">
        <v>153</v>
      </c>
      <c r="P22" s="108">
        <f t="shared" si="1"/>
        <v>0.16909631999999999</v>
      </c>
      <c r="Q22" s="113">
        <f t="shared" si="2"/>
        <v>338.19263999999998</v>
      </c>
      <c r="R22" s="113">
        <v>12</v>
      </c>
      <c r="S22" s="153" t="s">
        <v>208</v>
      </c>
      <c r="T22" s="179">
        <v>4.1180000000000003</v>
      </c>
      <c r="U22" s="165">
        <f t="shared" si="12"/>
        <v>30304</v>
      </c>
      <c r="V22" s="106">
        <f t="shared" si="20"/>
        <v>9.2999999999999995E-4</v>
      </c>
      <c r="W22" s="52"/>
      <c r="X22" s="112">
        <f t="shared" si="4"/>
        <v>2.0577240000000003</v>
      </c>
      <c r="Y22" s="106">
        <v>8760</v>
      </c>
      <c r="Z22" s="121">
        <f t="shared" si="5"/>
        <v>0.4698</v>
      </c>
      <c r="AA22" s="108">
        <f t="shared" si="21"/>
        <v>3.3000000000000002E-2</v>
      </c>
      <c r="AB22" s="154" t="s">
        <v>217</v>
      </c>
      <c r="AC22" s="157">
        <f>H22</f>
        <v>174</v>
      </c>
      <c r="AD22" s="121">
        <v>0.04</v>
      </c>
      <c r="AE22" s="121">
        <f t="shared" si="14"/>
        <v>0.06</v>
      </c>
      <c r="AF22" s="158">
        <v>2.3E-2</v>
      </c>
      <c r="AG22" s="115">
        <f t="shared" si="6"/>
        <v>4.5727200000000003E-2</v>
      </c>
      <c r="AH22" s="106">
        <v>8760</v>
      </c>
      <c r="AI22" s="99">
        <f t="shared" si="7"/>
        <v>1.0440000000000001E-2</v>
      </c>
      <c r="AJ22" s="114">
        <f t="shared" si="8"/>
        <v>4.0000000000000001E-3</v>
      </c>
      <c r="AK22" s="154" t="s">
        <v>208</v>
      </c>
      <c r="AL22" s="52">
        <f>I22</f>
        <v>348</v>
      </c>
      <c r="AM22" s="87">
        <v>1E-4</v>
      </c>
      <c r="AN22" s="173">
        <f t="shared" si="0"/>
        <v>1E-4</v>
      </c>
      <c r="AO22" s="52">
        <v>7.4999999999999997E-3</v>
      </c>
      <c r="AP22" s="52"/>
      <c r="AQ22" s="115">
        <f t="shared" si="9"/>
        <v>0.14289750000000001</v>
      </c>
      <c r="AR22" s="106">
        <v>8760</v>
      </c>
      <c r="AS22" s="176">
        <f t="shared" si="10"/>
        <v>3.2625000000000001E-2</v>
      </c>
      <c r="AT22" s="118">
        <f t="shared" si="11"/>
        <v>2.5000000000000001E-2</v>
      </c>
      <c r="AU22" s="154" t="s">
        <v>208</v>
      </c>
      <c r="AV22" s="52">
        <f>J22</f>
        <v>174</v>
      </c>
      <c r="AW22" s="175">
        <v>1.0500000000000001E-2</v>
      </c>
      <c r="AX22" s="173">
        <f t="shared" si="16"/>
        <v>1.0500000000000001E-2</v>
      </c>
      <c r="AY22" s="52">
        <v>7.4999999999999997E-3</v>
      </c>
      <c r="AZ22" s="52"/>
    </row>
    <row r="23" spans="2:52" s="119" customFormat="1" x14ac:dyDescent="0.2">
      <c r="B23" s="163" t="s">
        <v>7</v>
      </c>
      <c r="C23" s="163" t="s">
        <v>8</v>
      </c>
      <c r="D23" s="98">
        <v>75</v>
      </c>
      <c r="E23" s="52" t="s">
        <v>71</v>
      </c>
      <c r="F23" s="98">
        <v>4</v>
      </c>
      <c r="G23" s="98">
        <v>2</v>
      </c>
      <c r="H23" s="98">
        <f>75*2</f>
        <v>150</v>
      </c>
      <c r="I23" s="98">
        <f>4*75</f>
        <v>300</v>
      </c>
      <c r="J23" s="98">
        <f>2*75</f>
        <v>150</v>
      </c>
      <c r="K23" s="157">
        <f>L23/75</f>
        <v>377.04</v>
      </c>
      <c r="L23" s="170">
        <v>28278</v>
      </c>
      <c r="M23" s="163"/>
      <c r="N23" s="106" t="s">
        <v>149</v>
      </c>
      <c r="O23" s="98" t="s">
        <v>153</v>
      </c>
      <c r="P23" s="108">
        <f t="shared" si="1"/>
        <v>0.15779124</v>
      </c>
      <c r="Q23" s="113">
        <f t="shared" si="2"/>
        <v>315.58247999999998</v>
      </c>
      <c r="R23" s="113">
        <v>12</v>
      </c>
      <c r="S23" s="153" t="s">
        <v>208</v>
      </c>
      <c r="T23" s="179">
        <v>4.34</v>
      </c>
      <c r="U23" s="165">
        <f t="shared" si="12"/>
        <v>28278</v>
      </c>
      <c r="V23" s="106">
        <f t="shared" si="20"/>
        <v>9.2999999999999995E-4</v>
      </c>
      <c r="W23" s="52"/>
      <c r="X23" s="109">
        <f t="shared" si="4"/>
        <v>1.9578599999999999</v>
      </c>
      <c r="Y23" s="106">
        <v>8760</v>
      </c>
      <c r="Z23" s="121">
        <f t="shared" si="5"/>
        <v>0.44699999999999995</v>
      </c>
      <c r="AA23" s="109">
        <f t="shared" si="13"/>
        <v>0.04</v>
      </c>
      <c r="AB23" s="154" t="s">
        <v>210</v>
      </c>
      <c r="AC23" s="157">
        <f>H23</f>
        <v>150</v>
      </c>
      <c r="AD23" s="121">
        <v>0.04</v>
      </c>
      <c r="AE23" s="121">
        <f t="shared" si="14"/>
        <v>0.06</v>
      </c>
      <c r="AF23" s="158">
        <v>2.3E-2</v>
      </c>
      <c r="AG23" s="115">
        <f t="shared" si="6"/>
        <v>3.9419999999999997E-2</v>
      </c>
      <c r="AH23" s="106">
        <v>8760</v>
      </c>
      <c r="AI23" s="99">
        <f t="shared" si="7"/>
        <v>8.9999999999999993E-3</v>
      </c>
      <c r="AJ23" s="114">
        <f t="shared" si="8"/>
        <v>4.0000000000000001E-3</v>
      </c>
      <c r="AK23" s="154" t="s">
        <v>208</v>
      </c>
      <c r="AL23" s="52">
        <f>I23</f>
        <v>300</v>
      </c>
      <c r="AM23" s="87">
        <v>1E-4</v>
      </c>
      <c r="AN23" s="173">
        <f t="shared" si="0"/>
        <v>1E-4</v>
      </c>
      <c r="AO23" s="52">
        <v>7.4999999999999997E-3</v>
      </c>
      <c r="AP23" s="52"/>
      <c r="AQ23" s="115">
        <f t="shared" si="9"/>
        <v>0.12318749999999999</v>
      </c>
      <c r="AR23" s="106">
        <v>8760</v>
      </c>
      <c r="AS23" s="176">
        <f t="shared" si="10"/>
        <v>2.8124999999999997E-2</v>
      </c>
      <c r="AT23" s="118">
        <f t="shared" si="11"/>
        <v>2.5000000000000001E-2</v>
      </c>
      <c r="AU23" s="154" t="s">
        <v>208</v>
      </c>
      <c r="AV23" s="52">
        <f>J23</f>
        <v>150</v>
      </c>
      <c r="AW23" s="175">
        <v>1.6999999999999999E-3</v>
      </c>
      <c r="AX23" s="173">
        <f t="shared" si="16"/>
        <v>1.6999999999999999E-3</v>
      </c>
      <c r="AY23" s="52">
        <v>7.4999999999999997E-3</v>
      </c>
      <c r="AZ23" s="52"/>
    </row>
    <row r="24" spans="2:52" s="119" customFormat="1" x14ac:dyDescent="0.2">
      <c r="B24" s="163" t="s">
        <v>7</v>
      </c>
      <c r="C24" s="163" t="s">
        <v>89</v>
      </c>
      <c r="D24" s="98">
        <v>84</v>
      </c>
      <c r="E24" s="52" t="s">
        <v>71</v>
      </c>
      <c r="F24" s="98">
        <v>5</v>
      </c>
      <c r="G24" s="98">
        <v>1</v>
      </c>
      <c r="H24" s="98">
        <f>84*2</f>
        <v>168</v>
      </c>
      <c r="I24" s="98">
        <f>5*84</f>
        <v>420</v>
      </c>
      <c r="J24" s="98">
        <v>84</v>
      </c>
      <c r="K24" s="157">
        <f>L24/84</f>
        <v>432.48809523809524</v>
      </c>
      <c r="L24" s="170">
        <v>36329</v>
      </c>
      <c r="M24" s="163"/>
      <c r="N24" s="106" t="s">
        <v>149</v>
      </c>
      <c r="O24" s="98" t="s">
        <v>153</v>
      </c>
      <c r="P24" s="109">
        <f t="shared" si="1"/>
        <v>0.20271581999999999</v>
      </c>
      <c r="Q24" s="113">
        <f t="shared" si="2"/>
        <v>405.43163999999996</v>
      </c>
      <c r="R24" s="113">
        <v>12</v>
      </c>
      <c r="S24" s="153" t="s">
        <v>208</v>
      </c>
      <c r="T24" s="179">
        <v>37.531999999999996</v>
      </c>
      <c r="U24" s="165">
        <f t="shared" si="12"/>
        <v>36329</v>
      </c>
      <c r="V24" s="106">
        <f t="shared" si="20"/>
        <v>9.2999999999999995E-4</v>
      </c>
      <c r="W24" s="52"/>
      <c r="X24" s="112">
        <f t="shared" si="4"/>
        <v>2.1928031999999997</v>
      </c>
      <c r="Y24" s="106">
        <v>8760</v>
      </c>
      <c r="Z24" s="121">
        <f t="shared" si="5"/>
        <v>0.50063999999999997</v>
      </c>
      <c r="AA24" s="109">
        <f t="shared" si="13"/>
        <v>0.04</v>
      </c>
      <c r="AB24" s="154" t="s">
        <v>210</v>
      </c>
      <c r="AC24" s="157">
        <f>H24</f>
        <v>168</v>
      </c>
      <c r="AD24" s="121">
        <v>0.04</v>
      </c>
      <c r="AE24" s="121">
        <f t="shared" si="14"/>
        <v>0.06</v>
      </c>
      <c r="AF24" s="158">
        <v>2.3E-2</v>
      </c>
      <c r="AG24" s="115">
        <f t="shared" si="6"/>
        <v>5.5187999999999994E-2</v>
      </c>
      <c r="AH24" s="106">
        <v>8760</v>
      </c>
      <c r="AI24" s="99">
        <f t="shared" si="7"/>
        <v>1.2599999999999998E-2</v>
      </c>
      <c r="AJ24" s="114">
        <f t="shared" si="8"/>
        <v>4.0000000000000001E-3</v>
      </c>
      <c r="AK24" s="154" t="s">
        <v>208</v>
      </c>
      <c r="AL24" s="52">
        <f>I24</f>
        <v>420</v>
      </c>
      <c r="AM24" s="87">
        <v>0</v>
      </c>
      <c r="AN24" s="173">
        <f t="shared" si="0"/>
        <v>0</v>
      </c>
      <c r="AO24" s="52">
        <v>7.4999999999999997E-3</v>
      </c>
      <c r="AP24" s="52"/>
      <c r="AQ24" s="115">
        <f t="shared" si="9"/>
        <v>6.8985000000000005E-2</v>
      </c>
      <c r="AR24" s="106">
        <v>8760</v>
      </c>
      <c r="AS24" s="176">
        <f t="shared" si="10"/>
        <v>1.575E-2</v>
      </c>
      <c r="AT24" s="118">
        <f t="shared" si="11"/>
        <v>2.5000000000000001E-2</v>
      </c>
      <c r="AU24" s="154" t="s">
        <v>208</v>
      </c>
      <c r="AV24" s="52">
        <f>J24</f>
        <v>84</v>
      </c>
      <c r="AW24" s="175">
        <v>8.0000000000000004E-4</v>
      </c>
      <c r="AX24" s="173">
        <f t="shared" si="16"/>
        <v>8.0000000000000004E-4</v>
      </c>
      <c r="AY24" s="52">
        <v>7.4999999999999997E-3</v>
      </c>
      <c r="AZ24" s="52"/>
    </row>
    <row r="25" spans="2:52" s="119" customFormat="1" x14ac:dyDescent="0.2">
      <c r="B25" s="180" t="s">
        <v>90</v>
      </c>
      <c r="C25" s="181" t="s">
        <v>91</v>
      </c>
      <c r="D25" s="69">
        <v>78</v>
      </c>
      <c r="E25" s="68" t="s">
        <v>74</v>
      </c>
      <c r="F25" s="98"/>
      <c r="G25" s="98"/>
      <c r="H25" s="98">
        <f>D25*2</f>
        <v>156</v>
      </c>
      <c r="I25" s="98">
        <v>312</v>
      </c>
      <c r="J25" s="98">
        <v>78</v>
      </c>
      <c r="K25" s="98"/>
      <c r="L25" s="98"/>
      <c r="M25" s="163"/>
      <c r="N25" s="98"/>
      <c r="O25" s="98"/>
      <c r="P25" s="108">
        <f t="shared" si="1"/>
        <v>0.10961909999999998</v>
      </c>
      <c r="Q25" s="113">
        <f t="shared" si="2"/>
        <v>219.23819999999998</v>
      </c>
      <c r="R25" s="113">
        <v>12</v>
      </c>
      <c r="S25" s="153" t="s">
        <v>208</v>
      </c>
      <c r="T25" s="85">
        <v>3.7</v>
      </c>
      <c r="U25" s="182">
        <v>19645</v>
      </c>
      <c r="V25" s="106">
        <f t="shared" si="20"/>
        <v>9.2999999999999995E-4</v>
      </c>
      <c r="W25" s="68"/>
      <c r="X25" s="112">
        <f t="shared" si="4"/>
        <v>2.0361743999999997</v>
      </c>
      <c r="Y25" s="106">
        <v>8760</v>
      </c>
      <c r="Z25" s="121">
        <f t="shared" si="5"/>
        <v>0.46487999999999996</v>
      </c>
      <c r="AA25" s="109">
        <f t="shared" si="13"/>
        <v>0.04</v>
      </c>
      <c r="AB25" s="154" t="s">
        <v>211</v>
      </c>
      <c r="AC25" s="157">
        <f>H25</f>
        <v>156</v>
      </c>
      <c r="AD25" s="121">
        <v>0.04</v>
      </c>
      <c r="AE25" s="121">
        <f t="shared" si="14"/>
        <v>0.06</v>
      </c>
      <c r="AF25" s="158">
        <v>2.3E-2</v>
      </c>
      <c r="AG25" s="115">
        <f t="shared" si="6"/>
        <v>4.09968E-2</v>
      </c>
      <c r="AH25" s="106">
        <v>8760</v>
      </c>
      <c r="AI25" s="99">
        <f t="shared" si="7"/>
        <v>9.3600000000000003E-3</v>
      </c>
      <c r="AJ25" s="114">
        <f t="shared" si="8"/>
        <v>4.0000000000000001E-3</v>
      </c>
      <c r="AK25" s="154" t="s">
        <v>208</v>
      </c>
      <c r="AL25" s="52">
        <f>I25</f>
        <v>312</v>
      </c>
      <c r="AM25" s="87">
        <v>0</v>
      </c>
      <c r="AN25" s="173">
        <f t="shared" si="0"/>
        <v>0</v>
      </c>
      <c r="AO25" s="52">
        <v>7.4999999999999997E-3</v>
      </c>
      <c r="AP25" s="68"/>
      <c r="AQ25" s="115">
        <f t="shared" si="9"/>
        <v>6.4057500000000003E-2</v>
      </c>
      <c r="AR25" s="106">
        <v>8760</v>
      </c>
      <c r="AS25" s="176">
        <f t="shared" si="10"/>
        <v>1.4625000000000001E-2</v>
      </c>
      <c r="AT25" s="118">
        <f t="shared" si="11"/>
        <v>2.5000000000000001E-2</v>
      </c>
      <c r="AU25" s="154" t="s">
        <v>208</v>
      </c>
      <c r="AV25" s="52">
        <f>J25</f>
        <v>78</v>
      </c>
      <c r="AW25" s="87">
        <v>2.9999999999999997E-4</v>
      </c>
      <c r="AX25" s="173">
        <f t="shared" si="16"/>
        <v>2.9999999999999997E-4</v>
      </c>
      <c r="AY25" s="52">
        <v>7.4999999999999997E-3</v>
      </c>
      <c r="AZ25" s="68"/>
    </row>
    <row r="26" spans="2:52" s="119" customFormat="1" x14ac:dyDescent="0.2">
      <c r="B26" s="52" t="s">
        <v>90</v>
      </c>
      <c r="C26" s="181" t="s">
        <v>81</v>
      </c>
      <c r="D26" s="69">
        <v>25</v>
      </c>
      <c r="E26" s="68" t="s">
        <v>74</v>
      </c>
      <c r="F26" s="98"/>
      <c r="G26" s="98"/>
      <c r="H26" s="98">
        <f t="shared" ref="H26:H30" si="29">D26*2</f>
        <v>50</v>
      </c>
      <c r="I26" s="98">
        <v>125</v>
      </c>
      <c r="J26" s="98">
        <v>25</v>
      </c>
      <c r="K26" s="69"/>
      <c r="L26" s="69"/>
      <c r="M26" s="163"/>
      <c r="N26" s="69"/>
      <c r="O26" s="69"/>
      <c r="P26" s="108">
        <f t="shared" si="1"/>
        <v>3.1588379999999999E-2</v>
      </c>
      <c r="Q26" s="113">
        <f t="shared" si="2"/>
        <v>63.176759999999994</v>
      </c>
      <c r="R26" s="113">
        <v>12</v>
      </c>
      <c r="S26" s="153" t="s">
        <v>208</v>
      </c>
      <c r="T26" s="85">
        <v>4.3</v>
      </c>
      <c r="U26" s="182">
        <v>5661</v>
      </c>
      <c r="V26" s="106">
        <f t="shared" si="20"/>
        <v>9.2999999999999995E-4</v>
      </c>
      <c r="W26" s="68"/>
      <c r="X26" s="109">
        <f t="shared" si="4"/>
        <v>0.65262000000000009</v>
      </c>
      <c r="Y26" s="106">
        <v>8760</v>
      </c>
      <c r="Z26" s="121">
        <f t="shared" si="5"/>
        <v>0.14900000000000002</v>
      </c>
      <c r="AA26" s="109">
        <f t="shared" si="13"/>
        <v>0.04</v>
      </c>
      <c r="AB26" s="154" t="s">
        <v>211</v>
      </c>
      <c r="AC26" s="157">
        <f>H26</f>
        <v>50</v>
      </c>
      <c r="AD26" s="121">
        <v>0.04</v>
      </c>
      <c r="AE26" s="121">
        <f t="shared" si="14"/>
        <v>0.06</v>
      </c>
      <c r="AF26" s="158">
        <v>2.3E-2</v>
      </c>
      <c r="AG26" s="115">
        <f t="shared" si="6"/>
        <v>1.6425000000000002E-2</v>
      </c>
      <c r="AH26" s="106">
        <v>8760</v>
      </c>
      <c r="AI26" s="99">
        <f t="shared" si="7"/>
        <v>3.7499999999999999E-3</v>
      </c>
      <c r="AJ26" s="114">
        <f t="shared" si="8"/>
        <v>4.0000000000000001E-3</v>
      </c>
      <c r="AK26" s="154" t="s">
        <v>208</v>
      </c>
      <c r="AL26" s="52">
        <f>I26</f>
        <v>125</v>
      </c>
      <c r="AM26" s="87">
        <v>0</v>
      </c>
      <c r="AN26" s="173">
        <f t="shared" si="0"/>
        <v>0</v>
      </c>
      <c r="AO26" s="52">
        <v>7.4999999999999997E-3</v>
      </c>
      <c r="AP26" s="68"/>
      <c r="AQ26" s="115">
        <f t="shared" si="9"/>
        <v>2.0531250000000001E-2</v>
      </c>
      <c r="AR26" s="106">
        <v>8760</v>
      </c>
      <c r="AS26" s="176">
        <f t="shared" si="10"/>
        <v>4.6874999999999998E-3</v>
      </c>
      <c r="AT26" s="118">
        <f t="shared" si="11"/>
        <v>2.5000000000000001E-2</v>
      </c>
      <c r="AU26" s="154" t="s">
        <v>208</v>
      </c>
      <c r="AV26" s="52">
        <f>J26</f>
        <v>25</v>
      </c>
      <c r="AW26" s="87">
        <v>0</v>
      </c>
      <c r="AX26" s="173">
        <f t="shared" si="16"/>
        <v>0</v>
      </c>
      <c r="AY26" s="52">
        <v>7.4999999999999997E-3</v>
      </c>
      <c r="AZ26" s="68"/>
    </row>
    <row r="27" spans="2:52" s="119" customFormat="1" x14ac:dyDescent="0.2">
      <c r="B27" s="52" t="s">
        <v>90</v>
      </c>
      <c r="C27" s="181" t="s">
        <v>92</v>
      </c>
      <c r="D27" s="69">
        <v>29</v>
      </c>
      <c r="E27" s="68" t="s">
        <v>74</v>
      </c>
      <c r="F27" s="98"/>
      <c r="G27" s="98"/>
      <c r="H27" s="98">
        <f t="shared" si="29"/>
        <v>58</v>
      </c>
      <c r="I27" s="98">
        <v>145</v>
      </c>
      <c r="J27" s="98">
        <v>29</v>
      </c>
      <c r="K27" s="69"/>
      <c r="L27" s="69"/>
      <c r="M27" s="163"/>
      <c r="N27" s="69"/>
      <c r="O27" s="69"/>
      <c r="P27" s="108">
        <f t="shared" si="1"/>
        <v>3.6638279999999995E-2</v>
      </c>
      <c r="Q27" s="113">
        <f t="shared" si="2"/>
        <v>73.276559999999989</v>
      </c>
      <c r="R27" s="113">
        <v>12</v>
      </c>
      <c r="S27" s="153" t="s">
        <v>208</v>
      </c>
      <c r="T27" s="85">
        <v>4.3</v>
      </c>
      <c r="U27" s="182">
        <v>6566</v>
      </c>
      <c r="V27" s="106">
        <f t="shared" si="20"/>
        <v>9.2999999999999995E-4</v>
      </c>
      <c r="W27" s="68"/>
      <c r="X27" s="109">
        <f t="shared" si="4"/>
        <v>0.75703919999999991</v>
      </c>
      <c r="Y27" s="106">
        <v>8760</v>
      </c>
      <c r="Z27" s="121">
        <f t="shared" si="5"/>
        <v>0.17283999999999999</v>
      </c>
      <c r="AA27" s="109">
        <f t="shared" si="13"/>
        <v>0.04</v>
      </c>
      <c r="AB27" s="154" t="s">
        <v>211</v>
      </c>
      <c r="AC27" s="157">
        <f>H27</f>
        <v>58</v>
      </c>
      <c r="AD27" s="121">
        <v>0.04</v>
      </c>
      <c r="AE27" s="121">
        <f t="shared" si="14"/>
        <v>0.06</v>
      </c>
      <c r="AF27" s="158">
        <v>2.3E-2</v>
      </c>
      <c r="AG27" s="115">
        <f t="shared" si="6"/>
        <v>1.9052999999999997E-2</v>
      </c>
      <c r="AH27" s="106">
        <v>8760</v>
      </c>
      <c r="AI27" s="99">
        <f t="shared" si="7"/>
        <v>4.3499999999999997E-3</v>
      </c>
      <c r="AJ27" s="114">
        <f t="shared" si="8"/>
        <v>4.0000000000000001E-3</v>
      </c>
      <c r="AK27" s="154" t="s">
        <v>208</v>
      </c>
      <c r="AL27" s="52">
        <f>I27</f>
        <v>145</v>
      </c>
      <c r="AM27" s="87">
        <v>0</v>
      </c>
      <c r="AN27" s="173">
        <f t="shared" si="0"/>
        <v>0</v>
      </c>
      <c r="AO27" s="52">
        <v>7.4999999999999997E-3</v>
      </c>
      <c r="AP27" s="68"/>
      <c r="AQ27" s="115">
        <f t="shared" si="9"/>
        <v>2.3816250000000004E-2</v>
      </c>
      <c r="AR27" s="106">
        <v>8760</v>
      </c>
      <c r="AS27" s="176">
        <f t="shared" si="10"/>
        <v>5.4375000000000005E-3</v>
      </c>
      <c r="AT27" s="118">
        <f t="shared" si="11"/>
        <v>2.5000000000000001E-2</v>
      </c>
      <c r="AU27" s="154" t="s">
        <v>208</v>
      </c>
      <c r="AV27" s="52">
        <f>J27</f>
        <v>29</v>
      </c>
      <c r="AW27" s="87">
        <v>0</v>
      </c>
      <c r="AX27" s="173">
        <f t="shared" si="16"/>
        <v>0</v>
      </c>
      <c r="AY27" s="52">
        <v>7.4999999999999997E-3</v>
      </c>
      <c r="AZ27" s="68"/>
    </row>
    <row r="28" spans="2:52" s="119" customFormat="1" x14ac:dyDescent="0.2">
      <c r="B28" s="180" t="s">
        <v>200</v>
      </c>
      <c r="C28" s="181" t="s">
        <v>93</v>
      </c>
      <c r="D28" s="69">
        <v>30</v>
      </c>
      <c r="E28" s="68" t="s">
        <v>74</v>
      </c>
      <c r="F28" s="98">
        <v>5</v>
      </c>
      <c r="G28" s="98">
        <v>1</v>
      </c>
      <c r="H28" s="98">
        <f t="shared" si="29"/>
        <v>60</v>
      </c>
      <c r="I28" s="98">
        <f t="shared" ref="I28:I30" si="30">F28*D28</f>
        <v>150</v>
      </c>
      <c r="J28" s="98">
        <f t="shared" ref="J28:J30" si="31">G28*D28</f>
        <v>30</v>
      </c>
      <c r="K28" s="69"/>
      <c r="L28" s="183">
        <v>9449</v>
      </c>
      <c r="M28" s="163"/>
      <c r="N28" s="69"/>
      <c r="O28" s="69"/>
      <c r="P28" s="108">
        <f t="shared" si="1"/>
        <v>5.2725420000000002E-2</v>
      </c>
      <c r="Q28" s="113">
        <f t="shared" si="2"/>
        <v>105.45084</v>
      </c>
      <c r="R28" s="113">
        <v>12</v>
      </c>
      <c r="S28" s="153" t="s">
        <v>208</v>
      </c>
      <c r="T28" s="179">
        <v>4.3099999999999996</v>
      </c>
      <c r="U28" s="165">
        <f t="shared" ref="U28:U30" si="32">L28</f>
        <v>9449</v>
      </c>
      <c r="V28" s="106">
        <f t="shared" si="20"/>
        <v>9.2999999999999995E-4</v>
      </c>
      <c r="W28" s="68"/>
      <c r="X28" s="109">
        <f t="shared" si="4"/>
        <v>0.78314399999999984</v>
      </c>
      <c r="Y28" s="106">
        <v>8760</v>
      </c>
      <c r="Z28" s="121">
        <f t="shared" si="5"/>
        <v>0.17879999999999999</v>
      </c>
      <c r="AA28" s="109">
        <f t="shared" si="13"/>
        <v>0.04</v>
      </c>
      <c r="AB28" s="154" t="s">
        <v>211</v>
      </c>
      <c r="AC28" s="157">
        <f>H28</f>
        <v>60</v>
      </c>
      <c r="AD28" s="121">
        <v>0.04</v>
      </c>
      <c r="AE28" s="121">
        <f t="shared" si="14"/>
        <v>0.06</v>
      </c>
      <c r="AF28" s="158">
        <v>2.3E-2</v>
      </c>
      <c r="AG28" s="115">
        <f t="shared" si="6"/>
        <v>1.9709999999999998E-2</v>
      </c>
      <c r="AH28" s="106">
        <v>8760</v>
      </c>
      <c r="AI28" s="99">
        <f t="shared" si="7"/>
        <v>4.4999999999999997E-3</v>
      </c>
      <c r="AJ28" s="114">
        <f t="shared" si="8"/>
        <v>4.0000000000000001E-3</v>
      </c>
      <c r="AK28" s="154" t="s">
        <v>208</v>
      </c>
      <c r="AL28" s="52">
        <f>I28</f>
        <v>150</v>
      </c>
      <c r="AM28" s="175">
        <v>1.1000000000000001E-3</v>
      </c>
      <c r="AN28" s="173">
        <f t="shared" si="0"/>
        <v>1.1000000000000001E-3</v>
      </c>
      <c r="AO28" s="52">
        <v>7.4999999999999997E-3</v>
      </c>
      <c r="AP28" s="68"/>
      <c r="AQ28" s="115">
        <f t="shared" si="9"/>
        <v>2.46375E-2</v>
      </c>
      <c r="AR28" s="106">
        <v>8760</v>
      </c>
      <c r="AS28" s="176">
        <f t="shared" si="10"/>
        <v>5.6249999999999998E-3</v>
      </c>
      <c r="AT28" s="118">
        <f t="shared" si="11"/>
        <v>2.5000000000000001E-2</v>
      </c>
      <c r="AU28" s="154" t="s">
        <v>208</v>
      </c>
      <c r="AV28" s="52">
        <f>J28</f>
        <v>30</v>
      </c>
      <c r="AW28" s="175">
        <v>7.9000000000000008E-3</v>
      </c>
      <c r="AX28" s="173">
        <f t="shared" si="16"/>
        <v>7.9000000000000008E-3</v>
      </c>
      <c r="AY28" s="52">
        <v>7.4999999999999997E-3</v>
      </c>
      <c r="AZ28" s="68"/>
    </row>
    <row r="29" spans="2:52" s="119" customFormat="1" x14ac:dyDescent="0.2">
      <c r="B29" s="180" t="s">
        <v>200</v>
      </c>
      <c r="C29" s="181" t="s">
        <v>94</v>
      </c>
      <c r="D29" s="69">
        <v>30</v>
      </c>
      <c r="E29" s="68" t="s">
        <v>74</v>
      </c>
      <c r="F29" s="98">
        <v>5</v>
      </c>
      <c r="G29" s="98">
        <v>1</v>
      </c>
      <c r="H29" s="98">
        <f t="shared" si="29"/>
        <v>60</v>
      </c>
      <c r="I29" s="98">
        <f t="shared" si="30"/>
        <v>150</v>
      </c>
      <c r="J29" s="98">
        <f t="shared" si="31"/>
        <v>30</v>
      </c>
      <c r="K29" s="69"/>
      <c r="L29" s="183">
        <v>8827</v>
      </c>
      <c r="M29" s="68"/>
      <c r="N29" s="69"/>
      <c r="O29" s="69"/>
      <c r="P29" s="108">
        <f t="shared" si="1"/>
        <v>4.9254659999999992E-2</v>
      </c>
      <c r="Q29" s="113">
        <f t="shared" si="2"/>
        <v>98.509319999999988</v>
      </c>
      <c r="R29" s="113">
        <v>12</v>
      </c>
      <c r="S29" s="153" t="s">
        <v>208</v>
      </c>
      <c r="T29" s="179">
        <v>4.3099999999999996</v>
      </c>
      <c r="U29" s="165">
        <f t="shared" si="32"/>
        <v>8827</v>
      </c>
      <c r="V29" s="106">
        <f t="shared" si="20"/>
        <v>9.2999999999999995E-4</v>
      </c>
      <c r="W29" s="68"/>
      <c r="X29" s="109">
        <f t="shared" si="4"/>
        <v>0.78314399999999984</v>
      </c>
      <c r="Y29" s="106">
        <v>8760</v>
      </c>
      <c r="Z29" s="121">
        <f t="shared" si="5"/>
        <v>0.17879999999999999</v>
      </c>
      <c r="AA29" s="109">
        <f t="shared" si="13"/>
        <v>0.04</v>
      </c>
      <c r="AB29" s="154" t="s">
        <v>211</v>
      </c>
      <c r="AC29" s="157">
        <f>H29</f>
        <v>60</v>
      </c>
      <c r="AD29" s="121">
        <v>0.04</v>
      </c>
      <c r="AE29" s="121">
        <f t="shared" si="14"/>
        <v>0.06</v>
      </c>
      <c r="AF29" s="158">
        <v>2.3E-2</v>
      </c>
      <c r="AG29" s="115">
        <f t="shared" si="6"/>
        <v>1.9709999999999998E-2</v>
      </c>
      <c r="AH29" s="106">
        <v>8760</v>
      </c>
      <c r="AI29" s="99">
        <f t="shared" si="7"/>
        <v>4.4999999999999997E-3</v>
      </c>
      <c r="AJ29" s="114">
        <f t="shared" si="8"/>
        <v>4.0000000000000001E-3</v>
      </c>
      <c r="AK29" s="154" t="s">
        <v>208</v>
      </c>
      <c r="AL29" s="52">
        <f>I29</f>
        <v>150</v>
      </c>
      <c r="AM29" s="175">
        <v>8.0000000000000004E-4</v>
      </c>
      <c r="AN29" s="173">
        <f t="shared" si="0"/>
        <v>8.0000000000000004E-4</v>
      </c>
      <c r="AO29" s="52">
        <v>7.4999999999999997E-3</v>
      </c>
      <c r="AP29" s="68"/>
      <c r="AQ29" s="115">
        <f t="shared" si="9"/>
        <v>2.46375E-2</v>
      </c>
      <c r="AR29" s="106">
        <v>8760</v>
      </c>
      <c r="AS29" s="176">
        <f t="shared" si="10"/>
        <v>5.6249999999999998E-3</v>
      </c>
      <c r="AT29" s="118">
        <f t="shared" si="11"/>
        <v>2.5000000000000001E-2</v>
      </c>
      <c r="AU29" s="154" t="s">
        <v>208</v>
      </c>
      <c r="AV29" s="52">
        <f>J29</f>
        <v>30</v>
      </c>
      <c r="AW29" s="175">
        <v>5.1000000000000004E-3</v>
      </c>
      <c r="AX29" s="173">
        <f t="shared" si="16"/>
        <v>5.1000000000000004E-3</v>
      </c>
      <c r="AY29" s="52">
        <v>7.4999999999999997E-3</v>
      </c>
      <c r="AZ29" s="68"/>
    </row>
    <row r="30" spans="2:52" s="119" customFormat="1" x14ac:dyDescent="0.2">
      <c r="B30" s="180" t="s">
        <v>200</v>
      </c>
      <c r="C30" s="181" t="s">
        <v>95</v>
      </c>
      <c r="D30" s="69">
        <v>60</v>
      </c>
      <c r="E30" s="68" t="s">
        <v>74</v>
      </c>
      <c r="F30" s="98">
        <v>5</v>
      </c>
      <c r="G30" s="98">
        <v>1</v>
      </c>
      <c r="H30" s="98">
        <f t="shared" si="29"/>
        <v>120</v>
      </c>
      <c r="I30" s="98">
        <f t="shared" si="30"/>
        <v>300</v>
      </c>
      <c r="J30" s="98">
        <f t="shared" si="31"/>
        <v>60</v>
      </c>
      <c r="K30" s="69"/>
      <c r="L30" s="183">
        <v>12184</v>
      </c>
      <c r="M30" s="68"/>
      <c r="N30" s="69"/>
      <c r="O30" s="69"/>
      <c r="P30" s="108">
        <f t="shared" si="1"/>
        <v>6.7986719999999987E-2</v>
      </c>
      <c r="Q30" s="113">
        <f t="shared" si="2"/>
        <v>135.97343999999998</v>
      </c>
      <c r="R30" s="113">
        <v>12</v>
      </c>
      <c r="S30" s="153" t="s">
        <v>208</v>
      </c>
      <c r="T30" s="179">
        <v>3.48</v>
      </c>
      <c r="U30" s="165">
        <f t="shared" si="32"/>
        <v>12184</v>
      </c>
      <c r="V30" s="106">
        <f t="shared" si="20"/>
        <v>9.2999999999999995E-4</v>
      </c>
      <c r="W30" s="68"/>
      <c r="X30" s="109">
        <f t="shared" si="4"/>
        <v>1.5662879999999997</v>
      </c>
      <c r="Y30" s="106">
        <v>8760</v>
      </c>
      <c r="Z30" s="121">
        <f t="shared" si="5"/>
        <v>0.35759999999999997</v>
      </c>
      <c r="AA30" s="109">
        <f t="shared" si="13"/>
        <v>0.04</v>
      </c>
      <c r="AB30" s="154" t="s">
        <v>211</v>
      </c>
      <c r="AC30" s="157">
        <f>H30</f>
        <v>120</v>
      </c>
      <c r="AD30" s="121">
        <v>0.04</v>
      </c>
      <c r="AE30" s="121">
        <f t="shared" si="14"/>
        <v>0.06</v>
      </c>
      <c r="AF30" s="158">
        <v>2.3E-2</v>
      </c>
      <c r="AG30" s="115">
        <f t="shared" si="6"/>
        <v>3.9419999999999997E-2</v>
      </c>
      <c r="AH30" s="106">
        <v>8760</v>
      </c>
      <c r="AI30" s="99">
        <f t="shared" si="7"/>
        <v>8.9999999999999993E-3</v>
      </c>
      <c r="AJ30" s="114">
        <f t="shared" si="8"/>
        <v>4.0000000000000001E-3</v>
      </c>
      <c r="AK30" s="154" t="s">
        <v>208</v>
      </c>
      <c r="AL30" s="52">
        <f>I30</f>
        <v>300</v>
      </c>
      <c r="AM30" s="175">
        <v>6.9999999999999999E-4</v>
      </c>
      <c r="AN30" s="173">
        <f t="shared" si="0"/>
        <v>6.9999999999999999E-4</v>
      </c>
      <c r="AO30" s="52">
        <v>7.4999999999999997E-3</v>
      </c>
      <c r="AP30" s="68"/>
      <c r="AQ30" s="115">
        <f t="shared" si="9"/>
        <v>4.9274999999999999E-2</v>
      </c>
      <c r="AR30" s="106">
        <v>8760</v>
      </c>
      <c r="AS30" s="176">
        <f t="shared" si="10"/>
        <v>1.125E-2</v>
      </c>
      <c r="AT30" s="118">
        <f t="shared" si="11"/>
        <v>2.5000000000000001E-2</v>
      </c>
      <c r="AU30" s="154" t="s">
        <v>208</v>
      </c>
      <c r="AV30" s="52">
        <f>J30</f>
        <v>60</v>
      </c>
      <c r="AW30" s="175">
        <v>7.6E-3</v>
      </c>
      <c r="AX30" s="173">
        <f t="shared" si="16"/>
        <v>7.6E-3</v>
      </c>
      <c r="AY30" s="52">
        <v>7.4999999999999997E-3</v>
      </c>
      <c r="AZ30" s="68"/>
    </row>
    <row r="31" spans="2:52" s="119" customFormat="1" x14ac:dyDescent="0.2">
      <c r="S31" s="186"/>
    </row>
    <row r="32" spans="2:52" s="119" customFormat="1" x14ac:dyDescent="0.2">
      <c r="S32" s="186"/>
    </row>
    <row r="33" spans="19:19" s="119" customFormat="1" x14ac:dyDescent="0.2">
      <c r="S33" s="186"/>
    </row>
    <row r="34" spans="19:19" s="119" customFormat="1" x14ac:dyDescent="0.2">
      <c r="S34" s="186"/>
    </row>
    <row r="35" spans="19:19" s="119" customFormat="1" x14ac:dyDescent="0.2">
      <c r="S35" s="186"/>
    </row>
    <row r="36" spans="19:19" s="119" customFormat="1" x14ac:dyDescent="0.2">
      <c r="S36" s="186"/>
    </row>
    <row r="37" spans="19:19" s="88" customFormat="1" x14ac:dyDescent="0.2">
      <c r="S37" s="105"/>
    </row>
    <row r="38" spans="19:19" s="88" customFormat="1" x14ac:dyDescent="0.2">
      <c r="S38" s="105"/>
    </row>
    <row r="39" spans="19:19" s="88" customFormat="1" x14ac:dyDescent="0.2">
      <c r="S39" s="105"/>
    </row>
    <row r="40" spans="19:19" s="88" customFormat="1" x14ac:dyDescent="0.2">
      <c r="S40" s="105"/>
    </row>
    <row r="41" spans="19:19" s="88" customFormat="1" x14ac:dyDescent="0.2">
      <c r="S41" s="105"/>
    </row>
    <row r="42" spans="19:19" s="88" customFormat="1" x14ac:dyDescent="0.2">
      <c r="S42" s="105"/>
    </row>
  </sheetData>
  <autoFilter ref="B3:AZ30" xr:uid="{B9D15D55-5E13-4BCF-AA66-6C66902EF48B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968D-7715-4A4B-B1E9-6F9A1DD94218}">
  <dimension ref="B1:BA36"/>
  <sheetViews>
    <sheetView zoomScale="70" zoomScaleNormal="70" workbookViewId="0">
      <pane xSplit="3" ySplit="3" topLeftCell="D4" activePane="bottomRight" state="frozen"/>
      <selection activeCell="AA2" sqref="AA2"/>
      <selection pane="topRight" activeCell="AA2" sqref="AA2"/>
      <selection pane="bottomLeft" activeCell="AA2" sqref="AA2"/>
      <selection pane="bottomRight"/>
    </sheetView>
  </sheetViews>
  <sheetFormatPr defaultColWidth="9.140625" defaultRowHeight="12.75" x14ac:dyDescent="0.2"/>
  <cols>
    <col min="1" max="1" width="4.7109375" style="46" customWidth="1"/>
    <col min="2" max="2" width="21" style="46" bestFit="1" customWidth="1"/>
    <col min="3" max="3" width="17.7109375" style="46" customWidth="1"/>
    <col min="4" max="4" width="12.140625" style="46" customWidth="1"/>
    <col min="5" max="5" width="12.85546875" style="46" customWidth="1"/>
    <col min="6" max="15" width="13.7109375" style="46" customWidth="1"/>
    <col min="16" max="16" width="15.85546875" style="46" customWidth="1"/>
    <col min="17" max="17" width="13.7109375" style="46" customWidth="1"/>
    <col min="18" max="18" width="13.7109375" style="88" customWidth="1"/>
    <col min="19" max="19" width="38.5703125" style="105" customWidth="1"/>
    <col min="20" max="23" width="13.7109375" style="46" customWidth="1"/>
    <col min="24" max="24" width="15" style="46" customWidth="1"/>
    <col min="25" max="25" width="14.5703125" style="46" customWidth="1"/>
    <col min="26" max="26" width="13.7109375" style="46" customWidth="1"/>
    <col min="27" max="27" width="24.7109375" style="46" customWidth="1"/>
    <col min="28" max="28" width="46.28515625" style="46" customWidth="1"/>
    <col min="29" max="30" width="13.7109375" style="46" customWidth="1"/>
    <col min="31" max="31" width="18.85546875" style="46" customWidth="1"/>
    <col min="32" max="33" width="13.7109375" style="46" customWidth="1"/>
    <col min="34" max="34" width="16" style="46" customWidth="1"/>
    <col min="35" max="35" width="14.85546875" style="46" customWidth="1"/>
    <col min="36" max="36" width="13.7109375" style="46" customWidth="1"/>
    <col min="37" max="37" width="17.42578125" style="46" customWidth="1"/>
    <col min="38" max="38" width="38.5703125" style="46" customWidth="1"/>
    <col min="39" max="43" width="13.7109375" style="46" customWidth="1"/>
    <col min="44" max="44" width="15" style="46" customWidth="1"/>
    <col min="45" max="45" width="14.7109375" style="46" customWidth="1"/>
    <col min="46" max="46" width="13.7109375" style="46" customWidth="1"/>
    <col min="47" max="47" width="14" style="46" customWidth="1"/>
    <col min="48" max="48" width="38.5703125" style="46" customWidth="1"/>
    <col min="49" max="53" width="13.7109375" style="46" customWidth="1"/>
    <col min="54" max="16384" width="9.140625" style="46"/>
  </cols>
  <sheetData>
    <row r="1" spans="2:53" s="1" customFormat="1" ht="15" customHeight="1" thickBot="1" x14ac:dyDescent="0.25">
      <c r="B1" s="70"/>
      <c r="C1" s="70"/>
      <c r="D1" s="70" t="s">
        <v>197</v>
      </c>
      <c r="E1" s="70"/>
      <c r="F1" s="70" t="s">
        <v>197</v>
      </c>
      <c r="G1" s="70" t="s">
        <v>197</v>
      </c>
      <c r="H1" s="70" t="s">
        <v>197</v>
      </c>
      <c r="I1" s="70" t="s">
        <v>197</v>
      </c>
      <c r="J1" s="70" t="s">
        <v>197</v>
      </c>
      <c r="K1" s="70"/>
      <c r="L1" s="70" t="s">
        <v>199</v>
      </c>
      <c r="M1" s="70" t="s">
        <v>197</v>
      </c>
      <c r="N1" s="70"/>
      <c r="O1" s="70"/>
      <c r="P1" s="71" t="s">
        <v>212</v>
      </c>
      <c r="Q1" s="71"/>
      <c r="R1" s="71"/>
      <c r="S1" s="102"/>
      <c r="T1" s="71"/>
      <c r="U1" s="71"/>
      <c r="V1" s="71"/>
      <c r="W1" s="71" t="s">
        <v>198</v>
      </c>
      <c r="X1" s="72" t="s">
        <v>212</v>
      </c>
      <c r="Y1" s="72"/>
      <c r="Z1" s="83"/>
      <c r="AA1" s="72"/>
      <c r="AB1" s="72"/>
      <c r="AC1" s="72"/>
      <c r="AD1" s="110"/>
      <c r="AE1" s="110" t="s">
        <v>220</v>
      </c>
      <c r="AF1" s="111"/>
      <c r="AG1" s="72" t="s">
        <v>198</v>
      </c>
      <c r="AH1" s="73" t="s">
        <v>212</v>
      </c>
      <c r="AI1" s="73"/>
      <c r="AJ1" s="73"/>
      <c r="AK1" s="73"/>
      <c r="AL1" s="73"/>
      <c r="AM1" s="73"/>
      <c r="AN1" s="73"/>
      <c r="AO1" s="73"/>
      <c r="AP1" s="73"/>
      <c r="AQ1" s="73" t="s">
        <v>198</v>
      </c>
      <c r="AR1" s="74" t="s">
        <v>212</v>
      </c>
      <c r="AS1" s="74"/>
      <c r="AT1" s="116"/>
      <c r="AU1" s="116"/>
      <c r="AV1" s="116"/>
      <c r="AW1" s="116"/>
      <c r="AX1" s="116"/>
      <c r="AY1" s="116"/>
      <c r="AZ1" s="116"/>
      <c r="BA1" s="116" t="s">
        <v>198</v>
      </c>
    </row>
    <row r="2" spans="2:53" s="1" customFormat="1" ht="27" thickBot="1" x14ac:dyDescent="0.3">
      <c r="B2" s="70"/>
      <c r="C2" s="70" t="s">
        <v>99</v>
      </c>
      <c r="D2" s="70" t="s">
        <v>99</v>
      </c>
      <c r="E2" s="70" t="s">
        <v>66</v>
      </c>
      <c r="F2" s="70" t="s">
        <v>99</v>
      </c>
      <c r="G2" s="70" t="s">
        <v>99</v>
      </c>
      <c r="H2" s="70" t="s">
        <v>99</v>
      </c>
      <c r="I2" s="70" t="s">
        <v>99</v>
      </c>
      <c r="J2" s="70" t="s">
        <v>99</v>
      </c>
      <c r="K2" s="70" t="s">
        <v>99</v>
      </c>
      <c r="L2" s="70" t="s">
        <v>99</v>
      </c>
      <c r="M2" s="70" t="s">
        <v>99</v>
      </c>
      <c r="N2" s="70" t="s">
        <v>99</v>
      </c>
      <c r="O2" s="70" t="s">
        <v>99</v>
      </c>
      <c r="P2" s="71" t="s">
        <v>202</v>
      </c>
      <c r="Q2" s="82" t="s">
        <v>102</v>
      </c>
      <c r="R2" s="82"/>
      <c r="S2" s="103"/>
      <c r="T2" s="82"/>
      <c r="U2" s="82"/>
      <c r="V2" s="82"/>
      <c r="W2" s="71" t="s">
        <v>99</v>
      </c>
      <c r="X2" s="72" t="s">
        <v>219</v>
      </c>
      <c r="Y2" s="72"/>
      <c r="Z2" s="107" t="s">
        <v>228</v>
      </c>
      <c r="AA2" s="83"/>
      <c r="AB2" s="83"/>
      <c r="AC2" s="83"/>
      <c r="AD2" s="83"/>
      <c r="AE2" s="184">
        <v>0.94</v>
      </c>
      <c r="AF2" s="83"/>
      <c r="AG2" s="72" t="s">
        <v>99</v>
      </c>
      <c r="AH2" s="73" t="s">
        <v>202</v>
      </c>
      <c r="AI2" s="73"/>
      <c r="AJ2" s="81" t="s">
        <v>191</v>
      </c>
      <c r="AK2" s="81"/>
      <c r="AL2" s="81"/>
      <c r="AM2" s="81"/>
      <c r="AN2" s="81"/>
      <c r="AO2" s="81"/>
      <c r="AP2" s="81"/>
      <c r="AQ2" s="73" t="s">
        <v>99</v>
      </c>
      <c r="AR2" s="74" t="s">
        <v>202</v>
      </c>
      <c r="AS2" s="74"/>
      <c r="AT2" s="117" t="s">
        <v>223</v>
      </c>
      <c r="AU2" s="117"/>
      <c r="AV2" s="117"/>
      <c r="AW2" s="117"/>
      <c r="AX2" s="117"/>
      <c r="AY2" s="117"/>
      <c r="AZ2" s="117"/>
      <c r="BA2" s="74" t="s">
        <v>99</v>
      </c>
    </row>
    <row r="3" spans="2:53" s="1" customFormat="1" ht="65.25" x14ac:dyDescent="0.2">
      <c r="B3" s="70" t="s">
        <v>11</v>
      </c>
      <c r="C3" s="75" t="s">
        <v>67</v>
      </c>
      <c r="D3" s="76" t="s">
        <v>68</v>
      </c>
      <c r="E3" s="76" t="s">
        <v>69</v>
      </c>
      <c r="F3" s="76" t="s">
        <v>107</v>
      </c>
      <c r="G3" s="76" t="s">
        <v>108</v>
      </c>
      <c r="H3" s="76" t="s">
        <v>109</v>
      </c>
      <c r="I3" s="76" t="s">
        <v>110</v>
      </c>
      <c r="J3" s="76" t="s">
        <v>111</v>
      </c>
      <c r="K3" s="76" t="s">
        <v>112</v>
      </c>
      <c r="L3" s="76" t="s">
        <v>113</v>
      </c>
      <c r="M3" s="76" t="s">
        <v>114</v>
      </c>
      <c r="N3" s="76" t="s">
        <v>116</v>
      </c>
      <c r="O3" s="76" t="s">
        <v>117</v>
      </c>
      <c r="P3" s="71" t="s">
        <v>201</v>
      </c>
      <c r="Q3" s="77" t="s">
        <v>222</v>
      </c>
      <c r="R3" s="77" t="s">
        <v>216</v>
      </c>
      <c r="S3" s="104" t="s">
        <v>209</v>
      </c>
      <c r="T3" s="77" t="s">
        <v>96</v>
      </c>
      <c r="U3" s="77" t="s">
        <v>100</v>
      </c>
      <c r="V3" s="77" t="s">
        <v>101</v>
      </c>
      <c r="W3" s="77" t="s">
        <v>16</v>
      </c>
      <c r="X3" s="72" t="s">
        <v>203</v>
      </c>
      <c r="Y3" s="78" t="s">
        <v>204</v>
      </c>
      <c r="Z3" s="78" t="s">
        <v>186</v>
      </c>
      <c r="AA3" s="78" t="s">
        <v>213</v>
      </c>
      <c r="AB3" s="78" t="s">
        <v>209</v>
      </c>
      <c r="AC3" s="78" t="s">
        <v>187</v>
      </c>
      <c r="AD3" s="78" t="s">
        <v>188</v>
      </c>
      <c r="AE3" s="78" t="s">
        <v>221</v>
      </c>
      <c r="AF3" s="78" t="s">
        <v>190</v>
      </c>
      <c r="AG3" s="78" t="s">
        <v>17</v>
      </c>
      <c r="AH3" s="73" t="s">
        <v>205</v>
      </c>
      <c r="AI3" s="79" t="s">
        <v>204</v>
      </c>
      <c r="AJ3" s="79" t="s">
        <v>192</v>
      </c>
      <c r="AK3" s="79" t="s">
        <v>214</v>
      </c>
      <c r="AL3" s="79" t="s">
        <v>209</v>
      </c>
      <c r="AM3" s="79" t="s">
        <v>193</v>
      </c>
      <c r="AN3" s="79" t="s">
        <v>97</v>
      </c>
      <c r="AO3" s="79" t="s">
        <v>194</v>
      </c>
      <c r="AP3" s="79" t="s">
        <v>195</v>
      </c>
      <c r="AQ3" s="79" t="s">
        <v>18</v>
      </c>
      <c r="AR3" s="74" t="s">
        <v>206</v>
      </c>
      <c r="AS3" s="80" t="s">
        <v>204</v>
      </c>
      <c r="AT3" s="80" t="s">
        <v>224</v>
      </c>
      <c r="AU3" s="80" t="s">
        <v>215</v>
      </c>
      <c r="AV3" s="80" t="s">
        <v>209</v>
      </c>
      <c r="AW3" s="80" t="s">
        <v>227</v>
      </c>
      <c r="AX3" s="80" t="s">
        <v>98</v>
      </c>
      <c r="AY3" s="80" t="s">
        <v>196</v>
      </c>
      <c r="AZ3" s="80" t="s">
        <v>195</v>
      </c>
      <c r="BA3" s="80" t="s">
        <v>19</v>
      </c>
    </row>
    <row r="4" spans="2:53" s="119" customFormat="1" x14ac:dyDescent="0.2">
      <c r="B4" s="161" t="s">
        <v>53</v>
      </c>
      <c r="C4" s="161" t="s">
        <v>70</v>
      </c>
      <c r="D4" s="162">
        <v>47</v>
      </c>
      <c r="E4" s="101" t="s">
        <v>71</v>
      </c>
      <c r="F4" s="106">
        <v>4</v>
      </c>
      <c r="G4" s="106">
        <v>1</v>
      </c>
      <c r="H4" s="106">
        <f>47*2</f>
        <v>94</v>
      </c>
      <c r="I4" s="106">
        <f>47*4</f>
        <v>188</v>
      </c>
      <c r="J4" s="106">
        <v>47</v>
      </c>
      <c r="K4" s="106">
        <v>124</v>
      </c>
      <c r="L4" s="100">
        <v>2978</v>
      </c>
      <c r="M4" s="163" t="s">
        <v>158</v>
      </c>
      <c r="N4" s="106" t="s">
        <v>149</v>
      </c>
      <c r="O4" s="106" t="s">
        <v>129</v>
      </c>
      <c r="P4" s="108">
        <f>Q4/2000</f>
        <v>1.6617239999999998E-2</v>
      </c>
      <c r="Q4" s="113">
        <f>R4*U4*V4</f>
        <v>33.234479999999998</v>
      </c>
      <c r="R4" s="113">
        <v>12</v>
      </c>
      <c r="S4" s="153" t="s">
        <v>208</v>
      </c>
      <c r="T4" s="164">
        <f>W4</f>
        <v>7.416666666666667</v>
      </c>
      <c r="U4" s="165">
        <f>L4</f>
        <v>2978</v>
      </c>
      <c r="V4" s="106">
        <f>0.0093/10</f>
        <v>9.2999999999999995E-4</v>
      </c>
      <c r="W4" s="108">
        <v>7.416666666666667</v>
      </c>
      <c r="X4" s="109">
        <f>Z4*Y4/2000</f>
        <v>0.83721615120000004</v>
      </c>
      <c r="Y4" s="106">
        <v>8760</v>
      </c>
      <c r="Z4" s="109">
        <f t="shared" ref="Z4:Z30" si="0">AC4*AA4*AD4+AC4*AE4*AF4</f>
        <v>0.19114523999999999</v>
      </c>
      <c r="AA4" s="108">
        <f>3.3/100</f>
        <v>3.3000000000000002E-2</v>
      </c>
      <c r="AB4" s="154" t="s">
        <v>217</v>
      </c>
      <c r="AC4" s="155">
        <f>H4</f>
        <v>94</v>
      </c>
      <c r="AD4" s="109">
        <v>0.04</v>
      </c>
      <c r="AE4" s="187">
        <f t="shared" ref="AE4:AE30" si="1">$AE$2*AA4</f>
        <v>3.1019999999999999E-2</v>
      </c>
      <c r="AF4" s="108">
        <v>2.3E-2</v>
      </c>
      <c r="AG4" s="185">
        <v>8.1111111111111108E-4</v>
      </c>
      <c r="AH4" s="115">
        <f>AJ4*AI4/2000</f>
        <v>2.4703199999999998E-2</v>
      </c>
      <c r="AI4" s="106">
        <v>8760</v>
      </c>
      <c r="AJ4" s="99">
        <f>AM4*AK4*AP4</f>
        <v>5.64E-3</v>
      </c>
      <c r="AK4" s="114">
        <f>0.4/100</f>
        <v>4.0000000000000001E-3</v>
      </c>
      <c r="AL4" s="154" t="s">
        <v>208</v>
      </c>
      <c r="AM4" s="101">
        <f>I4</f>
        <v>188</v>
      </c>
      <c r="AN4" s="87">
        <f>AQ4</f>
        <v>0</v>
      </c>
      <c r="AO4" s="166">
        <f t="shared" ref="AO4:AO30" si="2">AN4</f>
        <v>0</v>
      </c>
      <c r="AP4" s="101">
        <v>7.4999999999999997E-3</v>
      </c>
      <c r="AQ4" s="156">
        <v>0</v>
      </c>
      <c r="AR4" s="115">
        <f>AT4*AS4/2000</f>
        <v>3.8598749999999994E-2</v>
      </c>
      <c r="AS4" s="106">
        <v>8760</v>
      </c>
      <c r="AT4" s="167">
        <f>AW4*AU4*AZ4</f>
        <v>8.8124999999999992E-3</v>
      </c>
      <c r="AU4" s="118">
        <f>2.5/100</f>
        <v>2.5000000000000001E-2</v>
      </c>
      <c r="AV4" s="154" t="s">
        <v>208</v>
      </c>
      <c r="AW4" s="101">
        <f>J4</f>
        <v>47</v>
      </c>
      <c r="AX4" s="168">
        <f>BA4</f>
        <v>1.8888888888888888E-4</v>
      </c>
      <c r="AY4" s="166">
        <f>AX4</f>
        <v>1.8888888888888888E-4</v>
      </c>
      <c r="AZ4" s="101">
        <v>7.4999999999999997E-3</v>
      </c>
      <c r="BA4" s="156">
        <f>'Enc1 Part VI BL Q89'!J18</f>
        <v>1.8888888888888888E-4</v>
      </c>
    </row>
    <row r="5" spans="2:53" s="119" customFormat="1" x14ac:dyDescent="0.2">
      <c r="B5" s="163" t="s">
        <v>53</v>
      </c>
      <c r="C5" s="87" t="s">
        <v>72</v>
      </c>
      <c r="D5" s="169">
        <v>47</v>
      </c>
      <c r="E5" s="52" t="s">
        <v>71</v>
      </c>
      <c r="F5" s="98">
        <v>4</v>
      </c>
      <c r="G5" s="98">
        <v>1</v>
      </c>
      <c r="H5" s="98">
        <v>94</v>
      </c>
      <c r="I5" s="98">
        <v>188</v>
      </c>
      <c r="J5" s="98">
        <v>47</v>
      </c>
      <c r="K5" s="98"/>
      <c r="L5" s="170"/>
      <c r="M5" s="98" t="s">
        <v>4</v>
      </c>
      <c r="N5" s="106" t="s">
        <v>149</v>
      </c>
      <c r="O5" s="98" t="s">
        <v>129</v>
      </c>
      <c r="P5" s="108">
        <f t="shared" ref="P5:P30" si="3">Q5/2000</f>
        <v>1.6617239999999998E-2</v>
      </c>
      <c r="Q5" s="113">
        <f t="shared" ref="Q5:Q30" si="4">R5*U5*V5</f>
        <v>33.234479999999998</v>
      </c>
      <c r="R5" s="113">
        <v>12</v>
      </c>
      <c r="S5" s="153" t="s">
        <v>208</v>
      </c>
      <c r="T5" s="171">
        <f>T4</f>
        <v>7.416666666666667</v>
      </c>
      <c r="U5" s="86">
        <f>U4</f>
        <v>2978</v>
      </c>
      <c r="V5" s="106">
        <f t="shared" ref="V5:V7" si="5">0.0093/10</f>
        <v>9.2999999999999995E-4</v>
      </c>
      <c r="W5" s="52"/>
      <c r="X5" s="109">
        <f t="shared" ref="X5:X30" si="6">Z5*Y5/2000</f>
        <v>0.83721615120000004</v>
      </c>
      <c r="Y5" s="106">
        <v>8760</v>
      </c>
      <c r="Z5" s="121">
        <f t="shared" si="0"/>
        <v>0.19114523999999999</v>
      </c>
      <c r="AA5" s="108">
        <f>3.3/100</f>
        <v>3.3000000000000002E-2</v>
      </c>
      <c r="AB5" s="154" t="s">
        <v>217</v>
      </c>
      <c r="AC5" s="157">
        <f>H5</f>
        <v>94</v>
      </c>
      <c r="AD5" s="109">
        <v>0.04</v>
      </c>
      <c r="AE5" s="187">
        <f t="shared" si="1"/>
        <v>3.1019999999999999E-2</v>
      </c>
      <c r="AF5" s="108">
        <v>2.3E-2</v>
      </c>
      <c r="AG5" s="52"/>
      <c r="AH5" s="115">
        <f t="shared" ref="AH5:AH30" si="7">AJ5*AI5/2000</f>
        <v>2.4703199999999998E-2</v>
      </c>
      <c r="AI5" s="106">
        <v>8760</v>
      </c>
      <c r="AJ5" s="99">
        <f t="shared" ref="AJ5:AJ30" si="8">AM5*AK5*AP5</f>
        <v>5.64E-3</v>
      </c>
      <c r="AK5" s="114">
        <f t="shared" ref="AK5:AK30" si="9">0.4/100</f>
        <v>4.0000000000000001E-3</v>
      </c>
      <c r="AL5" s="154" t="s">
        <v>208</v>
      </c>
      <c r="AM5" s="52">
        <f>I5</f>
        <v>188</v>
      </c>
      <c r="AN5" s="87">
        <f>AN4</f>
        <v>0</v>
      </c>
      <c r="AO5" s="166">
        <f t="shared" si="2"/>
        <v>0</v>
      </c>
      <c r="AP5" s="101">
        <v>7.4999999999999997E-3</v>
      </c>
      <c r="AQ5" s="52"/>
      <c r="AR5" s="115">
        <f t="shared" ref="AR5:AR30" si="10">AT5*AS5/2000</f>
        <v>3.8598749999999994E-2</v>
      </c>
      <c r="AS5" s="106">
        <v>8760</v>
      </c>
      <c r="AT5" s="167">
        <f t="shared" ref="AT5:AT30" si="11">AW5*AU5*AZ5</f>
        <v>8.8124999999999992E-3</v>
      </c>
      <c r="AU5" s="118">
        <f t="shared" ref="AU5:AU30" si="12">2.5/100</f>
        <v>2.5000000000000001E-2</v>
      </c>
      <c r="AV5" s="154" t="s">
        <v>208</v>
      </c>
      <c r="AW5" s="52">
        <f>J5</f>
        <v>47</v>
      </c>
      <c r="AX5" s="87">
        <f>AX4</f>
        <v>1.8888888888888888E-4</v>
      </c>
      <c r="AY5" s="166">
        <f>AX5</f>
        <v>1.8888888888888888E-4</v>
      </c>
      <c r="AZ5" s="101">
        <v>7.4999999999999997E-3</v>
      </c>
      <c r="BA5" s="52"/>
    </row>
    <row r="6" spans="2:53" s="119" customFormat="1" x14ac:dyDescent="0.2">
      <c r="B6" s="163" t="s">
        <v>53</v>
      </c>
      <c r="C6" s="87" t="s">
        <v>73</v>
      </c>
      <c r="D6" s="169">
        <v>51</v>
      </c>
      <c r="E6" s="52" t="s">
        <v>71</v>
      </c>
      <c r="F6" s="98">
        <v>4</v>
      </c>
      <c r="G6" s="98">
        <v>1</v>
      </c>
      <c r="H6" s="98">
        <v>102</v>
      </c>
      <c r="I6" s="98">
        <f>51*4</f>
        <v>204</v>
      </c>
      <c r="J6" s="98">
        <v>51</v>
      </c>
      <c r="K6" s="157"/>
      <c r="L6" s="170"/>
      <c r="M6" s="98" t="s">
        <v>4</v>
      </c>
      <c r="N6" s="106" t="s">
        <v>149</v>
      </c>
      <c r="O6" s="98" t="s">
        <v>129</v>
      </c>
      <c r="P6" s="108">
        <f t="shared" si="3"/>
        <v>1.6617239999999998E-2</v>
      </c>
      <c r="Q6" s="113">
        <f t="shared" si="4"/>
        <v>33.234479999999998</v>
      </c>
      <c r="R6" s="113">
        <v>12</v>
      </c>
      <c r="S6" s="153" t="s">
        <v>208</v>
      </c>
      <c r="T6" s="171">
        <f>T4</f>
        <v>7.416666666666667</v>
      </c>
      <c r="U6" s="86">
        <f>U4</f>
        <v>2978</v>
      </c>
      <c r="V6" s="106">
        <f t="shared" si="5"/>
        <v>9.2999999999999995E-4</v>
      </c>
      <c r="W6" s="52"/>
      <c r="X6" s="109">
        <f t="shared" si="6"/>
        <v>0.90846858959999999</v>
      </c>
      <c r="Y6" s="106">
        <v>8760</v>
      </c>
      <c r="Z6" s="121">
        <f t="shared" si="0"/>
        <v>0.20741292</v>
      </c>
      <c r="AA6" s="108">
        <f>3.3/100</f>
        <v>3.3000000000000002E-2</v>
      </c>
      <c r="AB6" s="154" t="s">
        <v>217</v>
      </c>
      <c r="AC6" s="157">
        <f>H6</f>
        <v>102</v>
      </c>
      <c r="AD6" s="109">
        <v>0.04</v>
      </c>
      <c r="AE6" s="187">
        <f t="shared" si="1"/>
        <v>3.1019999999999999E-2</v>
      </c>
      <c r="AF6" s="108">
        <v>2.3E-2</v>
      </c>
      <c r="AG6" s="52"/>
      <c r="AH6" s="115">
        <f t="shared" si="7"/>
        <v>2.6805600000000002E-2</v>
      </c>
      <c r="AI6" s="106">
        <v>8760</v>
      </c>
      <c r="AJ6" s="99">
        <f t="shared" si="8"/>
        <v>6.1200000000000004E-3</v>
      </c>
      <c r="AK6" s="114">
        <f t="shared" si="9"/>
        <v>4.0000000000000001E-3</v>
      </c>
      <c r="AL6" s="154" t="s">
        <v>208</v>
      </c>
      <c r="AM6" s="52">
        <f>I6</f>
        <v>204</v>
      </c>
      <c r="AN6" s="87">
        <f>AN4</f>
        <v>0</v>
      </c>
      <c r="AO6" s="166">
        <f t="shared" si="2"/>
        <v>0</v>
      </c>
      <c r="AP6" s="101">
        <v>7.4999999999999997E-3</v>
      </c>
      <c r="AQ6" s="52"/>
      <c r="AR6" s="115">
        <f t="shared" si="10"/>
        <v>4.1883749999999997E-2</v>
      </c>
      <c r="AS6" s="106">
        <v>8760</v>
      </c>
      <c r="AT6" s="167">
        <f t="shared" si="11"/>
        <v>9.5624999999999998E-3</v>
      </c>
      <c r="AU6" s="118">
        <f t="shared" si="12"/>
        <v>2.5000000000000001E-2</v>
      </c>
      <c r="AV6" s="154" t="s">
        <v>208</v>
      </c>
      <c r="AW6" s="52">
        <f>J6</f>
        <v>51</v>
      </c>
      <c r="AX6" s="87">
        <f>AX4</f>
        <v>1.8888888888888888E-4</v>
      </c>
      <c r="AY6" s="166">
        <f>AX6</f>
        <v>1.8888888888888888E-4</v>
      </c>
      <c r="AZ6" s="101">
        <v>7.4999999999999997E-3</v>
      </c>
      <c r="BA6" s="52"/>
    </row>
    <row r="7" spans="2:53" s="119" customFormat="1" x14ac:dyDescent="0.2">
      <c r="B7" s="163" t="s">
        <v>53</v>
      </c>
      <c r="C7" s="163" t="s">
        <v>75</v>
      </c>
      <c r="D7" s="98">
        <v>79</v>
      </c>
      <c r="E7" s="52" t="s">
        <v>71</v>
      </c>
      <c r="F7" s="98">
        <v>4</v>
      </c>
      <c r="G7" s="98">
        <v>2</v>
      </c>
      <c r="H7" s="98">
        <f>79*2</f>
        <v>158</v>
      </c>
      <c r="I7" s="98">
        <f>79*4</f>
        <v>316</v>
      </c>
      <c r="J7" s="98">
        <v>158</v>
      </c>
      <c r="K7" s="98">
        <v>248</v>
      </c>
      <c r="L7" s="170">
        <v>19623</v>
      </c>
      <c r="M7" s="163" t="s">
        <v>160</v>
      </c>
      <c r="N7" s="106" t="s">
        <v>149</v>
      </c>
      <c r="O7" s="98" t="s">
        <v>129</v>
      </c>
      <c r="P7" s="108">
        <f t="shared" si="3"/>
        <v>0.10949633999999998</v>
      </c>
      <c r="Q7" s="113">
        <f t="shared" si="4"/>
        <v>218.99267999999998</v>
      </c>
      <c r="R7" s="113">
        <v>12</v>
      </c>
      <c r="S7" s="153" t="s">
        <v>208</v>
      </c>
      <c r="T7" s="171">
        <f>W7</f>
        <v>4.100833333333334</v>
      </c>
      <c r="U7" s="165">
        <f t="shared" ref="U7:U24" si="13">L7</f>
        <v>19623</v>
      </c>
      <c r="V7" s="106">
        <f t="shared" si="5"/>
        <v>9.2999999999999995E-4</v>
      </c>
      <c r="W7" s="158">
        <v>4.100833333333334</v>
      </c>
      <c r="X7" s="112">
        <f t="shared" si="6"/>
        <v>1.7057401919999999</v>
      </c>
      <c r="Y7" s="106">
        <v>8760</v>
      </c>
      <c r="Z7" s="121">
        <f t="shared" si="0"/>
        <v>0.38943840000000002</v>
      </c>
      <c r="AA7" s="109">
        <f t="shared" ref="AA7:AA30" si="14">4/100</f>
        <v>0.04</v>
      </c>
      <c r="AB7" s="154" t="s">
        <v>210</v>
      </c>
      <c r="AC7" s="157">
        <f>H7</f>
        <v>158</v>
      </c>
      <c r="AD7" s="121">
        <v>0.04</v>
      </c>
      <c r="AE7" s="187">
        <f t="shared" si="1"/>
        <v>3.7600000000000001E-2</v>
      </c>
      <c r="AF7" s="158">
        <v>2.3E-2</v>
      </c>
      <c r="AG7" s="159">
        <v>1.5191666666666668E-2</v>
      </c>
      <c r="AH7" s="115">
        <f t="shared" si="7"/>
        <v>4.1522400000000008E-2</v>
      </c>
      <c r="AI7" s="106">
        <v>8760</v>
      </c>
      <c r="AJ7" s="99">
        <f t="shared" si="8"/>
        <v>9.4800000000000006E-3</v>
      </c>
      <c r="AK7" s="114">
        <f t="shared" si="9"/>
        <v>4.0000000000000001E-3</v>
      </c>
      <c r="AL7" s="154" t="s">
        <v>208</v>
      </c>
      <c r="AM7" s="52">
        <f>I7</f>
        <v>316</v>
      </c>
      <c r="AN7" s="172">
        <f t="shared" ref="AN7:AN14" si="15">AQ7</f>
        <v>9.1666666666666695E-5</v>
      </c>
      <c r="AO7" s="173">
        <f t="shared" si="2"/>
        <v>9.1666666666666695E-5</v>
      </c>
      <c r="AP7" s="52">
        <v>7.4999999999999997E-3</v>
      </c>
      <c r="AQ7" s="159">
        <v>9.1666666666666695E-5</v>
      </c>
      <c r="AR7" s="115">
        <f t="shared" si="10"/>
        <v>0.1297575</v>
      </c>
      <c r="AS7" s="106">
        <v>8760</v>
      </c>
      <c r="AT7" s="174">
        <f t="shared" si="11"/>
        <v>2.9624999999999999E-2</v>
      </c>
      <c r="AU7" s="118">
        <f t="shared" si="12"/>
        <v>2.5000000000000001E-2</v>
      </c>
      <c r="AV7" s="154" t="s">
        <v>208</v>
      </c>
      <c r="AW7" s="52">
        <f>J7</f>
        <v>158</v>
      </c>
      <c r="AX7" s="175">
        <f>BA7</f>
        <v>9.300000000000001E-3</v>
      </c>
      <c r="AY7" s="173">
        <f t="shared" ref="AY7:AY30" si="16">AX7</f>
        <v>9.300000000000001E-3</v>
      </c>
      <c r="AZ7" s="52">
        <v>7.4999999999999997E-3</v>
      </c>
      <c r="BA7" s="159">
        <f>'Enc1 Part VI BL Q89'!J31</f>
        <v>9.300000000000001E-3</v>
      </c>
    </row>
    <row r="8" spans="2:53" s="119" customFormat="1" x14ac:dyDescent="0.2">
      <c r="B8" s="163" t="s">
        <v>2</v>
      </c>
      <c r="C8" s="163" t="s">
        <v>76</v>
      </c>
      <c r="D8" s="98">
        <v>76</v>
      </c>
      <c r="E8" s="52" t="s">
        <v>71</v>
      </c>
      <c r="F8" s="98">
        <v>3</v>
      </c>
      <c r="G8" s="98">
        <v>2</v>
      </c>
      <c r="H8" s="98">
        <v>152</v>
      </c>
      <c r="I8" s="98">
        <v>228</v>
      </c>
      <c r="J8" s="98">
        <v>152</v>
      </c>
      <c r="K8" s="98">
        <v>432</v>
      </c>
      <c r="L8" s="170">
        <v>32864</v>
      </c>
      <c r="M8" s="163" t="s">
        <v>121</v>
      </c>
      <c r="N8" s="106" t="s">
        <v>149</v>
      </c>
      <c r="O8" s="98" t="s">
        <v>129</v>
      </c>
      <c r="P8" s="108">
        <f t="shared" si="3"/>
        <v>0.18338111999999998</v>
      </c>
      <c r="Q8" s="113">
        <f t="shared" si="4"/>
        <v>366.76223999999996</v>
      </c>
      <c r="R8" s="113">
        <v>12</v>
      </c>
      <c r="S8" s="153" t="s">
        <v>207</v>
      </c>
      <c r="T8" s="171">
        <f t="shared" ref="T8:T14" si="17">W8</f>
        <v>5.8414418181441219</v>
      </c>
      <c r="U8" s="165">
        <f t="shared" si="13"/>
        <v>32864</v>
      </c>
      <c r="V8" s="106">
        <f>0.0093/10</f>
        <v>9.2999999999999995E-4</v>
      </c>
      <c r="W8" s="158">
        <v>5.8414418181441219</v>
      </c>
      <c r="X8" s="112">
        <f t="shared" si="6"/>
        <v>1.3537963296</v>
      </c>
      <c r="Y8" s="106">
        <v>8760</v>
      </c>
      <c r="Z8" s="121">
        <f t="shared" si="0"/>
        <v>0.30908592000000001</v>
      </c>
      <c r="AA8" s="108">
        <f>3.3/100</f>
        <v>3.3000000000000002E-2</v>
      </c>
      <c r="AB8" s="154" t="s">
        <v>218</v>
      </c>
      <c r="AC8" s="157">
        <f>H8</f>
        <v>152</v>
      </c>
      <c r="AD8" s="121">
        <v>0.04</v>
      </c>
      <c r="AE8" s="187">
        <f t="shared" si="1"/>
        <v>3.1019999999999999E-2</v>
      </c>
      <c r="AF8" s="158">
        <v>2.3E-2</v>
      </c>
      <c r="AG8" s="159">
        <v>1.7124684878942868E-2</v>
      </c>
      <c r="AH8" s="115">
        <f t="shared" si="7"/>
        <v>2.9959199999999998E-2</v>
      </c>
      <c r="AI8" s="106">
        <v>8760</v>
      </c>
      <c r="AJ8" s="99">
        <f t="shared" si="8"/>
        <v>6.8399999999999997E-3</v>
      </c>
      <c r="AK8" s="114">
        <f t="shared" si="9"/>
        <v>4.0000000000000001E-3</v>
      </c>
      <c r="AL8" s="154" t="s">
        <v>207</v>
      </c>
      <c r="AM8" s="52">
        <f>I8</f>
        <v>228</v>
      </c>
      <c r="AN8" s="172">
        <f t="shared" si="15"/>
        <v>5.3055555555555545E-5</v>
      </c>
      <c r="AO8" s="99">
        <f t="shared" si="2"/>
        <v>5.3055555555555545E-5</v>
      </c>
      <c r="AP8" s="52">
        <v>7.4999999999999997E-3</v>
      </c>
      <c r="AQ8" s="160">
        <v>5.3055555555555545E-5</v>
      </c>
      <c r="AR8" s="115">
        <f t="shared" si="10"/>
        <v>0.12483</v>
      </c>
      <c r="AS8" s="106">
        <v>8760</v>
      </c>
      <c r="AT8" s="176">
        <f t="shared" si="11"/>
        <v>2.8500000000000001E-2</v>
      </c>
      <c r="AU8" s="118">
        <f t="shared" si="12"/>
        <v>2.5000000000000001E-2</v>
      </c>
      <c r="AV8" s="154" t="s">
        <v>207</v>
      </c>
      <c r="AW8" s="52">
        <f>J8</f>
        <v>152</v>
      </c>
      <c r="AX8" s="87">
        <f t="shared" ref="AX8:AX14" si="18">BA8</f>
        <v>1.3906301824212272E-4</v>
      </c>
      <c r="AY8" s="173">
        <f t="shared" si="16"/>
        <v>1.3906301824212272E-4</v>
      </c>
      <c r="AZ8" s="52">
        <v>7.4999999999999997E-3</v>
      </c>
      <c r="BA8" s="159">
        <f>'Enc1 Part VI BL Q89'!J44</f>
        <v>1.3906301824212272E-4</v>
      </c>
    </row>
    <row r="9" spans="2:53" s="119" customFormat="1" x14ac:dyDescent="0.2">
      <c r="B9" s="163" t="s">
        <v>38</v>
      </c>
      <c r="C9" s="163" t="s">
        <v>77</v>
      </c>
      <c r="D9" s="98">
        <v>82</v>
      </c>
      <c r="E9" s="52" t="s">
        <v>71</v>
      </c>
      <c r="F9" s="98">
        <v>4</v>
      </c>
      <c r="G9" s="98">
        <v>1</v>
      </c>
      <c r="H9" s="98">
        <v>164</v>
      </c>
      <c r="I9" s="98">
        <v>328</v>
      </c>
      <c r="J9" s="98">
        <v>82</v>
      </c>
      <c r="K9" s="98">
        <v>467.4</v>
      </c>
      <c r="L9" s="170">
        <v>38330</v>
      </c>
      <c r="M9" s="163" t="s">
        <v>127</v>
      </c>
      <c r="N9" s="106" t="s">
        <v>149</v>
      </c>
      <c r="O9" s="98" t="s">
        <v>129</v>
      </c>
      <c r="P9" s="109">
        <f t="shared" si="3"/>
        <v>0.21388139999999997</v>
      </c>
      <c r="Q9" s="113">
        <f t="shared" si="4"/>
        <v>427.76279999999997</v>
      </c>
      <c r="R9" s="113">
        <v>12</v>
      </c>
      <c r="S9" s="153" t="s">
        <v>208</v>
      </c>
      <c r="T9" s="171">
        <f t="shared" si="17"/>
        <v>9.0208333333333339</v>
      </c>
      <c r="U9" s="165">
        <f t="shared" si="13"/>
        <v>38330</v>
      </c>
      <c r="V9" s="106">
        <f t="shared" ref="V9:V12" si="19">0.0093/10</f>
        <v>9.2999999999999995E-4</v>
      </c>
      <c r="W9" s="158">
        <v>9.0208333333333339</v>
      </c>
      <c r="X9" s="112">
        <f t="shared" si="6"/>
        <v>1.770515136</v>
      </c>
      <c r="Y9" s="106">
        <v>8760</v>
      </c>
      <c r="Z9" s="121">
        <f t="shared" si="0"/>
        <v>0.40422720000000001</v>
      </c>
      <c r="AA9" s="109">
        <f t="shared" si="14"/>
        <v>0.04</v>
      </c>
      <c r="AB9" s="154" t="s">
        <v>210</v>
      </c>
      <c r="AC9" s="157">
        <f>H9</f>
        <v>164</v>
      </c>
      <c r="AD9" s="121">
        <v>0.04</v>
      </c>
      <c r="AE9" s="187">
        <f t="shared" si="1"/>
        <v>3.7600000000000001E-2</v>
      </c>
      <c r="AF9" s="158">
        <v>2.3E-2</v>
      </c>
      <c r="AG9" s="159">
        <v>2.1066666666666668E-2</v>
      </c>
      <c r="AH9" s="115">
        <f t="shared" si="7"/>
        <v>4.3099199999999997E-2</v>
      </c>
      <c r="AI9" s="106">
        <v>8760</v>
      </c>
      <c r="AJ9" s="99">
        <f t="shared" si="8"/>
        <v>9.8399999999999998E-3</v>
      </c>
      <c r="AK9" s="114">
        <f t="shared" si="9"/>
        <v>4.0000000000000001E-3</v>
      </c>
      <c r="AL9" s="154" t="s">
        <v>208</v>
      </c>
      <c r="AM9" s="52">
        <f>I9</f>
        <v>328</v>
      </c>
      <c r="AN9" s="87">
        <f t="shared" si="15"/>
        <v>6.0000000000000006E-4</v>
      </c>
      <c r="AO9" s="173">
        <f t="shared" si="2"/>
        <v>6.0000000000000006E-4</v>
      </c>
      <c r="AP9" s="52">
        <v>7.4999999999999997E-3</v>
      </c>
      <c r="AQ9" s="159">
        <v>6.0000000000000006E-4</v>
      </c>
      <c r="AR9" s="115">
        <f t="shared" si="10"/>
        <v>6.73425E-2</v>
      </c>
      <c r="AS9" s="106">
        <v>8760</v>
      </c>
      <c r="AT9" s="176">
        <f t="shared" si="11"/>
        <v>1.5375000000000002E-2</v>
      </c>
      <c r="AU9" s="118">
        <f t="shared" si="12"/>
        <v>2.5000000000000001E-2</v>
      </c>
      <c r="AV9" s="154" t="s">
        <v>208</v>
      </c>
      <c r="AW9" s="52">
        <f>J9</f>
        <v>82</v>
      </c>
      <c r="AX9" s="175">
        <f t="shared" si="18"/>
        <v>5.3999999999999994E-3</v>
      </c>
      <c r="AY9" s="173">
        <f t="shared" si="16"/>
        <v>5.3999999999999994E-3</v>
      </c>
      <c r="AZ9" s="52">
        <v>7.4999999999999997E-3</v>
      </c>
      <c r="BA9" s="159">
        <f>'Enc1 Part VI BL Q89'!J57</f>
        <v>5.3999999999999994E-3</v>
      </c>
    </row>
    <row r="10" spans="2:53" s="119" customFormat="1" x14ac:dyDescent="0.2">
      <c r="B10" s="163" t="s">
        <v>38</v>
      </c>
      <c r="C10" s="163" t="s">
        <v>78</v>
      </c>
      <c r="D10" s="98">
        <v>82</v>
      </c>
      <c r="E10" s="52" t="s">
        <v>71</v>
      </c>
      <c r="F10" s="98">
        <v>4</v>
      </c>
      <c r="G10" s="98">
        <v>1</v>
      </c>
      <c r="H10" s="98">
        <v>164</v>
      </c>
      <c r="I10" s="98">
        <v>328</v>
      </c>
      <c r="J10" s="98">
        <v>82</v>
      </c>
      <c r="K10" s="98">
        <v>468.6</v>
      </c>
      <c r="L10" s="170">
        <v>38426</v>
      </c>
      <c r="M10" s="163" t="s">
        <v>127</v>
      </c>
      <c r="N10" s="106" t="s">
        <v>149</v>
      </c>
      <c r="O10" s="98" t="s">
        <v>129</v>
      </c>
      <c r="P10" s="109">
        <f t="shared" si="3"/>
        <v>0.21441708000000001</v>
      </c>
      <c r="Q10" s="113">
        <f t="shared" si="4"/>
        <v>428.83416</v>
      </c>
      <c r="R10" s="113">
        <v>12</v>
      </c>
      <c r="S10" s="153" t="s">
        <v>208</v>
      </c>
      <c r="T10" s="171">
        <f t="shared" si="17"/>
        <v>9.6758333333333351</v>
      </c>
      <c r="U10" s="165">
        <f t="shared" si="13"/>
        <v>38426</v>
      </c>
      <c r="V10" s="106">
        <f t="shared" si="19"/>
        <v>9.2999999999999995E-4</v>
      </c>
      <c r="W10" s="158">
        <v>9.6758333333333351</v>
      </c>
      <c r="X10" s="112">
        <f t="shared" si="6"/>
        <v>1.770515136</v>
      </c>
      <c r="Y10" s="106">
        <v>8760</v>
      </c>
      <c r="Z10" s="121">
        <f t="shared" si="0"/>
        <v>0.40422720000000001</v>
      </c>
      <c r="AA10" s="109">
        <f t="shared" si="14"/>
        <v>0.04</v>
      </c>
      <c r="AB10" s="154" t="s">
        <v>210</v>
      </c>
      <c r="AC10" s="157">
        <f>H10</f>
        <v>164</v>
      </c>
      <c r="AD10" s="121">
        <v>0.04</v>
      </c>
      <c r="AE10" s="187">
        <f t="shared" si="1"/>
        <v>3.7600000000000001E-2</v>
      </c>
      <c r="AF10" s="158">
        <v>2.3E-2</v>
      </c>
      <c r="AG10" s="159">
        <v>2.4433333333333335E-2</v>
      </c>
      <c r="AH10" s="115">
        <f t="shared" si="7"/>
        <v>4.3099199999999997E-2</v>
      </c>
      <c r="AI10" s="106">
        <v>8760</v>
      </c>
      <c r="AJ10" s="99">
        <f t="shared" si="8"/>
        <v>9.8399999999999998E-3</v>
      </c>
      <c r="AK10" s="114">
        <f t="shared" si="9"/>
        <v>4.0000000000000001E-3</v>
      </c>
      <c r="AL10" s="154" t="s">
        <v>208</v>
      </c>
      <c r="AM10" s="52">
        <f>I10</f>
        <v>328</v>
      </c>
      <c r="AN10" s="175">
        <f t="shared" si="15"/>
        <v>1.3916666666666667E-3</v>
      </c>
      <c r="AO10" s="173">
        <f t="shared" si="2"/>
        <v>1.3916666666666667E-3</v>
      </c>
      <c r="AP10" s="52">
        <v>7.4999999999999997E-3</v>
      </c>
      <c r="AQ10" s="159">
        <v>1.3916666666666667E-3</v>
      </c>
      <c r="AR10" s="115">
        <f t="shared" si="10"/>
        <v>6.73425E-2</v>
      </c>
      <c r="AS10" s="106">
        <v>8760</v>
      </c>
      <c r="AT10" s="176">
        <f t="shared" si="11"/>
        <v>1.5375000000000002E-2</v>
      </c>
      <c r="AU10" s="118">
        <f t="shared" si="12"/>
        <v>2.5000000000000001E-2</v>
      </c>
      <c r="AV10" s="154" t="s">
        <v>208</v>
      </c>
      <c r="AW10" s="52">
        <f>J10</f>
        <v>82</v>
      </c>
      <c r="AX10" s="175">
        <f t="shared" si="18"/>
        <v>7.7250000000000001E-3</v>
      </c>
      <c r="AY10" s="173">
        <f t="shared" si="16"/>
        <v>7.7250000000000001E-3</v>
      </c>
      <c r="AZ10" s="52">
        <v>7.4999999999999997E-3</v>
      </c>
      <c r="BA10" s="159">
        <f>'Enc1 Part VI BL Q89'!J70</f>
        <v>7.7250000000000001E-3</v>
      </c>
    </row>
    <row r="11" spans="2:53" s="119" customFormat="1" x14ac:dyDescent="0.2">
      <c r="B11" s="163" t="s">
        <v>41</v>
      </c>
      <c r="C11" s="163" t="s">
        <v>42</v>
      </c>
      <c r="D11" s="98">
        <v>37</v>
      </c>
      <c r="E11" s="52" t="s">
        <v>71</v>
      </c>
      <c r="F11" s="98">
        <v>4</v>
      </c>
      <c r="G11" s="98">
        <v>2</v>
      </c>
      <c r="H11" s="98">
        <v>74</v>
      </c>
      <c r="I11" s="98">
        <v>148</v>
      </c>
      <c r="J11" s="98">
        <v>74</v>
      </c>
      <c r="K11" s="170">
        <v>471.96428571428572</v>
      </c>
      <c r="L11" s="170">
        <f>17463</f>
        <v>17463</v>
      </c>
      <c r="M11" s="163" t="s">
        <v>138</v>
      </c>
      <c r="N11" s="106" t="s">
        <v>149</v>
      </c>
      <c r="O11" s="98" t="s">
        <v>129</v>
      </c>
      <c r="P11" s="108">
        <f t="shared" si="3"/>
        <v>9.7443539999999995E-2</v>
      </c>
      <c r="Q11" s="177">
        <f t="shared" si="4"/>
        <v>194.88708</v>
      </c>
      <c r="R11" s="113">
        <v>12</v>
      </c>
      <c r="S11" s="153" t="s">
        <v>208</v>
      </c>
      <c r="T11" s="171">
        <f t="shared" si="17"/>
        <v>6.3308333333333335</v>
      </c>
      <c r="U11" s="165">
        <f t="shared" si="13"/>
        <v>17463</v>
      </c>
      <c r="V11" s="106">
        <f t="shared" si="19"/>
        <v>9.2999999999999995E-4</v>
      </c>
      <c r="W11" s="158">
        <v>6.3308333333333335</v>
      </c>
      <c r="X11" s="109">
        <f t="shared" si="6"/>
        <v>0.65908505520000005</v>
      </c>
      <c r="Y11" s="106">
        <v>8760</v>
      </c>
      <c r="Z11" s="121">
        <f t="shared" si="0"/>
        <v>0.15047604000000001</v>
      </c>
      <c r="AA11" s="108">
        <f>3.3/100</f>
        <v>3.3000000000000002E-2</v>
      </c>
      <c r="AB11" s="154" t="s">
        <v>217</v>
      </c>
      <c r="AC11" s="157">
        <f>H11</f>
        <v>74</v>
      </c>
      <c r="AD11" s="121">
        <v>0.04</v>
      </c>
      <c r="AE11" s="187">
        <f t="shared" si="1"/>
        <v>3.1019999999999999E-2</v>
      </c>
      <c r="AF11" s="158">
        <v>2.3E-2</v>
      </c>
      <c r="AG11" s="159">
        <v>5.5999999999999991E-3</v>
      </c>
      <c r="AH11" s="115">
        <f t="shared" si="7"/>
        <v>1.9447199999999998E-2</v>
      </c>
      <c r="AI11" s="106">
        <v>8760</v>
      </c>
      <c r="AJ11" s="99">
        <f t="shared" si="8"/>
        <v>4.4399999999999995E-3</v>
      </c>
      <c r="AK11" s="114">
        <f t="shared" si="9"/>
        <v>4.0000000000000001E-3</v>
      </c>
      <c r="AL11" s="154" t="s">
        <v>208</v>
      </c>
      <c r="AM11" s="52">
        <f>I11</f>
        <v>148</v>
      </c>
      <c r="AN11" s="87">
        <f t="shared" si="15"/>
        <v>0</v>
      </c>
      <c r="AO11" s="173">
        <f t="shared" si="2"/>
        <v>0</v>
      </c>
      <c r="AP11" s="52">
        <v>7.4999999999999997E-3</v>
      </c>
      <c r="AQ11" s="159">
        <v>0</v>
      </c>
      <c r="AR11" s="115">
        <f t="shared" si="10"/>
        <v>6.07725E-2</v>
      </c>
      <c r="AS11" s="106">
        <v>8760</v>
      </c>
      <c r="AT11" s="176">
        <f t="shared" si="11"/>
        <v>1.3875E-2</v>
      </c>
      <c r="AU11" s="118">
        <f t="shared" si="12"/>
        <v>2.5000000000000001E-2</v>
      </c>
      <c r="AV11" s="154" t="s">
        <v>208</v>
      </c>
      <c r="AW11" s="52">
        <f>J11</f>
        <v>74</v>
      </c>
      <c r="AX11" s="175">
        <f t="shared" si="18"/>
        <v>4.816666666666667E-3</v>
      </c>
      <c r="AY11" s="173">
        <f t="shared" si="16"/>
        <v>4.816666666666667E-3</v>
      </c>
      <c r="AZ11" s="52">
        <v>7.4999999999999997E-3</v>
      </c>
      <c r="BA11" s="159">
        <f>'Enc1 Part VI BL Q89'!J83/100</f>
        <v>4.816666666666667E-3</v>
      </c>
    </row>
    <row r="12" spans="2:53" s="119" customFormat="1" x14ac:dyDescent="0.2">
      <c r="B12" s="163" t="s">
        <v>41</v>
      </c>
      <c r="C12" s="163" t="s">
        <v>44</v>
      </c>
      <c r="D12" s="98">
        <v>19</v>
      </c>
      <c r="E12" s="52" t="s">
        <v>71</v>
      </c>
      <c r="F12" s="98">
        <v>4</v>
      </c>
      <c r="G12" s="98">
        <v>2</v>
      </c>
      <c r="H12" s="98">
        <v>38</v>
      </c>
      <c r="I12" s="98">
        <v>76</v>
      </c>
      <c r="J12" s="98">
        <v>38</v>
      </c>
      <c r="K12" s="170">
        <v>471.96428571428572</v>
      </c>
      <c r="L12" s="170">
        <f>8967</f>
        <v>8967</v>
      </c>
      <c r="M12" s="163"/>
      <c r="N12" s="106" t="s">
        <v>149</v>
      </c>
      <c r="O12" s="98" t="s">
        <v>129</v>
      </c>
      <c r="P12" s="108">
        <f t="shared" si="3"/>
        <v>5.0035860000000001E-2</v>
      </c>
      <c r="Q12" s="177">
        <f t="shared" si="4"/>
        <v>100.07172</v>
      </c>
      <c r="R12" s="113">
        <v>12</v>
      </c>
      <c r="S12" s="153" t="s">
        <v>208</v>
      </c>
      <c r="T12" s="171">
        <f t="shared" si="17"/>
        <v>6.3308333333333335</v>
      </c>
      <c r="U12" s="165">
        <f t="shared" si="13"/>
        <v>8967</v>
      </c>
      <c r="V12" s="106">
        <f t="shared" si="19"/>
        <v>9.2999999999999995E-4</v>
      </c>
      <c r="W12" s="158">
        <v>6.3308333333333335</v>
      </c>
      <c r="X12" s="109">
        <f t="shared" si="6"/>
        <v>0.33844908239999999</v>
      </c>
      <c r="Y12" s="106">
        <v>8760</v>
      </c>
      <c r="Z12" s="121">
        <f t="shared" si="0"/>
        <v>7.7271480000000003E-2</v>
      </c>
      <c r="AA12" s="108">
        <f>3.3/100</f>
        <v>3.3000000000000002E-2</v>
      </c>
      <c r="AB12" s="154" t="s">
        <v>217</v>
      </c>
      <c r="AC12" s="157">
        <f>H12</f>
        <v>38</v>
      </c>
      <c r="AD12" s="121">
        <v>0.04</v>
      </c>
      <c r="AE12" s="187">
        <f t="shared" si="1"/>
        <v>3.1019999999999999E-2</v>
      </c>
      <c r="AF12" s="158">
        <v>2.3E-2</v>
      </c>
      <c r="AG12" s="159">
        <v>9.4833333333333332E-3</v>
      </c>
      <c r="AH12" s="115">
        <f t="shared" si="7"/>
        <v>9.9863999999999994E-3</v>
      </c>
      <c r="AI12" s="106">
        <v>8760</v>
      </c>
      <c r="AJ12" s="99">
        <f t="shared" si="8"/>
        <v>2.2799999999999999E-3</v>
      </c>
      <c r="AK12" s="114">
        <f t="shared" si="9"/>
        <v>4.0000000000000001E-3</v>
      </c>
      <c r="AL12" s="154" t="s">
        <v>208</v>
      </c>
      <c r="AM12" s="52">
        <f>I12</f>
        <v>76</v>
      </c>
      <c r="AN12" s="87">
        <f t="shared" si="15"/>
        <v>0</v>
      </c>
      <c r="AO12" s="173">
        <f t="shared" si="2"/>
        <v>0</v>
      </c>
      <c r="AP12" s="52">
        <v>7.4999999999999997E-3</v>
      </c>
      <c r="AQ12" s="159">
        <v>0</v>
      </c>
      <c r="AR12" s="115">
        <f t="shared" si="10"/>
        <v>3.1207499999999999E-2</v>
      </c>
      <c r="AS12" s="106">
        <v>8760</v>
      </c>
      <c r="AT12" s="176">
        <f t="shared" si="11"/>
        <v>7.1250000000000003E-3</v>
      </c>
      <c r="AU12" s="118">
        <f t="shared" si="12"/>
        <v>2.5000000000000001E-2</v>
      </c>
      <c r="AV12" s="154" t="s">
        <v>208</v>
      </c>
      <c r="AW12" s="52">
        <f>J12</f>
        <v>38</v>
      </c>
      <c r="AX12" s="175">
        <f t="shared" si="18"/>
        <v>2.075E-3</v>
      </c>
      <c r="AY12" s="173">
        <f t="shared" si="16"/>
        <v>2.075E-3</v>
      </c>
      <c r="AZ12" s="52">
        <v>7.4999999999999997E-3</v>
      </c>
      <c r="BA12" s="159">
        <f>'Enc1 Part VI BL Q89'!J96/100</f>
        <v>2.075E-3</v>
      </c>
    </row>
    <row r="13" spans="2:53" s="119" customFormat="1" x14ac:dyDescent="0.2">
      <c r="B13" s="163" t="s">
        <v>45</v>
      </c>
      <c r="C13" s="163" t="s">
        <v>79</v>
      </c>
      <c r="D13" s="98">
        <v>85</v>
      </c>
      <c r="E13" s="52" t="s">
        <v>71</v>
      </c>
      <c r="F13" s="98">
        <v>3</v>
      </c>
      <c r="G13" s="98">
        <v>2</v>
      </c>
      <c r="H13" s="98">
        <v>170</v>
      </c>
      <c r="I13" s="98">
        <v>255</v>
      </c>
      <c r="J13" s="98">
        <v>170</v>
      </c>
      <c r="K13" s="98">
        <v>424</v>
      </c>
      <c r="L13" s="170">
        <v>30078</v>
      </c>
      <c r="M13" s="163" t="s">
        <v>138</v>
      </c>
      <c r="N13" s="106" t="s">
        <v>149</v>
      </c>
      <c r="O13" s="98" t="s">
        <v>129</v>
      </c>
      <c r="P13" s="108">
        <f t="shared" si="3"/>
        <v>0.16783524</v>
      </c>
      <c r="Q13" s="113">
        <f t="shared" si="4"/>
        <v>335.67048</v>
      </c>
      <c r="R13" s="113">
        <v>12</v>
      </c>
      <c r="S13" s="153" t="s">
        <v>208</v>
      </c>
      <c r="T13" s="171">
        <f t="shared" si="17"/>
        <v>3.5150832053251411</v>
      </c>
      <c r="U13" s="165">
        <f t="shared" si="13"/>
        <v>30078</v>
      </c>
      <c r="V13" s="106">
        <f>0.0093/10</f>
        <v>9.2999999999999995E-4</v>
      </c>
      <c r="W13" s="158">
        <v>3.5150832053251411</v>
      </c>
      <c r="X13" s="112">
        <f t="shared" si="6"/>
        <v>1.5141143159999999</v>
      </c>
      <c r="Y13" s="106">
        <v>8760</v>
      </c>
      <c r="Z13" s="121">
        <f t="shared" si="0"/>
        <v>0.3456882</v>
      </c>
      <c r="AA13" s="108">
        <f>3.3/100</f>
        <v>3.3000000000000002E-2</v>
      </c>
      <c r="AB13" s="154" t="s">
        <v>217</v>
      </c>
      <c r="AC13" s="157">
        <f>H13</f>
        <v>170</v>
      </c>
      <c r="AD13" s="121">
        <v>0.04</v>
      </c>
      <c r="AE13" s="187">
        <f t="shared" si="1"/>
        <v>3.1019999999999999E-2</v>
      </c>
      <c r="AF13" s="158">
        <v>2.3E-2</v>
      </c>
      <c r="AG13" s="159">
        <v>1.7386376655940162E-2</v>
      </c>
      <c r="AH13" s="115">
        <f t="shared" si="7"/>
        <v>3.3506999999999995E-2</v>
      </c>
      <c r="AI13" s="106">
        <v>8760</v>
      </c>
      <c r="AJ13" s="99">
        <f t="shared" si="8"/>
        <v>7.6499999999999997E-3</v>
      </c>
      <c r="AK13" s="114">
        <f t="shared" si="9"/>
        <v>4.0000000000000001E-3</v>
      </c>
      <c r="AL13" s="154" t="s">
        <v>208</v>
      </c>
      <c r="AM13" s="52">
        <f>I13</f>
        <v>255</v>
      </c>
      <c r="AN13" s="87">
        <f t="shared" si="15"/>
        <v>3.8722691496092659E-4</v>
      </c>
      <c r="AO13" s="173">
        <f t="shared" si="2"/>
        <v>3.8722691496092659E-4</v>
      </c>
      <c r="AP13" s="52">
        <v>7.4999999999999997E-3</v>
      </c>
      <c r="AQ13" s="159">
        <v>3.8722691496092659E-4</v>
      </c>
      <c r="AR13" s="115">
        <f t="shared" si="10"/>
        <v>0.1396125</v>
      </c>
      <c r="AS13" s="106">
        <v>8760</v>
      </c>
      <c r="AT13" s="176">
        <f t="shared" si="11"/>
        <v>3.1875000000000001E-2</v>
      </c>
      <c r="AU13" s="118">
        <f t="shared" si="12"/>
        <v>2.5000000000000001E-2</v>
      </c>
      <c r="AV13" s="154" t="s">
        <v>208</v>
      </c>
      <c r="AW13" s="52">
        <f>J13</f>
        <v>170</v>
      </c>
      <c r="AX13" s="175">
        <f t="shared" si="18"/>
        <v>8.0456297763695627E-3</v>
      </c>
      <c r="AY13" s="173">
        <f t="shared" si="16"/>
        <v>8.0456297763695627E-3</v>
      </c>
      <c r="AZ13" s="52">
        <v>7.4999999999999997E-3</v>
      </c>
      <c r="BA13" s="159">
        <f>'Enc1 Part VI BL Q89'!J109</f>
        <v>8.0456297763695627E-3</v>
      </c>
    </row>
    <row r="14" spans="2:53" s="119" customFormat="1" x14ac:dyDescent="0.2">
      <c r="B14" s="163" t="s">
        <v>47</v>
      </c>
      <c r="C14" s="163" t="s">
        <v>81</v>
      </c>
      <c r="D14" s="98">
        <v>85</v>
      </c>
      <c r="E14" s="52" t="s">
        <v>71</v>
      </c>
      <c r="F14" s="98">
        <v>4</v>
      </c>
      <c r="G14" s="98">
        <v>2</v>
      </c>
      <c r="H14" s="98">
        <v>170</v>
      </c>
      <c r="I14" s="98">
        <v>340</v>
      </c>
      <c r="J14" s="98">
        <v>170</v>
      </c>
      <c r="K14" s="98">
        <f>AVERAGE(258.3,497.4)</f>
        <v>377.85</v>
      </c>
      <c r="L14" s="170">
        <v>42355</v>
      </c>
      <c r="M14" s="163" t="s">
        <v>148</v>
      </c>
      <c r="N14" s="106" t="s">
        <v>149</v>
      </c>
      <c r="O14" s="98" t="s">
        <v>150</v>
      </c>
      <c r="P14" s="108">
        <f t="shared" si="3"/>
        <v>0.23634089999999996</v>
      </c>
      <c r="Q14" s="113">
        <f t="shared" si="4"/>
        <v>472.68179999999995</v>
      </c>
      <c r="R14" s="113">
        <v>12</v>
      </c>
      <c r="S14" s="153" t="s">
        <v>208</v>
      </c>
      <c r="T14" s="171">
        <f t="shared" si="17"/>
        <v>1.3083333333333333</v>
      </c>
      <c r="U14" s="165">
        <f t="shared" si="13"/>
        <v>42355</v>
      </c>
      <c r="V14" s="106">
        <f>0.0093/10</f>
        <v>9.2999999999999995E-4</v>
      </c>
      <c r="W14" s="158">
        <v>1.3083333333333333</v>
      </c>
      <c r="X14" s="112">
        <f t="shared" si="6"/>
        <v>1.8352900800000003</v>
      </c>
      <c r="Y14" s="106">
        <v>8760</v>
      </c>
      <c r="Z14" s="121">
        <f t="shared" si="0"/>
        <v>0.41901600000000006</v>
      </c>
      <c r="AA14" s="109">
        <f t="shared" si="14"/>
        <v>0.04</v>
      </c>
      <c r="AB14" s="154" t="s">
        <v>210</v>
      </c>
      <c r="AC14" s="157">
        <f>H14</f>
        <v>170</v>
      </c>
      <c r="AD14" s="121">
        <v>0.04</v>
      </c>
      <c r="AE14" s="187">
        <f t="shared" si="1"/>
        <v>3.7600000000000001E-2</v>
      </c>
      <c r="AF14" s="158">
        <v>2.3E-2</v>
      </c>
      <c r="AG14" s="159">
        <v>1.8333333333333334E-4</v>
      </c>
      <c r="AH14" s="115">
        <f t="shared" si="7"/>
        <v>4.4676E-2</v>
      </c>
      <c r="AI14" s="106">
        <v>8760</v>
      </c>
      <c r="AJ14" s="99">
        <f t="shared" si="8"/>
        <v>1.0200000000000001E-2</v>
      </c>
      <c r="AK14" s="114">
        <f t="shared" si="9"/>
        <v>4.0000000000000001E-3</v>
      </c>
      <c r="AL14" s="154" t="s">
        <v>208</v>
      </c>
      <c r="AM14" s="52">
        <f>I14</f>
        <v>340</v>
      </c>
      <c r="AN14" s="178">
        <f t="shared" si="15"/>
        <v>8.3333333333333337E-6</v>
      </c>
      <c r="AO14" s="173">
        <f t="shared" si="2"/>
        <v>8.3333333333333337E-6</v>
      </c>
      <c r="AP14" s="52">
        <v>7.4999999999999997E-3</v>
      </c>
      <c r="AQ14" s="159">
        <v>8.3333333333333337E-6</v>
      </c>
      <c r="AR14" s="115">
        <f t="shared" si="10"/>
        <v>0.1396125</v>
      </c>
      <c r="AS14" s="106">
        <v>8760</v>
      </c>
      <c r="AT14" s="176">
        <f t="shared" si="11"/>
        <v>3.1875000000000001E-2</v>
      </c>
      <c r="AU14" s="118">
        <f t="shared" si="12"/>
        <v>2.5000000000000001E-2</v>
      </c>
      <c r="AV14" s="154" t="s">
        <v>208</v>
      </c>
      <c r="AW14" s="52">
        <f>J14</f>
        <v>170</v>
      </c>
      <c r="AX14" s="87">
        <f t="shared" si="18"/>
        <v>1.4999999999999999E-4</v>
      </c>
      <c r="AY14" s="173">
        <f t="shared" si="16"/>
        <v>1.4999999999999999E-4</v>
      </c>
      <c r="AZ14" s="52">
        <v>7.4999999999999997E-3</v>
      </c>
      <c r="BA14" s="159">
        <f>'Enc1 Part VI BL Q89'!J148/100</f>
        <v>1.4999999999999999E-4</v>
      </c>
    </row>
    <row r="15" spans="2:53" s="119" customFormat="1" x14ac:dyDescent="0.2">
      <c r="B15" s="163" t="s">
        <v>7</v>
      </c>
      <c r="C15" s="163" t="s">
        <v>82</v>
      </c>
      <c r="D15" s="98">
        <v>64</v>
      </c>
      <c r="E15" s="52" t="s">
        <v>71</v>
      </c>
      <c r="F15" s="98">
        <v>4</v>
      </c>
      <c r="G15" s="98">
        <v>2</v>
      </c>
      <c r="H15" s="98">
        <f>64*2</f>
        <v>128</v>
      </c>
      <c r="I15" s="98">
        <f>4*64</f>
        <v>256</v>
      </c>
      <c r="J15" s="98">
        <f>2*64</f>
        <v>128</v>
      </c>
      <c r="K15" s="157">
        <f>L15/64</f>
        <v>332.515625</v>
      </c>
      <c r="L15" s="170">
        <v>21281</v>
      </c>
      <c r="M15" s="163" t="s">
        <v>174</v>
      </c>
      <c r="N15" s="106" t="s">
        <v>149</v>
      </c>
      <c r="O15" s="98" t="s">
        <v>153</v>
      </c>
      <c r="P15" s="108">
        <f t="shared" si="3"/>
        <v>0.11874798</v>
      </c>
      <c r="Q15" s="113">
        <f t="shared" si="4"/>
        <v>237.49596</v>
      </c>
      <c r="R15" s="113">
        <v>12</v>
      </c>
      <c r="S15" s="153" t="s">
        <v>208</v>
      </c>
      <c r="T15" s="179">
        <v>4.4580000000000002</v>
      </c>
      <c r="U15" s="165">
        <f t="shared" si="13"/>
        <v>21281</v>
      </c>
      <c r="V15" s="106">
        <f t="shared" ref="V15:V30" si="20">0.0093/10</f>
        <v>9.2999999999999995E-4</v>
      </c>
      <c r="W15" s="52"/>
      <c r="X15" s="109">
        <f t="shared" si="6"/>
        <v>1.3818654719999999</v>
      </c>
      <c r="Y15" s="106">
        <v>8760</v>
      </c>
      <c r="Z15" s="121">
        <f t="shared" si="0"/>
        <v>0.31549440000000001</v>
      </c>
      <c r="AA15" s="109">
        <f t="shared" si="14"/>
        <v>0.04</v>
      </c>
      <c r="AB15" s="154" t="s">
        <v>210</v>
      </c>
      <c r="AC15" s="157">
        <f>H15</f>
        <v>128</v>
      </c>
      <c r="AD15" s="121">
        <v>0.04</v>
      </c>
      <c r="AE15" s="187">
        <f t="shared" si="1"/>
        <v>3.7600000000000001E-2</v>
      </c>
      <c r="AF15" s="158">
        <v>2.3E-2</v>
      </c>
      <c r="AG15" s="52"/>
      <c r="AH15" s="115">
        <f t="shared" si="7"/>
        <v>3.3638400000000006E-2</v>
      </c>
      <c r="AI15" s="106">
        <v>8760</v>
      </c>
      <c r="AJ15" s="99">
        <f t="shared" si="8"/>
        <v>7.6800000000000002E-3</v>
      </c>
      <c r="AK15" s="114">
        <f t="shared" si="9"/>
        <v>4.0000000000000001E-3</v>
      </c>
      <c r="AL15" s="154" t="s">
        <v>208</v>
      </c>
      <c r="AM15" s="52">
        <f>I15</f>
        <v>256</v>
      </c>
      <c r="AN15" s="87">
        <v>0</v>
      </c>
      <c r="AO15" s="173">
        <f t="shared" si="2"/>
        <v>0</v>
      </c>
      <c r="AP15" s="52">
        <v>7.4999999999999997E-3</v>
      </c>
      <c r="AQ15" s="52"/>
      <c r="AR15" s="115">
        <f t="shared" si="10"/>
        <v>0.10512000000000001</v>
      </c>
      <c r="AS15" s="106">
        <v>8760</v>
      </c>
      <c r="AT15" s="176">
        <f t="shared" si="11"/>
        <v>2.4E-2</v>
      </c>
      <c r="AU15" s="118">
        <f t="shared" si="12"/>
        <v>2.5000000000000001E-2</v>
      </c>
      <c r="AV15" s="154" t="s">
        <v>208</v>
      </c>
      <c r="AW15" s="52">
        <f>J15</f>
        <v>128</v>
      </c>
      <c r="AX15" s="175">
        <v>6.1999999999999998E-3</v>
      </c>
      <c r="AY15" s="173">
        <f t="shared" si="16"/>
        <v>6.1999999999999998E-3</v>
      </c>
      <c r="AZ15" s="52">
        <v>7.4999999999999997E-3</v>
      </c>
      <c r="BA15" s="52"/>
    </row>
    <row r="16" spans="2:53" s="119" customFormat="1" x14ac:dyDescent="0.2">
      <c r="B16" s="163" t="s">
        <v>7</v>
      </c>
      <c r="C16" s="163" t="s">
        <v>44</v>
      </c>
      <c r="D16" s="98">
        <v>64</v>
      </c>
      <c r="E16" s="52" t="s">
        <v>71</v>
      </c>
      <c r="F16" s="98">
        <v>4</v>
      </c>
      <c r="G16" s="98">
        <v>2</v>
      </c>
      <c r="H16" s="98">
        <f>64*2</f>
        <v>128</v>
      </c>
      <c r="I16" s="98">
        <f t="shared" ref="I16:I17" si="21">4*64</f>
        <v>256</v>
      </c>
      <c r="J16" s="98">
        <f t="shared" ref="J16:J17" si="22">2*64</f>
        <v>128</v>
      </c>
      <c r="K16" s="157">
        <f t="shared" ref="K16:K17" si="23">L16/64</f>
        <v>332.515625</v>
      </c>
      <c r="L16" s="170">
        <v>21281</v>
      </c>
      <c r="M16" s="163"/>
      <c r="N16" s="106" t="s">
        <v>149</v>
      </c>
      <c r="O16" s="98" t="s">
        <v>153</v>
      </c>
      <c r="P16" s="108">
        <f t="shared" si="3"/>
        <v>0.11874798</v>
      </c>
      <c r="Q16" s="113">
        <f t="shared" si="4"/>
        <v>237.49596</v>
      </c>
      <c r="R16" s="113">
        <v>12</v>
      </c>
      <c r="S16" s="153" t="s">
        <v>208</v>
      </c>
      <c r="T16" s="179">
        <v>4.532</v>
      </c>
      <c r="U16" s="165">
        <f t="shared" si="13"/>
        <v>21281</v>
      </c>
      <c r="V16" s="106">
        <f t="shared" si="20"/>
        <v>9.2999999999999995E-4</v>
      </c>
      <c r="W16" s="52"/>
      <c r="X16" s="109">
        <f t="shared" si="6"/>
        <v>1.3818654719999999</v>
      </c>
      <c r="Y16" s="106">
        <v>8760</v>
      </c>
      <c r="Z16" s="121">
        <f t="shared" si="0"/>
        <v>0.31549440000000001</v>
      </c>
      <c r="AA16" s="109">
        <f t="shared" si="14"/>
        <v>0.04</v>
      </c>
      <c r="AB16" s="154" t="s">
        <v>210</v>
      </c>
      <c r="AC16" s="157">
        <f>H16</f>
        <v>128</v>
      </c>
      <c r="AD16" s="121">
        <v>0.04</v>
      </c>
      <c r="AE16" s="187">
        <f t="shared" si="1"/>
        <v>3.7600000000000001E-2</v>
      </c>
      <c r="AF16" s="158">
        <v>2.3E-2</v>
      </c>
      <c r="AG16" s="52"/>
      <c r="AH16" s="115">
        <f t="shared" si="7"/>
        <v>3.3638400000000006E-2</v>
      </c>
      <c r="AI16" s="106">
        <v>8760</v>
      </c>
      <c r="AJ16" s="99">
        <f t="shared" si="8"/>
        <v>7.6800000000000002E-3</v>
      </c>
      <c r="AK16" s="114">
        <f t="shared" si="9"/>
        <v>4.0000000000000001E-3</v>
      </c>
      <c r="AL16" s="154" t="s">
        <v>208</v>
      </c>
      <c r="AM16" s="52">
        <f>I16</f>
        <v>256</v>
      </c>
      <c r="AN16" s="87">
        <v>1E-4</v>
      </c>
      <c r="AO16" s="173">
        <f t="shared" si="2"/>
        <v>1E-4</v>
      </c>
      <c r="AP16" s="52">
        <v>7.4999999999999997E-3</v>
      </c>
      <c r="AQ16" s="52"/>
      <c r="AR16" s="115">
        <f t="shared" si="10"/>
        <v>0.10512000000000001</v>
      </c>
      <c r="AS16" s="106">
        <v>8760</v>
      </c>
      <c r="AT16" s="176">
        <f t="shared" si="11"/>
        <v>2.4E-2</v>
      </c>
      <c r="AU16" s="118">
        <f t="shared" si="12"/>
        <v>2.5000000000000001E-2</v>
      </c>
      <c r="AV16" s="154" t="s">
        <v>208</v>
      </c>
      <c r="AW16" s="52">
        <f>J16</f>
        <v>128</v>
      </c>
      <c r="AX16" s="175">
        <v>5.5999999999999999E-3</v>
      </c>
      <c r="AY16" s="173">
        <f t="shared" si="16"/>
        <v>5.5999999999999999E-3</v>
      </c>
      <c r="AZ16" s="52">
        <v>7.4999999999999997E-3</v>
      </c>
      <c r="BA16" s="52"/>
    </row>
    <row r="17" spans="2:53" s="119" customFormat="1" x14ac:dyDescent="0.2">
      <c r="B17" s="163" t="s">
        <v>7</v>
      </c>
      <c r="C17" s="163" t="s">
        <v>83</v>
      </c>
      <c r="D17" s="98">
        <v>64</v>
      </c>
      <c r="E17" s="52" t="s">
        <v>71</v>
      </c>
      <c r="F17" s="98">
        <v>4</v>
      </c>
      <c r="G17" s="98">
        <v>2</v>
      </c>
      <c r="H17" s="98">
        <f>64*2</f>
        <v>128</v>
      </c>
      <c r="I17" s="98">
        <f t="shared" si="21"/>
        <v>256</v>
      </c>
      <c r="J17" s="98">
        <f t="shared" si="22"/>
        <v>128</v>
      </c>
      <c r="K17" s="157">
        <f t="shared" si="23"/>
        <v>332.515625</v>
      </c>
      <c r="L17" s="170">
        <v>21281</v>
      </c>
      <c r="M17" s="163"/>
      <c r="N17" s="106" t="s">
        <v>149</v>
      </c>
      <c r="O17" s="98" t="s">
        <v>153</v>
      </c>
      <c r="P17" s="108">
        <f t="shared" si="3"/>
        <v>0.11874798</v>
      </c>
      <c r="Q17" s="113">
        <f t="shared" si="4"/>
        <v>237.49596</v>
      </c>
      <c r="R17" s="113">
        <v>12</v>
      </c>
      <c r="S17" s="153" t="s">
        <v>208</v>
      </c>
      <c r="T17" s="179">
        <v>4.6880000000000006</v>
      </c>
      <c r="U17" s="165">
        <f t="shared" si="13"/>
        <v>21281</v>
      </c>
      <c r="V17" s="106">
        <f t="shared" si="20"/>
        <v>9.2999999999999995E-4</v>
      </c>
      <c r="W17" s="52"/>
      <c r="X17" s="112">
        <f t="shared" si="6"/>
        <v>1.3818654719999999</v>
      </c>
      <c r="Y17" s="106">
        <v>8760</v>
      </c>
      <c r="Z17" s="121">
        <f t="shared" si="0"/>
        <v>0.31549440000000001</v>
      </c>
      <c r="AA17" s="109">
        <f t="shared" si="14"/>
        <v>0.04</v>
      </c>
      <c r="AB17" s="154" t="s">
        <v>210</v>
      </c>
      <c r="AC17" s="157">
        <f>H17</f>
        <v>128</v>
      </c>
      <c r="AD17" s="121">
        <v>0.04</v>
      </c>
      <c r="AE17" s="187">
        <f t="shared" si="1"/>
        <v>3.7600000000000001E-2</v>
      </c>
      <c r="AF17" s="158">
        <v>2.3E-2</v>
      </c>
      <c r="AG17" s="52"/>
      <c r="AH17" s="115">
        <f t="shared" si="7"/>
        <v>3.3638400000000006E-2</v>
      </c>
      <c r="AI17" s="106">
        <v>8760</v>
      </c>
      <c r="AJ17" s="99">
        <f t="shared" si="8"/>
        <v>7.6800000000000002E-3</v>
      </c>
      <c r="AK17" s="114">
        <f t="shared" si="9"/>
        <v>4.0000000000000001E-3</v>
      </c>
      <c r="AL17" s="154" t="s">
        <v>208</v>
      </c>
      <c r="AM17" s="52">
        <f>I17</f>
        <v>256</v>
      </c>
      <c r="AN17" s="87">
        <v>0</v>
      </c>
      <c r="AO17" s="173">
        <f t="shared" si="2"/>
        <v>0</v>
      </c>
      <c r="AP17" s="52">
        <v>7.4999999999999997E-3</v>
      </c>
      <c r="AQ17" s="52"/>
      <c r="AR17" s="115">
        <f t="shared" si="10"/>
        <v>0.10512000000000001</v>
      </c>
      <c r="AS17" s="106">
        <v>8760</v>
      </c>
      <c r="AT17" s="176">
        <f t="shared" si="11"/>
        <v>2.4E-2</v>
      </c>
      <c r="AU17" s="118">
        <f t="shared" si="12"/>
        <v>2.5000000000000001E-2</v>
      </c>
      <c r="AV17" s="154" t="s">
        <v>208</v>
      </c>
      <c r="AW17" s="52">
        <f>J17</f>
        <v>128</v>
      </c>
      <c r="AX17" s="175">
        <v>7.1999999999999998E-3</v>
      </c>
      <c r="AY17" s="173">
        <f t="shared" si="16"/>
        <v>7.1999999999999998E-3</v>
      </c>
      <c r="AZ17" s="52">
        <v>7.4999999999999997E-3</v>
      </c>
      <c r="BA17" s="52"/>
    </row>
    <row r="18" spans="2:53" s="119" customFormat="1" x14ac:dyDescent="0.2">
      <c r="B18" s="163" t="s">
        <v>7</v>
      </c>
      <c r="C18" s="163" t="s">
        <v>84</v>
      </c>
      <c r="D18" s="98">
        <v>61</v>
      </c>
      <c r="E18" s="52" t="s">
        <v>71</v>
      </c>
      <c r="F18" s="98">
        <v>4</v>
      </c>
      <c r="G18" s="98">
        <v>2</v>
      </c>
      <c r="H18" s="98">
        <f>61*2</f>
        <v>122</v>
      </c>
      <c r="I18" s="98">
        <f>4*61</f>
        <v>244</v>
      </c>
      <c r="J18" s="98">
        <f>2*61</f>
        <v>122</v>
      </c>
      <c r="K18" s="157">
        <f>L18/61</f>
        <v>335.22950819672133</v>
      </c>
      <c r="L18" s="170">
        <v>20449</v>
      </c>
      <c r="M18" s="163"/>
      <c r="N18" s="106" t="s">
        <v>149</v>
      </c>
      <c r="O18" s="98" t="s">
        <v>153</v>
      </c>
      <c r="P18" s="108">
        <f t="shared" si="3"/>
        <v>0.11410542</v>
      </c>
      <c r="Q18" s="113">
        <f t="shared" si="4"/>
        <v>228.21083999999999</v>
      </c>
      <c r="R18" s="113">
        <v>12</v>
      </c>
      <c r="S18" s="153" t="s">
        <v>208</v>
      </c>
      <c r="T18" s="179">
        <v>3.6100000000000003</v>
      </c>
      <c r="U18" s="165">
        <f t="shared" si="13"/>
        <v>20449</v>
      </c>
      <c r="V18" s="106">
        <f t="shared" si="20"/>
        <v>9.2999999999999995E-4</v>
      </c>
      <c r="W18" s="52"/>
      <c r="X18" s="109">
        <f t="shared" si="6"/>
        <v>1.3170905280000003</v>
      </c>
      <c r="Y18" s="106">
        <v>8760</v>
      </c>
      <c r="Z18" s="121">
        <f t="shared" si="0"/>
        <v>0.30070560000000002</v>
      </c>
      <c r="AA18" s="109">
        <f t="shared" si="14"/>
        <v>0.04</v>
      </c>
      <c r="AB18" s="154" t="s">
        <v>210</v>
      </c>
      <c r="AC18" s="157">
        <f>H18</f>
        <v>122</v>
      </c>
      <c r="AD18" s="121">
        <v>0.04</v>
      </c>
      <c r="AE18" s="187">
        <f t="shared" si="1"/>
        <v>3.7600000000000001E-2</v>
      </c>
      <c r="AF18" s="158">
        <v>2.3E-2</v>
      </c>
      <c r="AG18" s="52"/>
      <c r="AH18" s="115">
        <f t="shared" si="7"/>
        <v>3.2061599999999996E-2</v>
      </c>
      <c r="AI18" s="106">
        <v>8760</v>
      </c>
      <c r="AJ18" s="99">
        <f t="shared" si="8"/>
        <v>7.3199999999999993E-3</v>
      </c>
      <c r="AK18" s="114">
        <f t="shared" si="9"/>
        <v>4.0000000000000001E-3</v>
      </c>
      <c r="AL18" s="154" t="s">
        <v>208</v>
      </c>
      <c r="AM18" s="52">
        <f>I18</f>
        <v>244</v>
      </c>
      <c r="AN18" s="87">
        <v>0</v>
      </c>
      <c r="AO18" s="173">
        <f t="shared" si="2"/>
        <v>0</v>
      </c>
      <c r="AP18" s="52">
        <v>7.4999999999999997E-3</v>
      </c>
      <c r="AQ18" s="52"/>
      <c r="AR18" s="115">
        <f t="shared" si="10"/>
        <v>0.10019249999999999</v>
      </c>
      <c r="AS18" s="106">
        <v>8760</v>
      </c>
      <c r="AT18" s="176">
        <f t="shared" si="11"/>
        <v>2.2875E-2</v>
      </c>
      <c r="AU18" s="118">
        <f t="shared" si="12"/>
        <v>2.5000000000000001E-2</v>
      </c>
      <c r="AV18" s="154" t="s">
        <v>208</v>
      </c>
      <c r="AW18" s="52">
        <f>J18</f>
        <v>122</v>
      </c>
      <c r="AX18" s="175">
        <v>5.7000000000000002E-3</v>
      </c>
      <c r="AY18" s="173">
        <f t="shared" si="16"/>
        <v>5.7000000000000002E-3</v>
      </c>
      <c r="AZ18" s="52">
        <v>7.4999999999999997E-3</v>
      </c>
      <c r="BA18" s="52"/>
    </row>
    <row r="19" spans="2:53" s="119" customFormat="1" x14ac:dyDescent="0.2">
      <c r="B19" s="163" t="s">
        <v>7</v>
      </c>
      <c r="C19" s="163" t="s">
        <v>85</v>
      </c>
      <c r="D19" s="98">
        <v>61</v>
      </c>
      <c r="E19" s="52" t="s">
        <v>71</v>
      </c>
      <c r="F19" s="98">
        <v>4</v>
      </c>
      <c r="G19" s="98">
        <v>2</v>
      </c>
      <c r="H19" s="98">
        <f>61*2</f>
        <v>122</v>
      </c>
      <c r="I19" s="98">
        <f t="shared" ref="I19:I20" si="24">4*61</f>
        <v>244</v>
      </c>
      <c r="J19" s="98">
        <f t="shared" ref="J19:J20" si="25">2*61</f>
        <v>122</v>
      </c>
      <c r="K19" s="157">
        <f t="shared" ref="K19:K20" si="26">L19/61</f>
        <v>335.22950819672133</v>
      </c>
      <c r="L19" s="170">
        <v>20449</v>
      </c>
      <c r="M19" s="163"/>
      <c r="N19" s="106" t="s">
        <v>149</v>
      </c>
      <c r="O19" s="98" t="s">
        <v>153</v>
      </c>
      <c r="P19" s="108">
        <f t="shared" si="3"/>
        <v>0.11410542</v>
      </c>
      <c r="Q19" s="113">
        <f t="shared" si="4"/>
        <v>228.21083999999999</v>
      </c>
      <c r="R19" s="113">
        <v>12</v>
      </c>
      <c r="S19" s="153" t="s">
        <v>208</v>
      </c>
      <c r="T19" s="179">
        <v>3.7719999999999998</v>
      </c>
      <c r="U19" s="165">
        <f t="shared" si="13"/>
        <v>20449</v>
      </c>
      <c r="V19" s="106">
        <f t="shared" si="20"/>
        <v>9.2999999999999995E-4</v>
      </c>
      <c r="W19" s="52"/>
      <c r="X19" s="109">
        <f t="shared" si="6"/>
        <v>1.3170905280000003</v>
      </c>
      <c r="Y19" s="106">
        <v>8760</v>
      </c>
      <c r="Z19" s="121">
        <f t="shared" si="0"/>
        <v>0.30070560000000002</v>
      </c>
      <c r="AA19" s="109">
        <f t="shared" si="14"/>
        <v>0.04</v>
      </c>
      <c r="AB19" s="154" t="s">
        <v>210</v>
      </c>
      <c r="AC19" s="157">
        <f>H19</f>
        <v>122</v>
      </c>
      <c r="AD19" s="121">
        <v>0.04</v>
      </c>
      <c r="AE19" s="187">
        <f t="shared" si="1"/>
        <v>3.7600000000000001E-2</v>
      </c>
      <c r="AF19" s="158">
        <v>2.3E-2</v>
      </c>
      <c r="AG19" s="52"/>
      <c r="AH19" s="115">
        <f t="shared" si="7"/>
        <v>3.2061599999999996E-2</v>
      </c>
      <c r="AI19" s="106">
        <v>8760</v>
      </c>
      <c r="AJ19" s="99">
        <f t="shared" si="8"/>
        <v>7.3199999999999993E-3</v>
      </c>
      <c r="AK19" s="114">
        <f t="shared" si="9"/>
        <v>4.0000000000000001E-3</v>
      </c>
      <c r="AL19" s="154" t="s">
        <v>208</v>
      </c>
      <c r="AM19" s="52">
        <f>I19</f>
        <v>244</v>
      </c>
      <c r="AN19" s="87">
        <v>0</v>
      </c>
      <c r="AO19" s="173">
        <f t="shared" si="2"/>
        <v>0</v>
      </c>
      <c r="AP19" s="52">
        <v>7.4999999999999997E-3</v>
      </c>
      <c r="AQ19" s="52"/>
      <c r="AR19" s="115">
        <f t="shared" si="10"/>
        <v>0.10019249999999999</v>
      </c>
      <c r="AS19" s="106">
        <v>8760</v>
      </c>
      <c r="AT19" s="176">
        <f t="shared" si="11"/>
        <v>2.2875E-2</v>
      </c>
      <c r="AU19" s="118">
        <f t="shared" si="12"/>
        <v>2.5000000000000001E-2</v>
      </c>
      <c r="AV19" s="154" t="s">
        <v>208</v>
      </c>
      <c r="AW19" s="52">
        <f>J19</f>
        <v>122</v>
      </c>
      <c r="AX19" s="175">
        <v>7.1999999999999998E-3</v>
      </c>
      <c r="AY19" s="173">
        <f t="shared" si="16"/>
        <v>7.1999999999999998E-3</v>
      </c>
      <c r="AZ19" s="52">
        <v>7.4999999999999997E-3</v>
      </c>
      <c r="BA19" s="52"/>
    </row>
    <row r="20" spans="2:53" s="119" customFormat="1" x14ac:dyDescent="0.2">
      <c r="B20" s="163" t="s">
        <v>7</v>
      </c>
      <c r="C20" s="163" t="s">
        <v>86</v>
      </c>
      <c r="D20" s="98">
        <v>61</v>
      </c>
      <c r="E20" s="52" t="s">
        <v>71</v>
      </c>
      <c r="F20" s="98">
        <v>4</v>
      </c>
      <c r="G20" s="98">
        <v>2</v>
      </c>
      <c r="H20" s="98">
        <f>61*2</f>
        <v>122</v>
      </c>
      <c r="I20" s="98">
        <f t="shared" si="24"/>
        <v>244</v>
      </c>
      <c r="J20" s="98">
        <f t="shared" si="25"/>
        <v>122</v>
      </c>
      <c r="K20" s="157">
        <f t="shared" si="26"/>
        <v>335.22950819672133</v>
      </c>
      <c r="L20" s="170">
        <v>20449</v>
      </c>
      <c r="M20" s="163"/>
      <c r="N20" s="106" t="s">
        <v>149</v>
      </c>
      <c r="O20" s="98" t="s">
        <v>153</v>
      </c>
      <c r="P20" s="108">
        <f t="shared" si="3"/>
        <v>0.11410542</v>
      </c>
      <c r="Q20" s="113">
        <f t="shared" si="4"/>
        <v>228.21083999999999</v>
      </c>
      <c r="R20" s="113">
        <v>12</v>
      </c>
      <c r="S20" s="153" t="s">
        <v>208</v>
      </c>
      <c r="T20" s="179">
        <v>3.7679999999999998</v>
      </c>
      <c r="U20" s="165">
        <f t="shared" si="13"/>
        <v>20449</v>
      </c>
      <c r="V20" s="106">
        <f t="shared" si="20"/>
        <v>9.2999999999999995E-4</v>
      </c>
      <c r="W20" s="52"/>
      <c r="X20" s="109">
        <f t="shared" si="6"/>
        <v>1.3170905280000003</v>
      </c>
      <c r="Y20" s="106">
        <v>8760</v>
      </c>
      <c r="Z20" s="121">
        <f t="shared" si="0"/>
        <v>0.30070560000000002</v>
      </c>
      <c r="AA20" s="109">
        <f t="shared" si="14"/>
        <v>0.04</v>
      </c>
      <c r="AB20" s="154" t="s">
        <v>210</v>
      </c>
      <c r="AC20" s="157">
        <f>H20</f>
        <v>122</v>
      </c>
      <c r="AD20" s="121">
        <v>0.04</v>
      </c>
      <c r="AE20" s="187">
        <f t="shared" si="1"/>
        <v>3.7600000000000001E-2</v>
      </c>
      <c r="AF20" s="158">
        <v>2.3E-2</v>
      </c>
      <c r="AG20" s="52"/>
      <c r="AH20" s="115">
        <f t="shared" si="7"/>
        <v>3.2061599999999996E-2</v>
      </c>
      <c r="AI20" s="106">
        <v>8760</v>
      </c>
      <c r="AJ20" s="99">
        <f t="shared" si="8"/>
        <v>7.3199999999999993E-3</v>
      </c>
      <c r="AK20" s="114">
        <f t="shared" si="9"/>
        <v>4.0000000000000001E-3</v>
      </c>
      <c r="AL20" s="154" t="s">
        <v>208</v>
      </c>
      <c r="AM20" s="52">
        <f>I20</f>
        <v>244</v>
      </c>
      <c r="AN20" s="87">
        <v>0</v>
      </c>
      <c r="AO20" s="173">
        <f t="shared" si="2"/>
        <v>0</v>
      </c>
      <c r="AP20" s="52">
        <v>7.4999999999999997E-3</v>
      </c>
      <c r="AQ20" s="52"/>
      <c r="AR20" s="115">
        <f t="shared" si="10"/>
        <v>0.10019249999999999</v>
      </c>
      <c r="AS20" s="106">
        <v>8760</v>
      </c>
      <c r="AT20" s="176">
        <f t="shared" si="11"/>
        <v>2.2875E-2</v>
      </c>
      <c r="AU20" s="118">
        <f t="shared" si="12"/>
        <v>2.5000000000000001E-2</v>
      </c>
      <c r="AV20" s="154" t="s">
        <v>208</v>
      </c>
      <c r="AW20" s="52">
        <f>J20</f>
        <v>122</v>
      </c>
      <c r="AX20" s="175">
        <v>3.8999999999999998E-3</v>
      </c>
      <c r="AY20" s="173">
        <f t="shared" si="16"/>
        <v>3.8999999999999998E-3</v>
      </c>
      <c r="AZ20" s="52">
        <v>7.4999999999999997E-3</v>
      </c>
      <c r="BA20" s="52"/>
    </row>
    <row r="21" spans="2:53" s="119" customFormat="1" x14ac:dyDescent="0.2">
      <c r="B21" s="163" t="s">
        <v>7</v>
      </c>
      <c r="C21" s="163" t="s">
        <v>87</v>
      </c>
      <c r="D21" s="98">
        <v>87</v>
      </c>
      <c r="E21" s="52" t="s">
        <v>71</v>
      </c>
      <c r="F21" s="98">
        <v>4</v>
      </c>
      <c r="G21" s="98">
        <v>2</v>
      </c>
      <c r="H21" s="98">
        <f>87*2</f>
        <v>174</v>
      </c>
      <c r="I21" s="98">
        <f>4*87</f>
        <v>348</v>
      </c>
      <c r="J21" s="98">
        <f>2*87</f>
        <v>174</v>
      </c>
      <c r="K21" s="157">
        <f>L21/87</f>
        <v>348.32183908045977</v>
      </c>
      <c r="L21" s="170">
        <v>30304</v>
      </c>
      <c r="M21" s="163"/>
      <c r="N21" s="106" t="s">
        <v>149</v>
      </c>
      <c r="O21" s="98" t="s">
        <v>153</v>
      </c>
      <c r="P21" s="108">
        <f t="shared" si="3"/>
        <v>0.16909631999999999</v>
      </c>
      <c r="Q21" s="113">
        <f t="shared" si="4"/>
        <v>338.19263999999998</v>
      </c>
      <c r="R21" s="113">
        <v>12</v>
      </c>
      <c r="S21" s="153" t="s">
        <v>208</v>
      </c>
      <c r="T21" s="179">
        <v>4.4659999999999993</v>
      </c>
      <c r="U21" s="165">
        <f t="shared" si="13"/>
        <v>30304</v>
      </c>
      <c r="V21" s="106">
        <f t="shared" si="20"/>
        <v>9.2999999999999995E-4</v>
      </c>
      <c r="W21" s="52"/>
      <c r="X21" s="112">
        <f t="shared" si="6"/>
        <v>1.8784733760000001</v>
      </c>
      <c r="Y21" s="106">
        <v>8760</v>
      </c>
      <c r="Z21" s="121">
        <f t="shared" si="0"/>
        <v>0.42887520000000001</v>
      </c>
      <c r="AA21" s="109">
        <f t="shared" si="14"/>
        <v>0.04</v>
      </c>
      <c r="AB21" s="154" t="s">
        <v>210</v>
      </c>
      <c r="AC21" s="157">
        <f>H21</f>
        <v>174</v>
      </c>
      <c r="AD21" s="121">
        <v>0.04</v>
      </c>
      <c r="AE21" s="187">
        <f t="shared" si="1"/>
        <v>3.7600000000000001E-2</v>
      </c>
      <c r="AF21" s="158">
        <v>2.3E-2</v>
      </c>
      <c r="AG21" s="52"/>
      <c r="AH21" s="115">
        <f t="shared" si="7"/>
        <v>4.5727200000000003E-2</v>
      </c>
      <c r="AI21" s="106">
        <v>8760</v>
      </c>
      <c r="AJ21" s="99">
        <f t="shared" si="8"/>
        <v>1.0440000000000001E-2</v>
      </c>
      <c r="AK21" s="114">
        <f t="shared" si="9"/>
        <v>4.0000000000000001E-3</v>
      </c>
      <c r="AL21" s="154" t="s">
        <v>208</v>
      </c>
      <c r="AM21" s="52">
        <f>I21</f>
        <v>348</v>
      </c>
      <c r="AN21" s="87">
        <v>0</v>
      </c>
      <c r="AO21" s="173">
        <f t="shared" si="2"/>
        <v>0</v>
      </c>
      <c r="AP21" s="52">
        <v>7.4999999999999997E-3</v>
      </c>
      <c r="AQ21" s="52"/>
      <c r="AR21" s="115">
        <f t="shared" si="10"/>
        <v>0.14289750000000001</v>
      </c>
      <c r="AS21" s="106">
        <v>8760</v>
      </c>
      <c r="AT21" s="176">
        <f t="shared" si="11"/>
        <v>3.2625000000000001E-2</v>
      </c>
      <c r="AU21" s="118">
        <f t="shared" si="12"/>
        <v>2.5000000000000001E-2</v>
      </c>
      <c r="AV21" s="154" t="s">
        <v>208</v>
      </c>
      <c r="AW21" s="52">
        <f>J21</f>
        <v>174</v>
      </c>
      <c r="AX21" s="175">
        <v>1.24E-2</v>
      </c>
      <c r="AY21" s="173">
        <f t="shared" si="16"/>
        <v>1.24E-2</v>
      </c>
      <c r="AZ21" s="52">
        <v>7.4999999999999997E-3</v>
      </c>
      <c r="BA21" s="52"/>
    </row>
    <row r="22" spans="2:53" s="119" customFormat="1" x14ac:dyDescent="0.2">
      <c r="B22" s="163" t="s">
        <v>7</v>
      </c>
      <c r="C22" s="163" t="s">
        <v>88</v>
      </c>
      <c r="D22" s="98">
        <v>87</v>
      </c>
      <c r="E22" s="52" t="s">
        <v>71</v>
      </c>
      <c r="F22" s="98">
        <v>4</v>
      </c>
      <c r="G22" s="98">
        <v>2</v>
      </c>
      <c r="H22" s="98">
        <f>87*2</f>
        <v>174</v>
      </c>
      <c r="I22" s="98">
        <f>4*87</f>
        <v>348</v>
      </c>
      <c r="J22" s="98">
        <f>2*87</f>
        <v>174</v>
      </c>
      <c r="K22" s="157">
        <f t="shared" ref="K22" si="27">L22/87</f>
        <v>348.32183908045977</v>
      </c>
      <c r="L22" s="170">
        <v>30304</v>
      </c>
      <c r="M22" s="163"/>
      <c r="N22" s="106" t="s">
        <v>149</v>
      </c>
      <c r="O22" s="98" t="s">
        <v>153</v>
      </c>
      <c r="P22" s="108">
        <f t="shared" si="3"/>
        <v>0.16909631999999999</v>
      </c>
      <c r="Q22" s="113">
        <f t="shared" si="4"/>
        <v>338.19263999999998</v>
      </c>
      <c r="R22" s="113">
        <v>12</v>
      </c>
      <c r="S22" s="153" t="s">
        <v>208</v>
      </c>
      <c r="T22" s="179">
        <v>4.1180000000000003</v>
      </c>
      <c r="U22" s="165">
        <f t="shared" si="13"/>
        <v>30304</v>
      </c>
      <c r="V22" s="106">
        <f t="shared" si="20"/>
        <v>9.2999999999999995E-4</v>
      </c>
      <c r="W22" s="52"/>
      <c r="X22" s="112">
        <f t="shared" si="6"/>
        <v>1.8784733760000001</v>
      </c>
      <c r="Y22" s="106">
        <v>8760</v>
      </c>
      <c r="Z22" s="121">
        <f t="shared" si="0"/>
        <v>0.42887520000000001</v>
      </c>
      <c r="AA22" s="109">
        <f t="shared" si="14"/>
        <v>0.04</v>
      </c>
      <c r="AB22" s="154" t="s">
        <v>210</v>
      </c>
      <c r="AC22" s="157">
        <f>H22</f>
        <v>174</v>
      </c>
      <c r="AD22" s="121">
        <v>0.04</v>
      </c>
      <c r="AE22" s="187">
        <f t="shared" si="1"/>
        <v>3.7600000000000001E-2</v>
      </c>
      <c r="AF22" s="158">
        <v>2.3E-2</v>
      </c>
      <c r="AG22" s="52"/>
      <c r="AH22" s="115">
        <f t="shared" si="7"/>
        <v>4.5727200000000003E-2</v>
      </c>
      <c r="AI22" s="106">
        <v>8760</v>
      </c>
      <c r="AJ22" s="99">
        <f t="shared" si="8"/>
        <v>1.0440000000000001E-2</v>
      </c>
      <c r="AK22" s="114">
        <f t="shared" si="9"/>
        <v>4.0000000000000001E-3</v>
      </c>
      <c r="AL22" s="154" t="s">
        <v>208</v>
      </c>
      <c r="AM22" s="52">
        <f>I22</f>
        <v>348</v>
      </c>
      <c r="AN22" s="87">
        <v>1E-4</v>
      </c>
      <c r="AO22" s="173">
        <f t="shared" si="2"/>
        <v>1E-4</v>
      </c>
      <c r="AP22" s="52">
        <v>7.4999999999999997E-3</v>
      </c>
      <c r="AQ22" s="52"/>
      <c r="AR22" s="115">
        <f t="shared" si="10"/>
        <v>0.14289750000000001</v>
      </c>
      <c r="AS22" s="106">
        <v>8760</v>
      </c>
      <c r="AT22" s="176">
        <f t="shared" si="11"/>
        <v>3.2625000000000001E-2</v>
      </c>
      <c r="AU22" s="118">
        <f t="shared" si="12"/>
        <v>2.5000000000000001E-2</v>
      </c>
      <c r="AV22" s="154" t="s">
        <v>208</v>
      </c>
      <c r="AW22" s="52">
        <f>J22</f>
        <v>174</v>
      </c>
      <c r="AX22" s="175">
        <v>1.0500000000000001E-2</v>
      </c>
      <c r="AY22" s="173">
        <f t="shared" si="16"/>
        <v>1.0500000000000001E-2</v>
      </c>
      <c r="AZ22" s="52">
        <v>7.4999999999999997E-3</v>
      </c>
      <c r="BA22" s="52"/>
    </row>
    <row r="23" spans="2:53" s="119" customFormat="1" x14ac:dyDescent="0.2">
      <c r="B23" s="163" t="s">
        <v>7</v>
      </c>
      <c r="C23" s="163" t="s">
        <v>8</v>
      </c>
      <c r="D23" s="98">
        <v>75</v>
      </c>
      <c r="E23" s="52" t="s">
        <v>71</v>
      </c>
      <c r="F23" s="98">
        <v>4</v>
      </c>
      <c r="G23" s="98">
        <v>2</v>
      </c>
      <c r="H23" s="98">
        <f>75*2</f>
        <v>150</v>
      </c>
      <c r="I23" s="98">
        <f>4*75</f>
        <v>300</v>
      </c>
      <c r="J23" s="98">
        <f>2*75</f>
        <v>150</v>
      </c>
      <c r="K23" s="157">
        <f>L23/75</f>
        <v>377.04</v>
      </c>
      <c r="L23" s="170">
        <v>28278</v>
      </c>
      <c r="M23" s="163"/>
      <c r="N23" s="106" t="s">
        <v>149</v>
      </c>
      <c r="O23" s="98" t="s">
        <v>153</v>
      </c>
      <c r="P23" s="108">
        <f t="shared" si="3"/>
        <v>0.15779124</v>
      </c>
      <c r="Q23" s="113">
        <f t="shared" si="4"/>
        <v>315.58247999999998</v>
      </c>
      <c r="R23" s="113">
        <v>12</v>
      </c>
      <c r="S23" s="153" t="s">
        <v>208</v>
      </c>
      <c r="T23" s="179">
        <v>4.34</v>
      </c>
      <c r="U23" s="165">
        <f t="shared" si="13"/>
        <v>28278</v>
      </c>
      <c r="V23" s="106">
        <f t="shared" si="20"/>
        <v>9.2999999999999995E-4</v>
      </c>
      <c r="W23" s="52"/>
      <c r="X23" s="109">
        <f t="shared" si="6"/>
        <v>1.6193735999999999</v>
      </c>
      <c r="Y23" s="106">
        <v>8760</v>
      </c>
      <c r="Z23" s="121">
        <f t="shared" si="0"/>
        <v>0.36971999999999999</v>
      </c>
      <c r="AA23" s="109">
        <f t="shared" si="14"/>
        <v>0.04</v>
      </c>
      <c r="AB23" s="154" t="s">
        <v>210</v>
      </c>
      <c r="AC23" s="157">
        <f>H23</f>
        <v>150</v>
      </c>
      <c r="AD23" s="121">
        <v>0.04</v>
      </c>
      <c r="AE23" s="187">
        <f t="shared" si="1"/>
        <v>3.7600000000000001E-2</v>
      </c>
      <c r="AF23" s="158">
        <v>2.3E-2</v>
      </c>
      <c r="AG23" s="52"/>
      <c r="AH23" s="115">
        <f t="shared" si="7"/>
        <v>3.9419999999999997E-2</v>
      </c>
      <c r="AI23" s="106">
        <v>8760</v>
      </c>
      <c r="AJ23" s="99">
        <f t="shared" si="8"/>
        <v>8.9999999999999993E-3</v>
      </c>
      <c r="AK23" s="114">
        <f t="shared" si="9"/>
        <v>4.0000000000000001E-3</v>
      </c>
      <c r="AL23" s="154" t="s">
        <v>208</v>
      </c>
      <c r="AM23" s="52">
        <f>I23</f>
        <v>300</v>
      </c>
      <c r="AN23" s="87">
        <v>1E-4</v>
      </c>
      <c r="AO23" s="173">
        <f t="shared" si="2"/>
        <v>1E-4</v>
      </c>
      <c r="AP23" s="52">
        <v>7.4999999999999997E-3</v>
      </c>
      <c r="AQ23" s="52"/>
      <c r="AR23" s="115">
        <f t="shared" si="10"/>
        <v>0.12318749999999999</v>
      </c>
      <c r="AS23" s="106">
        <v>8760</v>
      </c>
      <c r="AT23" s="176">
        <f t="shared" si="11"/>
        <v>2.8124999999999997E-2</v>
      </c>
      <c r="AU23" s="118">
        <f t="shared" si="12"/>
        <v>2.5000000000000001E-2</v>
      </c>
      <c r="AV23" s="154" t="s">
        <v>208</v>
      </c>
      <c r="AW23" s="52">
        <f>J23</f>
        <v>150</v>
      </c>
      <c r="AX23" s="175">
        <v>1.6999999999999999E-3</v>
      </c>
      <c r="AY23" s="173">
        <f t="shared" si="16"/>
        <v>1.6999999999999999E-3</v>
      </c>
      <c r="AZ23" s="52">
        <v>7.4999999999999997E-3</v>
      </c>
      <c r="BA23" s="52"/>
    </row>
    <row r="24" spans="2:53" s="119" customFormat="1" x14ac:dyDescent="0.2">
      <c r="B24" s="163" t="s">
        <v>7</v>
      </c>
      <c r="C24" s="163" t="s">
        <v>89</v>
      </c>
      <c r="D24" s="98">
        <v>84</v>
      </c>
      <c r="E24" s="52" t="s">
        <v>71</v>
      </c>
      <c r="F24" s="98">
        <v>5</v>
      </c>
      <c r="G24" s="98">
        <v>1</v>
      </c>
      <c r="H24" s="98">
        <f>84*2</f>
        <v>168</v>
      </c>
      <c r="I24" s="98">
        <f>5*84</f>
        <v>420</v>
      </c>
      <c r="J24" s="98">
        <v>84</v>
      </c>
      <c r="K24" s="157">
        <f>L24/84</f>
        <v>432.48809523809524</v>
      </c>
      <c r="L24" s="170">
        <v>36329</v>
      </c>
      <c r="M24" s="163"/>
      <c r="N24" s="106" t="s">
        <v>149</v>
      </c>
      <c r="O24" s="98" t="s">
        <v>153</v>
      </c>
      <c r="P24" s="109">
        <f t="shared" si="3"/>
        <v>0.20271581999999999</v>
      </c>
      <c r="Q24" s="113">
        <f t="shared" si="4"/>
        <v>405.43163999999996</v>
      </c>
      <c r="R24" s="113">
        <v>12</v>
      </c>
      <c r="S24" s="153" t="s">
        <v>208</v>
      </c>
      <c r="T24" s="179">
        <v>37.531999999999996</v>
      </c>
      <c r="U24" s="165">
        <f t="shared" si="13"/>
        <v>36329</v>
      </c>
      <c r="V24" s="106">
        <f t="shared" si="20"/>
        <v>9.2999999999999995E-4</v>
      </c>
      <c r="W24" s="52"/>
      <c r="X24" s="112">
        <f t="shared" si="6"/>
        <v>1.8136984319999998</v>
      </c>
      <c r="Y24" s="106">
        <v>8760</v>
      </c>
      <c r="Z24" s="121">
        <f t="shared" si="0"/>
        <v>0.41408639999999997</v>
      </c>
      <c r="AA24" s="109">
        <f t="shared" si="14"/>
        <v>0.04</v>
      </c>
      <c r="AB24" s="154" t="s">
        <v>210</v>
      </c>
      <c r="AC24" s="157">
        <f>H24</f>
        <v>168</v>
      </c>
      <c r="AD24" s="121">
        <v>0.04</v>
      </c>
      <c r="AE24" s="187">
        <f t="shared" si="1"/>
        <v>3.7600000000000001E-2</v>
      </c>
      <c r="AF24" s="158">
        <v>2.3E-2</v>
      </c>
      <c r="AG24" s="52"/>
      <c r="AH24" s="115">
        <f t="shared" si="7"/>
        <v>5.5187999999999994E-2</v>
      </c>
      <c r="AI24" s="106">
        <v>8760</v>
      </c>
      <c r="AJ24" s="99">
        <f t="shared" si="8"/>
        <v>1.2599999999999998E-2</v>
      </c>
      <c r="AK24" s="114">
        <f t="shared" si="9"/>
        <v>4.0000000000000001E-3</v>
      </c>
      <c r="AL24" s="154" t="s">
        <v>208</v>
      </c>
      <c r="AM24" s="52">
        <f>I24</f>
        <v>420</v>
      </c>
      <c r="AN24" s="87">
        <v>0</v>
      </c>
      <c r="AO24" s="173">
        <f t="shared" si="2"/>
        <v>0</v>
      </c>
      <c r="AP24" s="52">
        <v>7.4999999999999997E-3</v>
      </c>
      <c r="AQ24" s="52"/>
      <c r="AR24" s="115">
        <f t="shared" si="10"/>
        <v>6.8985000000000005E-2</v>
      </c>
      <c r="AS24" s="106">
        <v>8760</v>
      </c>
      <c r="AT24" s="176">
        <f t="shared" si="11"/>
        <v>1.575E-2</v>
      </c>
      <c r="AU24" s="118">
        <f t="shared" si="12"/>
        <v>2.5000000000000001E-2</v>
      </c>
      <c r="AV24" s="154" t="s">
        <v>208</v>
      </c>
      <c r="AW24" s="52">
        <f>J24</f>
        <v>84</v>
      </c>
      <c r="AX24" s="175">
        <v>8.0000000000000004E-4</v>
      </c>
      <c r="AY24" s="173">
        <f t="shared" si="16"/>
        <v>8.0000000000000004E-4</v>
      </c>
      <c r="AZ24" s="52">
        <v>7.4999999999999997E-3</v>
      </c>
      <c r="BA24" s="52"/>
    </row>
    <row r="25" spans="2:53" s="119" customFormat="1" x14ac:dyDescent="0.2">
      <c r="B25" s="180" t="s">
        <v>90</v>
      </c>
      <c r="C25" s="181" t="s">
        <v>91</v>
      </c>
      <c r="D25" s="69">
        <v>78</v>
      </c>
      <c r="E25" s="68" t="s">
        <v>74</v>
      </c>
      <c r="F25" s="98"/>
      <c r="G25" s="98"/>
      <c r="H25" s="98">
        <f>D25*2</f>
        <v>156</v>
      </c>
      <c r="I25" s="98">
        <v>312</v>
      </c>
      <c r="J25" s="98">
        <v>78</v>
      </c>
      <c r="K25" s="98"/>
      <c r="L25" s="98"/>
      <c r="M25" s="163"/>
      <c r="N25" s="98"/>
      <c r="O25" s="98"/>
      <c r="P25" s="108">
        <f t="shared" si="3"/>
        <v>0.10961909999999998</v>
      </c>
      <c r="Q25" s="113">
        <f t="shared" si="4"/>
        <v>219.23819999999998</v>
      </c>
      <c r="R25" s="113">
        <v>12</v>
      </c>
      <c r="S25" s="153" t="s">
        <v>208</v>
      </c>
      <c r="T25" s="85">
        <v>3.7</v>
      </c>
      <c r="U25" s="182">
        <v>19645</v>
      </c>
      <c r="V25" s="106">
        <f t="shared" si="20"/>
        <v>9.2999999999999995E-4</v>
      </c>
      <c r="W25" s="68"/>
      <c r="X25" s="112">
        <f t="shared" si="6"/>
        <v>1.6841485440000001</v>
      </c>
      <c r="Y25" s="106">
        <v>8760</v>
      </c>
      <c r="Z25" s="121">
        <f t="shared" si="0"/>
        <v>0.38450880000000004</v>
      </c>
      <c r="AA25" s="109">
        <f t="shared" si="14"/>
        <v>0.04</v>
      </c>
      <c r="AB25" s="154" t="s">
        <v>211</v>
      </c>
      <c r="AC25" s="157">
        <f>H25</f>
        <v>156</v>
      </c>
      <c r="AD25" s="121">
        <v>0.04</v>
      </c>
      <c r="AE25" s="187">
        <f t="shared" si="1"/>
        <v>3.7600000000000001E-2</v>
      </c>
      <c r="AF25" s="158">
        <v>2.3E-2</v>
      </c>
      <c r="AG25" s="68"/>
      <c r="AH25" s="115">
        <f t="shared" si="7"/>
        <v>4.09968E-2</v>
      </c>
      <c r="AI25" s="106">
        <v>8760</v>
      </c>
      <c r="AJ25" s="99">
        <f t="shared" si="8"/>
        <v>9.3600000000000003E-3</v>
      </c>
      <c r="AK25" s="114">
        <f t="shared" si="9"/>
        <v>4.0000000000000001E-3</v>
      </c>
      <c r="AL25" s="154" t="s">
        <v>208</v>
      </c>
      <c r="AM25" s="52">
        <f>I25</f>
        <v>312</v>
      </c>
      <c r="AN25" s="87">
        <v>0</v>
      </c>
      <c r="AO25" s="173">
        <f t="shared" si="2"/>
        <v>0</v>
      </c>
      <c r="AP25" s="52">
        <v>7.4999999999999997E-3</v>
      </c>
      <c r="AQ25" s="68"/>
      <c r="AR25" s="115">
        <f t="shared" si="10"/>
        <v>6.4057500000000003E-2</v>
      </c>
      <c r="AS25" s="106">
        <v>8760</v>
      </c>
      <c r="AT25" s="176">
        <f t="shared" si="11"/>
        <v>1.4625000000000001E-2</v>
      </c>
      <c r="AU25" s="118">
        <f t="shared" si="12"/>
        <v>2.5000000000000001E-2</v>
      </c>
      <c r="AV25" s="154" t="s">
        <v>208</v>
      </c>
      <c r="AW25" s="52">
        <f>J25</f>
        <v>78</v>
      </c>
      <c r="AX25" s="87">
        <v>2.9999999999999997E-4</v>
      </c>
      <c r="AY25" s="173">
        <f t="shared" si="16"/>
        <v>2.9999999999999997E-4</v>
      </c>
      <c r="AZ25" s="52">
        <v>7.4999999999999997E-3</v>
      </c>
      <c r="BA25" s="68"/>
    </row>
    <row r="26" spans="2:53" s="119" customFormat="1" x14ac:dyDescent="0.2">
      <c r="B26" s="52" t="s">
        <v>90</v>
      </c>
      <c r="C26" s="181" t="s">
        <v>81</v>
      </c>
      <c r="D26" s="69">
        <v>25</v>
      </c>
      <c r="E26" s="68" t="s">
        <v>74</v>
      </c>
      <c r="F26" s="98"/>
      <c r="G26" s="98"/>
      <c r="H26" s="98">
        <f t="shared" ref="H26:H30" si="28">D26*2</f>
        <v>50</v>
      </c>
      <c r="I26" s="98">
        <v>125</v>
      </c>
      <c r="J26" s="98">
        <v>25</v>
      </c>
      <c r="K26" s="69"/>
      <c r="L26" s="69"/>
      <c r="M26" s="163"/>
      <c r="N26" s="69"/>
      <c r="O26" s="69"/>
      <c r="P26" s="108">
        <f t="shared" si="3"/>
        <v>3.1588379999999999E-2</v>
      </c>
      <c r="Q26" s="113">
        <f t="shared" si="4"/>
        <v>63.176759999999994</v>
      </c>
      <c r="R26" s="113">
        <v>12</v>
      </c>
      <c r="S26" s="153" t="s">
        <v>208</v>
      </c>
      <c r="T26" s="85">
        <v>4.3</v>
      </c>
      <c r="U26" s="182">
        <v>5661</v>
      </c>
      <c r="V26" s="106">
        <f t="shared" si="20"/>
        <v>9.2999999999999995E-4</v>
      </c>
      <c r="W26" s="68"/>
      <c r="X26" s="109">
        <f t="shared" si="6"/>
        <v>0.53979120000000003</v>
      </c>
      <c r="Y26" s="106">
        <v>8760</v>
      </c>
      <c r="Z26" s="121">
        <f t="shared" si="0"/>
        <v>0.12324</v>
      </c>
      <c r="AA26" s="109">
        <f t="shared" si="14"/>
        <v>0.04</v>
      </c>
      <c r="AB26" s="154" t="s">
        <v>211</v>
      </c>
      <c r="AC26" s="157">
        <f>H26</f>
        <v>50</v>
      </c>
      <c r="AD26" s="121">
        <v>0.04</v>
      </c>
      <c r="AE26" s="187">
        <f t="shared" si="1"/>
        <v>3.7600000000000001E-2</v>
      </c>
      <c r="AF26" s="158">
        <v>2.3E-2</v>
      </c>
      <c r="AG26" s="68"/>
      <c r="AH26" s="115">
        <f t="shared" si="7"/>
        <v>1.6425000000000002E-2</v>
      </c>
      <c r="AI26" s="106">
        <v>8760</v>
      </c>
      <c r="AJ26" s="99">
        <f t="shared" si="8"/>
        <v>3.7499999999999999E-3</v>
      </c>
      <c r="AK26" s="114">
        <f t="shared" si="9"/>
        <v>4.0000000000000001E-3</v>
      </c>
      <c r="AL26" s="154" t="s">
        <v>208</v>
      </c>
      <c r="AM26" s="52">
        <f>I26</f>
        <v>125</v>
      </c>
      <c r="AN26" s="87">
        <v>0</v>
      </c>
      <c r="AO26" s="173">
        <f t="shared" si="2"/>
        <v>0</v>
      </c>
      <c r="AP26" s="52">
        <v>7.4999999999999997E-3</v>
      </c>
      <c r="AQ26" s="68"/>
      <c r="AR26" s="115">
        <f t="shared" si="10"/>
        <v>2.0531250000000001E-2</v>
      </c>
      <c r="AS26" s="106">
        <v>8760</v>
      </c>
      <c r="AT26" s="176">
        <f t="shared" si="11"/>
        <v>4.6874999999999998E-3</v>
      </c>
      <c r="AU26" s="118">
        <f t="shared" si="12"/>
        <v>2.5000000000000001E-2</v>
      </c>
      <c r="AV26" s="154" t="s">
        <v>208</v>
      </c>
      <c r="AW26" s="52">
        <f>J26</f>
        <v>25</v>
      </c>
      <c r="AX26" s="87">
        <v>0</v>
      </c>
      <c r="AY26" s="173">
        <f t="shared" si="16"/>
        <v>0</v>
      </c>
      <c r="AZ26" s="52">
        <v>7.4999999999999997E-3</v>
      </c>
      <c r="BA26" s="68"/>
    </row>
    <row r="27" spans="2:53" s="119" customFormat="1" x14ac:dyDescent="0.2">
      <c r="B27" s="52" t="s">
        <v>90</v>
      </c>
      <c r="C27" s="181" t="s">
        <v>92</v>
      </c>
      <c r="D27" s="69">
        <v>29</v>
      </c>
      <c r="E27" s="68" t="s">
        <v>74</v>
      </c>
      <c r="F27" s="98"/>
      <c r="G27" s="98"/>
      <c r="H27" s="98">
        <f t="shared" si="28"/>
        <v>58</v>
      </c>
      <c r="I27" s="98">
        <v>145</v>
      </c>
      <c r="J27" s="98">
        <v>29</v>
      </c>
      <c r="K27" s="69"/>
      <c r="L27" s="69"/>
      <c r="M27" s="163"/>
      <c r="N27" s="69"/>
      <c r="O27" s="69"/>
      <c r="P27" s="108">
        <f t="shared" si="3"/>
        <v>3.6638279999999995E-2</v>
      </c>
      <c r="Q27" s="113">
        <f t="shared" si="4"/>
        <v>73.276559999999989</v>
      </c>
      <c r="R27" s="113">
        <v>12</v>
      </c>
      <c r="S27" s="153" t="s">
        <v>208</v>
      </c>
      <c r="T27" s="85">
        <v>4.3</v>
      </c>
      <c r="U27" s="182">
        <v>6566</v>
      </c>
      <c r="V27" s="106">
        <f t="shared" si="20"/>
        <v>9.2999999999999995E-4</v>
      </c>
      <c r="W27" s="68"/>
      <c r="X27" s="109">
        <f t="shared" si="6"/>
        <v>0.62615779199999999</v>
      </c>
      <c r="Y27" s="106">
        <v>8760</v>
      </c>
      <c r="Z27" s="121">
        <f t="shared" si="0"/>
        <v>0.14295839999999999</v>
      </c>
      <c r="AA27" s="109">
        <f t="shared" si="14"/>
        <v>0.04</v>
      </c>
      <c r="AB27" s="154" t="s">
        <v>211</v>
      </c>
      <c r="AC27" s="157">
        <f>H27</f>
        <v>58</v>
      </c>
      <c r="AD27" s="121">
        <v>0.04</v>
      </c>
      <c r="AE27" s="187">
        <f t="shared" si="1"/>
        <v>3.7600000000000001E-2</v>
      </c>
      <c r="AF27" s="158">
        <v>2.3E-2</v>
      </c>
      <c r="AG27" s="68"/>
      <c r="AH27" s="115">
        <f t="shared" si="7"/>
        <v>1.9052999999999997E-2</v>
      </c>
      <c r="AI27" s="106">
        <v>8760</v>
      </c>
      <c r="AJ27" s="99">
        <f t="shared" si="8"/>
        <v>4.3499999999999997E-3</v>
      </c>
      <c r="AK27" s="114">
        <f t="shared" si="9"/>
        <v>4.0000000000000001E-3</v>
      </c>
      <c r="AL27" s="154" t="s">
        <v>208</v>
      </c>
      <c r="AM27" s="52">
        <f>I27</f>
        <v>145</v>
      </c>
      <c r="AN27" s="87">
        <v>0</v>
      </c>
      <c r="AO27" s="173">
        <f t="shared" si="2"/>
        <v>0</v>
      </c>
      <c r="AP27" s="52">
        <v>7.4999999999999997E-3</v>
      </c>
      <c r="AQ27" s="68"/>
      <c r="AR27" s="115">
        <f t="shared" si="10"/>
        <v>2.3816250000000004E-2</v>
      </c>
      <c r="AS27" s="106">
        <v>8760</v>
      </c>
      <c r="AT27" s="176">
        <f t="shared" si="11"/>
        <v>5.4375000000000005E-3</v>
      </c>
      <c r="AU27" s="118">
        <f t="shared" si="12"/>
        <v>2.5000000000000001E-2</v>
      </c>
      <c r="AV27" s="154" t="s">
        <v>208</v>
      </c>
      <c r="AW27" s="52">
        <f>J27</f>
        <v>29</v>
      </c>
      <c r="AX27" s="87">
        <v>0</v>
      </c>
      <c r="AY27" s="173">
        <f t="shared" si="16"/>
        <v>0</v>
      </c>
      <c r="AZ27" s="52">
        <v>7.4999999999999997E-3</v>
      </c>
      <c r="BA27" s="68"/>
    </row>
    <row r="28" spans="2:53" s="119" customFormat="1" x14ac:dyDescent="0.2">
      <c r="B28" s="180" t="s">
        <v>200</v>
      </c>
      <c r="C28" s="181" t="s">
        <v>93</v>
      </c>
      <c r="D28" s="69">
        <v>30</v>
      </c>
      <c r="E28" s="68" t="s">
        <v>74</v>
      </c>
      <c r="F28" s="98">
        <v>5</v>
      </c>
      <c r="G28" s="98">
        <v>1</v>
      </c>
      <c r="H28" s="98">
        <f t="shared" si="28"/>
        <v>60</v>
      </c>
      <c r="I28" s="98">
        <f t="shared" ref="I28:I30" si="29">F28*D28</f>
        <v>150</v>
      </c>
      <c r="J28" s="98">
        <f t="shared" ref="J28:J30" si="30">G28*D28</f>
        <v>30</v>
      </c>
      <c r="K28" s="69"/>
      <c r="L28" s="183">
        <v>9449</v>
      </c>
      <c r="M28" s="163"/>
      <c r="N28" s="69"/>
      <c r="O28" s="69"/>
      <c r="P28" s="108">
        <f t="shared" si="3"/>
        <v>5.2725420000000002E-2</v>
      </c>
      <c r="Q28" s="113">
        <f t="shared" si="4"/>
        <v>105.45084</v>
      </c>
      <c r="R28" s="113">
        <v>12</v>
      </c>
      <c r="S28" s="153" t="s">
        <v>208</v>
      </c>
      <c r="T28" s="179">
        <v>4.3099999999999996</v>
      </c>
      <c r="U28" s="165">
        <f t="shared" ref="U28:U30" si="31">L28</f>
        <v>9449</v>
      </c>
      <c r="V28" s="106">
        <f t="shared" si="20"/>
        <v>9.2999999999999995E-4</v>
      </c>
      <c r="W28" s="68"/>
      <c r="X28" s="109">
        <f t="shared" si="6"/>
        <v>0.64774944000000001</v>
      </c>
      <c r="Y28" s="106">
        <v>8760</v>
      </c>
      <c r="Z28" s="121">
        <f t="shared" si="0"/>
        <v>0.14788800000000002</v>
      </c>
      <c r="AA28" s="109">
        <f t="shared" si="14"/>
        <v>0.04</v>
      </c>
      <c r="AB28" s="154" t="s">
        <v>211</v>
      </c>
      <c r="AC28" s="157">
        <f>H28</f>
        <v>60</v>
      </c>
      <c r="AD28" s="121">
        <v>0.04</v>
      </c>
      <c r="AE28" s="187">
        <f t="shared" si="1"/>
        <v>3.7600000000000001E-2</v>
      </c>
      <c r="AF28" s="158">
        <v>2.3E-2</v>
      </c>
      <c r="AG28" s="68"/>
      <c r="AH28" s="115">
        <f t="shared" si="7"/>
        <v>1.9709999999999998E-2</v>
      </c>
      <c r="AI28" s="106">
        <v>8760</v>
      </c>
      <c r="AJ28" s="99">
        <f t="shared" si="8"/>
        <v>4.4999999999999997E-3</v>
      </c>
      <c r="AK28" s="114">
        <f t="shared" si="9"/>
        <v>4.0000000000000001E-3</v>
      </c>
      <c r="AL28" s="154" t="s">
        <v>208</v>
      </c>
      <c r="AM28" s="52">
        <f>I28</f>
        <v>150</v>
      </c>
      <c r="AN28" s="175">
        <v>1.1000000000000001E-3</v>
      </c>
      <c r="AO28" s="173">
        <f t="shared" si="2"/>
        <v>1.1000000000000001E-3</v>
      </c>
      <c r="AP28" s="52">
        <v>7.4999999999999997E-3</v>
      </c>
      <c r="AQ28" s="68"/>
      <c r="AR28" s="115">
        <f t="shared" si="10"/>
        <v>2.46375E-2</v>
      </c>
      <c r="AS28" s="106">
        <v>8760</v>
      </c>
      <c r="AT28" s="176">
        <f t="shared" si="11"/>
        <v>5.6249999999999998E-3</v>
      </c>
      <c r="AU28" s="118">
        <f t="shared" si="12"/>
        <v>2.5000000000000001E-2</v>
      </c>
      <c r="AV28" s="154" t="s">
        <v>208</v>
      </c>
      <c r="AW28" s="52">
        <f>J28</f>
        <v>30</v>
      </c>
      <c r="AX28" s="175">
        <v>7.9000000000000008E-3</v>
      </c>
      <c r="AY28" s="173">
        <f t="shared" si="16"/>
        <v>7.9000000000000008E-3</v>
      </c>
      <c r="AZ28" s="52">
        <v>7.4999999999999997E-3</v>
      </c>
      <c r="BA28" s="68"/>
    </row>
    <row r="29" spans="2:53" s="119" customFormat="1" x14ac:dyDescent="0.2">
      <c r="B29" s="180" t="s">
        <v>200</v>
      </c>
      <c r="C29" s="181" t="s">
        <v>94</v>
      </c>
      <c r="D29" s="69">
        <v>30</v>
      </c>
      <c r="E29" s="68" t="s">
        <v>74</v>
      </c>
      <c r="F29" s="98">
        <v>5</v>
      </c>
      <c r="G29" s="98">
        <v>1</v>
      </c>
      <c r="H29" s="98">
        <f t="shared" si="28"/>
        <v>60</v>
      </c>
      <c r="I29" s="98">
        <f t="shared" si="29"/>
        <v>150</v>
      </c>
      <c r="J29" s="98">
        <f t="shared" si="30"/>
        <v>30</v>
      </c>
      <c r="K29" s="69"/>
      <c r="L29" s="183">
        <v>8827</v>
      </c>
      <c r="M29" s="68"/>
      <c r="N29" s="69"/>
      <c r="O29" s="69"/>
      <c r="P29" s="108">
        <f t="shared" si="3"/>
        <v>4.9254659999999992E-2</v>
      </c>
      <c r="Q29" s="113">
        <f t="shared" si="4"/>
        <v>98.509319999999988</v>
      </c>
      <c r="R29" s="113">
        <v>12</v>
      </c>
      <c r="S29" s="153" t="s">
        <v>208</v>
      </c>
      <c r="T29" s="179">
        <v>4.3099999999999996</v>
      </c>
      <c r="U29" s="165">
        <f t="shared" si="31"/>
        <v>8827</v>
      </c>
      <c r="V29" s="106">
        <f t="shared" si="20"/>
        <v>9.2999999999999995E-4</v>
      </c>
      <c r="W29" s="68"/>
      <c r="X29" s="109">
        <f t="shared" si="6"/>
        <v>0.64774944000000001</v>
      </c>
      <c r="Y29" s="106">
        <v>8760</v>
      </c>
      <c r="Z29" s="121">
        <f t="shared" si="0"/>
        <v>0.14788800000000002</v>
      </c>
      <c r="AA29" s="109">
        <f t="shared" si="14"/>
        <v>0.04</v>
      </c>
      <c r="AB29" s="154" t="s">
        <v>211</v>
      </c>
      <c r="AC29" s="157">
        <f>H29</f>
        <v>60</v>
      </c>
      <c r="AD29" s="121">
        <v>0.04</v>
      </c>
      <c r="AE29" s="187">
        <f t="shared" si="1"/>
        <v>3.7600000000000001E-2</v>
      </c>
      <c r="AF29" s="158">
        <v>2.3E-2</v>
      </c>
      <c r="AG29" s="68"/>
      <c r="AH29" s="115">
        <f t="shared" si="7"/>
        <v>1.9709999999999998E-2</v>
      </c>
      <c r="AI29" s="106">
        <v>8760</v>
      </c>
      <c r="AJ29" s="99">
        <f t="shared" si="8"/>
        <v>4.4999999999999997E-3</v>
      </c>
      <c r="AK29" s="114">
        <f t="shared" si="9"/>
        <v>4.0000000000000001E-3</v>
      </c>
      <c r="AL29" s="154" t="s">
        <v>208</v>
      </c>
      <c r="AM29" s="52">
        <f>I29</f>
        <v>150</v>
      </c>
      <c r="AN29" s="175">
        <v>8.0000000000000004E-4</v>
      </c>
      <c r="AO29" s="173">
        <f t="shared" si="2"/>
        <v>8.0000000000000004E-4</v>
      </c>
      <c r="AP29" s="52">
        <v>7.4999999999999997E-3</v>
      </c>
      <c r="AQ29" s="68"/>
      <c r="AR29" s="115">
        <f t="shared" si="10"/>
        <v>2.46375E-2</v>
      </c>
      <c r="AS29" s="106">
        <v>8760</v>
      </c>
      <c r="AT29" s="176">
        <f t="shared" si="11"/>
        <v>5.6249999999999998E-3</v>
      </c>
      <c r="AU29" s="118">
        <f t="shared" si="12"/>
        <v>2.5000000000000001E-2</v>
      </c>
      <c r="AV29" s="154" t="s">
        <v>208</v>
      </c>
      <c r="AW29" s="52">
        <f>J29</f>
        <v>30</v>
      </c>
      <c r="AX29" s="175">
        <v>5.1000000000000004E-3</v>
      </c>
      <c r="AY29" s="173">
        <f t="shared" si="16"/>
        <v>5.1000000000000004E-3</v>
      </c>
      <c r="AZ29" s="52">
        <v>7.4999999999999997E-3</v>
      </c>
      <c r="BA29" s="68"/>
    </row>
    <row r="30" spans="2:53" s="119" customFormat="1" x14ac:dyDescent="0.2">
      <c r="B30" s="180" t="s">
        <v>200</v>
      </c>
      <c r="C30" s="181" t="s">
        <v>95</v>
      </c>
      <c r="D30" s="69">
        <v>60</v>
      </c>
      <c r="E30" s="68" t="s">
        <v>74</v>
      </c>
      <c r="F30" s="98">
        <v>5</v>
      </c>
      <c r="G30" s="98">
        <v>1</v>
      </c>
      <c r="H30" s="98">
        <f t="shared" si="28"/>
        <v>120</v>
      </c>
      <c r="I30" s="98">
        <f t="shared" si="29"/>
        <v>300</v>
      </c>
      <c r="J30" s="98">
        <f t="shared" si="30"/>
        <v>60</v>
      </c>
      <c r="K30" s="69"/>
      <c r="L30" s="183">
        <v>12184</v>
      </c>
      <c r="M30" s="68"/>
      <c r="N30" s="69"/>
      <c r="O30" s="69"/>
      <c r="P30" s="108">
        <f t="shared" si="3"/>
        <v>6.7986719999999987E-2</v>
      </c>
      <c r="Q30" s="113">
        <f t="shared" si="4"/>
        <v>135.97343999999998</v>
      </c>
      <c r="R30" s="113">
        <v>12</v>
      </c>
      <c r="S30" s="153" t="s">
        <v>208</v>
      </c>
      <c r="T30" s="179">
        <v>3.48</v>
      </c>
      <c r="U30" s="165">
        <f t="shared" si="31"/>
        <v>12184</v>
      </c>
      <c r="V30" s="106">
        <f t="shared" si="20"/>
        <v>9.2999999999999995E-4</v>
      </c>
      <c r="W30" s="68"/>
      <c r="X30" s="109">
        <f t="shared" si="6"/>
        <v>1.29549888</v>
      </c>
      <c r="Y30" s="106">
        <v>8760</v>
      </c>
      <c r="Z30" s="121">
        <f t="shared" si="0"/>
        <v>0.29577600000000004</v>
      </c>
      <c r="AA30" s="109">
        <f t="shared" si="14"/>
        <v>0.04</v>
      </c>
      <c r="AB30" s="154" t="s">
        <v>211</v>
      </c>
      <c r="AC30" s="157">
        <f>H30</f>
        <v>120</v>
      </c>
      <c r="AD30" s="121">
        <v>0.04</v>
      </c>
      <c r="AE30" s="187">
        <f t="shared" si="1"/>
        <v>3.7600000000000001E-2</v>
      </c>
      <c r="AF30" s="158">
        <v>2.3E-2</v>
      </c>
      <c r="AG30" s="68"/>
      <c r="AH30" s="115">
        <f t="shared" si="7"/>
        <v>3.9419999999999997E-2</v>
      </c>
      <c r="AI30" s="106">
        <v>8760</v>
      </c>
      <c r="AJ30" s="99">
        <f t="shared" si="8"/>
        <v>8.9999999999999993E-3</v>
      </c>
      <c r="AK30" s="114">
        <f t="shared" si="9"/>
        <v>4.0000000000000001E-3</v>
      </c>
      <c r="AL30" s="154" t="s">
        <v>208</v>
      </c>
      <c r="AM30" s="52">
        <f>I30</f>
        <v>300</v>
      </c>
      <c r="AN30" s="175">
        <v>6.9999999999999999E-4</v>
      </c>
      <c r="AO30" s="173">
        <f t="shared" si="2"/>
        <v>6.9999999999999999E-4</v>
      </c>
      <c r="AP30" s="52">
        <v>7.4999999999999997E-3</v>
      </c>
      <c r="AQ30" s="68"/>
      <c r="AR30" s="115">
        <f t="shared" si="10"/>
        <v>4.9274999999999999E-2</v>
      </c>
      <c r="AS30" s="106">
        <v>8760</v>
      </c>
      <c r="AT30" s="176">
        <f t="shared" si="11"/>
        <v>1.125E-2</v>
      </c>
      <c r="AU30" s="118">
        <f t="shared" si="12"/>
        <v>2.5000000000000001E-2</v>
      </c>
      <c r="AV30" s="154" t="s">
        <v>208</v>
      </c>
      <c r="AW30" s="52">
        <f>J30</f>
        <v>60</v>
      </c>
      <c r="AX30" s="175">
        <v>7.6E-3</v>
      </c>
      <c r="AY30" s="173">
        <f t="shared" si="16"/>
        <v>7.6E-3</v>
      </c>
      <c r="AZ30" s="52">
        <v>7.4999999999999997E-3</v>
      </c>
      <c r="BA30" s="68"/>
    </row>
    <row r="31" spans="2:53" s="119" customFormat="1" x14ac:dyDescent="0.2">
      <c r="S31" s="186"/>
    </row>
    <row r="32" spans="2:53" s="88" customFormat="1" x14ac:dyDescent="0.2">
      <c r="S32" s="105"/>
    </row>
    <row r="33" spans="19:19" s="88" customFormat="1" x14ac:dyDescent="0.2">
      <c r="S33" s="105"/>
    </row>
    <row r="34" spans="19:19" s="88" customFormat="1" x14ac:dyDescent="0.2">
      <c r="S34" s="105"/>
    </row>
    <row r="35" spans="19:19" s="88" customFormat="1" x14ac:dyDescent="0.2">
      <c r="S35" s="105"/>
    </row>
    <row r="36" spans="19:19" s="88" customFormat="1" x14ac:dyDescent="0.2">
      <c r="S36" s="105"/>
    </row>
  </sheetData>
  <autoFilter ref="B3:BA30" xr:uid="{B9D15D55-5E13-4BCF-AA66-6C66902EF48B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FF237-96B6-4247-8BC2-6F2726BAFAAA}">
  <dimension ref="B1:AZ30"/>
  <sheetViews>
    <sheetView zoomScale="70" zoomScaleNormal="70" workbookViewId="0">
      <pane xSplit="3" ySplit="3" topLeftCell="D4" activePane="bottomRight" state="frozen"/>
      <selection activeCell="AA2" sqref="AA2"/>
      <selection pane="topRight" activeCell="AA2" sqref="AA2"/>
      <selection pane="bottomLeft" activeCell="AA2" sqref="AA2"/>
      <selection pane="bottomRight"/>
    </sheetView>
  </sheetViews>
  <sheetFormatPr defaultColWidth="9.140625" defaultRowHeight="12.75" x14ac:dyDescent="0.2"/>
  <cols>
    <col min="1" max="1" width="4.7109375" style="46" customWidth="1"/>
    <col min="2" max="2" width="21" style="46" bestFit="1" customWidth="1"/>
    <col min="3" max="3" width="17.7109375" style="46" customWidth="1"/>
    <col min="4" max="4" width="12.140625" style="46" customWidth="1"/>
    <col min="5" max="5" width="12.85546875" style="46" customWidth="1"/>
    <col min="6" max="15" width="13.7109375" style="46" customWidth="1"/>
    <col min="16" max="16" width="15.85546875" style="46" customWidth="1"/>
    <col min="17" max="17" width="13.7109375" style="46" customWidth="1"/>
    <col min="18" max="18" width="13.7109375" style="88" customWidth="1"/>
    <col min="19" max="19" width="38.5703125" style="105" customWidth="1"/>
    <col min="20" max="23" width="13.7109375" style="46" customWidth="1"/>
    <col min="24" max="24" width="15" style="46" customWidth="1"/>
    <col min="25" max="25" width="14.5703125" style="46" customWidth="1"/>
    <col min="26" max="26" width="13.7109375" style="46" customWidth="1"/>
    <col min="27" max="27" width="24.7109375" style="46" customWidth="1"/>
    <col min="28" max="28" width="46.28515625" style="46" customWidth="1"/>
    <col min="29" max="32" width="13.7109375" style="46" customWidth="1"/>
    <col min="33" max="33" width="16" style="46" customWidth="1"/>
    <col min="34" max="34" width="14.85546875" style="46" customWidth="1"/>
    <col min="35" max="35" width="13.7109375" style="46" customWidth="1"/>
    <col min="36" max="36" width="17.42578125" style="46" customWidth="1"/>
    <col min="37" max="37" width="38.5703125" style="46" customWidth="1"/>
    <col min="38" max="42" width="13.7109375" style="46" customWidth="1"/>
    <col min="43" max="43" width="15" style="46" customWidth="1"/>
    <col min="44" max="44" width="14.7109375" style="46" customWidth="1"/>
    <col min="45" max="45" width="13.7109375" style="46" customWidth="1"/>
    <col min="46" max="46" width="14" style="46" customWidth="1"/>
    <col min="47" max="47" width="38.5703125" style="46" customWidth="1"/>
    <col min="48" max="52" width="13.7109375" style="46" customWidth="1"/>
    <col min="53" max="16384" width="9.140625" style="46"/>
  </cols>
  <sheetData>
    <row r="1" spans="2:52" s="1" customFormat="1" ht="15" customHeight="1" x14ac:dyDescent="0.2">
      <c r="B1" s="70"/>
      <c r="C1" s="70"/>
      <c r="D1" s="70" t="s">
        <v>197</v>
      </c>
      <c r="E1" s="70"/>
      <c r="F1" s="70" t="s">
        <v>197</v>
      </c>
      <c r="G1" s="70" t="s">
        <v>197</v>
      </c>
      <c r="H1" s="70" t="s">
        <v>197</v>
      </c>
      <c r="I1" s="70" t="s">
        <v>197</v>
      </c>
      <c r="J1" s="70" t="s">
        <v>197</v>
      </c>
      <c r="K1" s="70"/>
      <c r="L1" s="70" t="s">
        <v>199</v>
      </c>
      <c r="M1" s="70" t="s">
        <v>197</v>
      </c>
      <c r="N1" s="70"/>
      <c r="O1" s="70"/>
      <c r="P1" s="71" t="s">
        <v>212</v>
      </c>
      <c r="Q1" s="71"/>
      <c r="R1" s="71"/>
      <c r="S1" s="102"/>
      <c r="T1" s="71"/>
      <c r="U1" s="71"/>
      <c r="V1" s="71"/>
      <c r="W1" s="71" t="s">
        <v>198</v>
      </c>
      <c r="X1" s="72" t="s">
        <v>212</v>
      </c>
      <c r="Y1" s="72"/>
      <c r="Z1" s="83"/>
      <c r="AA1" s="72"/>
      <c r="AB1" s="72"/>
      <c r="AC1" s="72"/>
      <c r="AD1" s="110"/>
      <c r="AE1" s="120"/>
      <c r="AF1" s="111"/>
      <c r="AG1" s="73" t="s">
        <v>212</v>
      </c>
      <c r="AH1" s="73"/>
      <c r="AI1" s="73"/>
      <c r="AJ1" s="73"/>
      <c r="AK1" s="73"/>
      <c r="AL1" s="73"/>
      <c r="AM1" s="73"/>
      <c r="AN1" s="73"/>
      <c r="AO1" s="73"/>
      <c r="AP1" s="73" t="s">
        <v>198</v>
      </c>
      <c r="AQ1" s="74" t="s">
        <v>212</v>
      </c>
      <c r="AR1" s="74"/>
      <c r="AS1" s="116"/>
      <c r="AT1" s="116"/>
      <c r="AU1" s="116"/>
      <c r="AV1" s="116"/>
      <c r="AW1" s="116"/>
      <c r="AX1" s="116"/>
      <c r="AY1" s="116"/>
      <c r="AZ1" s="116" t="s">
        <v>198</v>
      </c>
    </row>
    <row r="2" spans="2:52" s="1" customFormat="1" ht="26.25" x14ac:dyDescent="0.25">
      <c r="B2" s="70"/>
      <c r="C2" s="70" t="s">
        <v>99</v>
      </c>
      <c r="D2" s="70" t="s">
        <v>99</v>
      </c>
      <c r="E2" s="70" t="s">
        <v>66</v>
      </c>
      <c r="F2" s="70" t="s">
        <v>99</v>
      </c>
      <c r="G2" s="70" t="s">
        <v>99</v>
      </c>
      <c r="H2" s="70" t="s">
        <v>99</v>
      </c>
      <c r="I2" s="70" t="s">
        <v>99</v>
      </c>
      <c r="J2" s="70" t="s">
        <v>99</v>
      </c>
      <c r="K2" s="70" t="s">
        <v>99</v>
      </c>
      <c r="L2" s="70" t="s">
        <v>99</v>
      </c>
      <c r="M2" s="70" t="s">
        <v>99</v>
      </c>
      <c r="N2" s="70" t="s">
        <v>99</v>
      </c>
      <c r="O2" s="70" t="s">
        <v>99</v>
      </c>
      <c r="P2" s="71" t="s">
        <v>202</v>
      </c>
      <c r="Q2" s="82" t="s">
        <v>102</v>
      </c>
      <c r="R2" s="82"/>
      <c r="S2" s="103"/>
      <c r="T2" s="82"/>
      <c r="U2" s="82"/>
      <c r="V2" s="82"/>
      <c r="W2" s="71" t="s">
        <v>99</v>
      </c>
      <c r="X2" s="72" t="s">
        <v>219</v>
      </c>
      <c r="Y2" s="72"/>
      <c r="Z2" s="83" t="s">
        <v>185</v>
      </c>
      <c r="AA2" s="83"/>
      <c r="AB2" s="83"/>
      <c r="AC2" s="83"/>
      <c r="AD2" s="83"/>
      <c r="AE2" s="83"/>
      <c r="AF2" s="83"/>
      <c r="AG2" s="73" t="s">
        <v>202</v>
      </c>
      <c r="AH2" s="73"/>
      <c r="AI2" s="81" t="s">
        <v>191</v>
      </c>
      <c r="AJ2" s="81"/>
      <c r="AK2" s="81"/>
      <c r="AL2" s="81"/>
      <c r="AM2" s="81"/>
      <c r="AN2" s="81"/>
      <c r="AO2" s="81"/>
      <c r="AP2" s="73" t="s">
        <v>99</v>
      </c>
      <c r="AQ2" s="74" t="s">
        <v>202</v>
      </c>
      <c r="AR2" s="74"/>
      <c r="AS2" s="117" t="s">
        <v>223</v>
      </c>
      <c r="AT2" s="117"/>
      <c r="AU2" s="117"/>
      <c r="AV2" s="117"/>
      <c r="AW2" s="117"/>
      <c r="AX2" s="117"/>
      <c r="AY2" s="117"/>
      <c r="AZ2" s="74" t="s">
        <v>99</v>
      </c>
    </row>
    <row r="3" spans="2:52" s="1" customFormat="1" ht="65.25" x14ac:dyDescent="0.2">
      <c r="B3" s="70" t="s">
        <v>11</v>
      </c>
      <c r="C3" s="75" t="s">
        <v>67</v>
      </c>
      <c r="D3" s="76" t="s">
        <v>68</v>
      </c>
      <c r="E3" s="76" t="s">
        <v>69</v>
      </c>
      <c r="F3" s="76" t="s">
        <v>107</v>
      </c>
      <c r="G3" s="76" t="s">
        <v>108</v>
      </c>
      <c r="H3" s="76" t="s">
        <v>109</v>
      </c>
      <c r="I3" s="76" t="s">
        <v>110</v>
      </c>
      <c r="J3" s="76" t="s">
        <v>111</v>
      </c>
      <c r="K3" s="76" t="s">
        <v>112</v>
      </c>
      <c r="L3" s="76" t="s">
        <v>113</v>
      </c>
      <c r="M3" s="76" t="s">
        <v>114</v>
      </c>
      <c r="N3" s="76" t="s">
        <v>116</v>
      </c>
      <c r="O3" s="76" t="s">
        <v>117</v>
      </c>
      <c r="P3" s="71" t="s">
        <v>201</v>
      </c>
      <c r="Q3" s="77" t="s">
        <v>222</v>
      </c>
      <c r="R3" s="77" t="s">
        <v>216</v>
      </c>
      <c r="S3" s="104" t="s">
        <v>209</v>
      </c>
      <c r="T3" s="77" t="s">
        <v>96</v>
      </c>
      <c r="U3" s="77" t="s">
        <v>100</v>
      </c>
      <c r="V3" s="77" t="s">
        <v>101</v>
      </c>
      <c r="W3" s="77" t="s">
        <v>16</v>
      </c>
      <c r="X3" s="72" t="s">
        <v>203</v>
      </c>
      <c r="Y3" s="78" t="s">
        <v>204</v>
      </c>
      <c r="Z3" s="78" t="s">
        <v>186</v>
      </c>
      <c r="AA3" s="78" t="s">
        <v>213</v>
      </c>
      <c r="AB3" s="78" t="s">
        <v>209</v>
      </c>
      <c r="AC3" s="78" t="s">
        <v>187</v>
      </c>
      <c r="AD3" s="78" t="s">
        <v>188</v>
      </c>
      <c r="AE3" s="78" t="s">
        <v>189</v>
      </c>
      <c r="AF3" s="78" t="s">
        <v>190</v>
      </c>
      <c r="AG3" s="73" t="s">
        <v>205</v>
      </c>
      <c r="AH3" s="79" t="s">
        <v>204</v>
      </c>
      <c r="AI3" s="79" t="s">
        <v>192</v>
      </c>
      <c r="AJ3" s="79" t="s">
        <v>214</v>
      </c>
      <c r="AK3" s="79" t="s">
        <v>209</v>
      </c>
      <c r="AL3" s="79" t="s">
        <v>193</v>
      </c>
      <c r="AM3" s="79" t="s">
        <v>97</v>
      </c>
      <c r="AN3" s="79" t="s">
        <v>194</v>
      </c>
      <c r="AO3" s="79" t="s">
        <v>195</v>
      </c>
      <c r="AP3" s="79" t="s">
        <v>18</v>
      </c>
      <c r="AQ3" s="74" t="s">
        <v>206</v>
      </c>
      <c r="AR3" s="80" t="s">
        <v>204</v>
      </c>
      <c r="AS3" s="80" t="s">
        <v>224</v>
      </c>
      <c r="AT3" s="80" t="s">
        <v>215</v>
      </c>
      <c r="AU3" s="80" t="s">
        <v>209</v>
      </c>
      <c r="AV3" s="80" t="s">
        <v>227</v>
      </c>
      <c r="AW3" s="80" t="s">
        <v>98</v>
      </c>
      <c r="AX3" s="80" t="s">
        <v>196</v>
      </c>
      <c r="AY3" s="80" t="s">
        <v>195</v>
      </c>
      <c r="AZ3" s="80" t="s">
        <v>19</v>
      </c>
    </row>
    <row r="4" spans="2:52" s="119" customFormat="1" x14ac:dyDescent="0.2">
      <c r="B4" s="161" t="s">
        <v>53</v>
      </c>
      <c r="C4" s="161" t="s">
        <v>70</v>
      </c>
      <c r="D4" s="162">
        <v>47</v>
      </c>
      <c r="E4" s="101" t="s">
        <v>71</v>
      </c>
      <c r="F4" s="106">
        <v>4</v>
      </c>
      <c r="G4" s="106">
        <v>1</v>
      </c>
      <c r="H4" s="106">
        <f>47*2</f>
        <v>94</v>
      </c>
      <c r="I4" s="106">
        <f>47*4</f>
        <v>188</v>
      </c>
      <c r="J4" s="106">
        <v>47</v>
      </c>
      <c r="K4" s="106">
        <v>124</v>
      </c>
      <c r="L4" s="100">
        <v>2978</v>
      </c>
      <c r="M4" s="163" t="s">
        <v>158</v>
      </c>
      <c r="N4" s="106" t="s">
        <v>149</v>
      </c>
      <c r="O4" s="106" t="s">
        <v>129</v>
      </c>
      <c r="P4" s="108">
        <f>Q4/2000</f>
        <v>1.6617239999999998E-2</v>
      </c>
      <c r="Q4" s="113">
        <f>R4*U4*V4</f>
        <v>33.234479999999998</v>
      </c>
      <c r="R4" s="113">
        <v>12</v>
      </c>
      <c r="S4" s="153" t="s">
        <v>208</v>
      </c>
      <c r="T4" s="164">
        <f>W4</f>
        <v>7.416666666666667</v>
      </c>
      <c r="U4" s="165">
        <f>L4</f>
        <v>2978</v>
      </c>
      <c r="V4" s="106">
        <f>0.0093/10</f>
        <v>9.2999999999999995E-4</v>
      </c>
      <c r="W4" s="108">
        <v>7.416666666666667</v>
      </c>
      <c r="X4" s="109">
        <f>Z4*Y4/2000</f>
        <v>1.1116440000000001</v>
      </c>
      <c r="Y4" s="106">
        <v>8760</v>
      </c>
      <c r="Z4" s="109">
        <f>AC4*AA4*AD4+AC4*AE4*AF4</f>
        <v>0.25380000000000003</v>
      </c>
      <c r="AA4" s="108">
        <f>3.3/100</f>
        <v>3.3000000000000002E-2</v>
      </c>
      <c r="AB4" s="154" t="s">
        <v>217</v>
      </c>
      <c r="AC4" s="155">
        <f>H4</f>
        <v>94</v>
      </c>
      <c r="AD4" s="109">
        <v>0.04</v>
      </c>
      <c r="AE4" s="109">
        <f>6/100</f>
        <v>0.06</v>
      </c>
      <c r="AF4" s="108">
        <v>2.3E-2</v>
      </c>
      <c r="AG4" s="115">
        <f>AI4*AH4/2000</f>
        <v>2.4703199999999998E-2</v>
      </c>
      <c r="AH4" s="106">
        <v>8760</v>
      </c>
      <c r="AI4" s="99">
        <f>AL4*AJ4*AO4</f>
        <v>5.64E-3</v>
      </c>
      <c r="AJ4" s="114">
        <f>0.4/100</f>
        <v>4.0000000000000001E-3</v>
      </c>
      <c r="AK4" s="154" t="s">
        <v>208</v>
      </c>
      <c r="AL4" s="101">
        <f>I4</f>
        <v>188</v>
      </c>
      <c r="AM4" s="87">
        <f>AP4</f>
        <v>0</v>
      </c>
      <c r="AN4" s="166">
        <f t="shared" ref="AN4:AN30" si="0">AM4</f>
        <v>0</v>
      </c>
      <c r="AO4" s="101">
        <v>7.4999999999999997E-3</v>
      </c>
      <c r="AP4" s="156">
        <v>0</v>
      </c>
      <c r="AQ4" s="115">
        <f>AS4*AR4/2000</f>
        <v>3.8598749999999994E-2</v>
      </c>
      <c r="AR4" s="106">
        <v>8760</v>
      </c>
      <c r="AS4" s="167">
        <f>AV4*AT4*AY4</f>
        <v>8.8124999999999992E-3</v>
      </c>
      <c r="AT4" s="118">
        <f>2.5/100</f>
        <v>2.5000000000000001E-2</v>
      </c>
      <c r="AU4" s="154" t="s">
        <v>208</v>
      </c>
      <c r="AV4" s="101">
        <f>J4</f>
        <v>47</v>
      </c>
      <c r="AW4" s="168">
        <f>AZ4</f>
        <v>1.8888888888888888E-4</v>
      </c>
      <c r="AX4" s="166">
        <f>AW4</f>
        <v>1.8888888888888888E-4</v>
      </c>
      <c r="AY4" s="101">
        <v>7.4999999999999997E-3</v>
      </c>
      <c r="AZ4" s="156">
        <f>'Enc1 Part VI BL Q89'!J18</f>
        <v>1.8888888888888888E-4</v>
      </c>
    </row>
    <row r="5" spans="2:52" s="119" customFormat="1" x14ac:dyDescent="0.2">
      <c r="B5" s="163" t="s">
        <v>53</v>
      </c>
      <c r="C5" s="87" t="s">
        <v>72</v>
      </c>
      <c r="D5" s="169">
        <v>47</v>
      </c>
      <c r="E5" s="52" t="s">
        <v>71</v>
      </c>
      <c r="F5" s="98">
        <v>4</v>
      </c>
      <c r="G5" s="98">
        <v>1</v>
      </c>
      <c r="H5" s="98">
        <v>94</v>
      </c>
      <c r="I5" s="98">
        <v>188</v>
      </c>
      <c r="J5" s="98">
        <v>47</v>
      </c>
      <c r="K5" s="98"/>
      <c r="L5" s="170"/>
      <c r="M5" s="98" t="s">
        <v>4</v>
      </c>
      <c r="N5" s="106" t="s">
        <v>149</v>
      </c>
      <c r="O5" s="98" t="s">
        <v>129</v>
      </c>
      <c r="P5" s="108">
        <f t="shared" ref="P5:P30" si="1">Q5/2000</f>
        <v>1.6617239999999998E-2</v>
      </c>
      <c r="Q5" s="113">
        <f t="shared" ref="Q5:Q30" si="2">R5*U5*V5</f>
        <v>33.234479999999998</v>
      </c>
      <c r="R5" s="113">
        <v>12</v>
      </c>
      <c r="S5" s="153" t="s">
        <v>208</v>
      </c>
      <c r="T5" s="171">
        <f>T4</f>
        <v>7.416666666666667</v>
      </c>
      <c r="U5" s="86">
        <f>U4</f>
        <v>2978</v>
      </c>
      <c r="V5" s="106">
        <f t="shared" ref="V5:V7" si="3">0.0093/10</f>
        <v>9.2999999999999995E-4</v>
      </c>
      <c r="W5" s="52"/>
      <c r="X5" s="109">
        <f t="shared" ref="X5:X30" si="4">Z5*Y5/2000</f>
        <v>1.1116440000000001</v>
      </c>
      <c r="Y5" s="106">
        <v>8760</v>
      </c>
      <c r="Z5" s="121">
        <f t="shared" ref="Z5:Z30" si="5">AC5*AA5*AD5+AC5*AE5*AF5</f>
        <v>0.25380000000000003</v>
      </c>
      <c r="AA5" s="108">
        <f>3.3/100</f>
        <v>3.3000000000000002E-2</v>
      </c>
      <c r="AB5" s="154" t="s">
        <v>217</v>
      </c>
      <c r="AC5" s="157">
        <f>H5</f>
        <v>94</v>
      </c>
      <c r="AD5" s="109">
        <v>0.04</v>
      </c>
      <c r="AE5" s="109">
        <f>6/100</f>
        <v>0.06</v>
      </c>
      <c r="AF5" s="108">
        <v>2.3E-2</v>
      </c>
      <c r="AG5" s="115">
        <f t="shared" ref="AG5:AG30" si="6">AI5*AH5/2000</f>
        <v>2.4703199999999998E-2</v>
      </c>
      <c r="AH5" s="106">
        <v>8760</v>
      </c>
      <c r="AI5" s="99">
        <f t="shared" ref="AI5:AI30" si="7">AL5*AJ5*AO5</f>
        <v>5.64E-3</v>
      </c>
      <c r="AJ5" s="114">
        <f t="shared" ref="AJ5:AJ30" si="8">0.4/100</f>
        <v>4.0000000000000001E-3</v>
      </c>
      <c r="AK5" s="154" t="s">
        <v>208</v>
      </c>
      <c r="AL5" s="52">
        <f>I5</f>
        <v>188</v>
      </c>
      <c r="AM5" s="87">
        <f>AM4</f>
        <v>0</v>
      </c>
      <c r="AN5" s="166">
        <f t="shared" si="0"/>
        <v>0</v>
      </c>
      <c r="AO5" s="101">
        <v>7.4999999999999997E-3</v>
      </c>
      <c r="AP5" s="52"/>
      <c r="AQ5" s="115">
        <f t="shared" ref="AQ5:AQ30" si="9">AS5*AR5/2000</f>
        <v>3.8598749999999994E-2</v>
      </c>
      <c r="AR5" s="106">
        <v>8760</v>
      </c>
      <c r="AS5" s="167">
        <f t="shared" ref="AS5:AS30" si="10">AV5*AT5*AY5</f>
        <v>8.8124999999999992E-3</v>
      </c>
      <c r="AT5" s="118">
        <f t="shared" ref="AT5:AT30" si="11">2.5/100</f>
        <v>2.5000000000000001E-2</v>
      </c>
      <c r="AU5" s="154" t="s">
        <v>208</v>
      </c>
      <c r="AV5" s="52">
        <f>J5</f>
        <v>47</v>
      </c>
      <c r="AW5" s="87">
        <f>AW4</f>
        <v>1.8888888888888888E-4</v>
      </c>
      <c r="AX5" s="166">
        <f>AW5</f>
        <v>1.8888888888888888E-4</v>
      </c>
      <c r="AY5" s="101">
        <v>7.4999999999999997E-3</v>
      </c>
      <c r="AZ5" s="52"/>
    </row>
    <row r="6" spans="2:52" s="119" customFormat="1" x14ac:dyDescent="0.2">
      <c r="B6" s="163" t="s">
        <v>53</v>
      </c>
      <c r="C6" s="87" t="s">
        <v>73</v>
      </c>
      <c r="D6" s="169">
        <v>51</v>
      </c>
      <c r="E6" s="52" t="s">
        <v>71</v>
      </c>
      <c r="F6" s="98">
        <v>4</v>
      </c>
      <c r="G6" s="98">
        <v>1</v>
      </c>
      <c r="H6" s="98">
        <v>102</v>
      </c>
      <c r="I6" s="98">
        <f>51*4</f>
        <v>204</v>
      </c>
      <c r="J6" s="98">
        <v>51</v>
      </c>
      <c r="K6" s="157"/>
      <c r="L6" s="170"/>
      <c r="M6" s="98" t="s">
        <v>4</v>
      </c>
      <c r="N6" s="106" t="s">
        <v>149</v>
      </c>
      <c r="O6" s="98" t="s">
        <v>129</v>
      </c>
      <c r="P6" s="108">
        <f t="shared" si="1"/>
        <v>1.6617239999999998E-2</v>
      </c>
      <c r="Q6" s="113">
        <f t="shared" si="2"/>
        <v>33.234479999999998</v>
      </c>
      <c r="R6" s="113">
        <v>12</v>
      </c>
      <c r="S6" s="153" t="s">
        <v>208</v>
      </c>
      <c r="T6" s="171">
        <f>T4</f>
        <v>7.416666666666667</v>
      </c>
      <c r="U6" s="86">
        <f>U4</f>
        <v>2978</v>
      </c>
      <c r="V6" s="106">
        <f t="shared" si="3"/>
        <v>9.2999999999999995E-4</v>
      </c>
      <c r="W6" s="52"/>
      <c r="X6" s="109">
        <f t="shared" si="4"/>
        <v>1.2062519999999999</v>
      </c>
      <c r="Y6" s="106">
        <v>8760</v>
      </c>
      <c r="Z6" s="121">
        <f t="shared" si="5"/>
        <v>0.27539999999999998</v>
      </c>
      <c r="AA6" s="108">
        <f>3.3/100</f>
        <v>3.3000000000000002E-2</v>
      </c>
      <c r="AB6" s="154" t="s">
        <v>217</v>
      </c>
      <c r="AC6" s="157">
        <f>H6</f>
        <v>102</v>
      </c>
      <c r="AD6" s="109">
        <v>0.04</v>
      </c>
      <c r="AE6" s="109">
        <f>6/100</f>
        <v>0.06</v>
      </c>
      <c r="AF6" s="108">
        <v>2.3E-2</v>
      </c>
      <c r="AG6" s="115">
        <f t="shared" si="6"/>
        <v>2.6805600000000002E-2</v>
      </c>
      <c r="AH6" s="106">
        <v>8760</v>
      </c>
      <c r="AI6" s="99">
        <f t="shared" si="7"/>
        <v>6.1200000000000004E-3</v>
      </c>
      <c r="AJ6" s="114">
        <f t="shared" si="8"/>
        <v>4.0000000000000001E-3</v>
      </c>
      <c r="AK6" s="154" t="s">
        <v>208</v>
      </c>
      <c r="AL6" s="52">
        <f>I6</f>
        <v>204</v>
      </c>
      <c r="AM6" s="87">
        <f>AM4</f>
        <v>0</v>
      </c>
      <c r="AN6" s="166">
        <f t="shared" si="0"/>
        <v>0</v>
      </c>
      <c r="AO6" s="101">
        <v>7.4999999999999997E-3</v>
      </c>
      <c r="AP6" s="52"/>
      <c r="AQ6" s="115">
        <f t="shared" si="9"/>
        <v>4.1883749999999997E-2</v>
      </c>
      <c r="AR6" s="106">
        <v>8760</v>
      </c>
      <c r="AS6" s="167">
        <f t="shared" si="10"/>
        <v>9.5624999999999998E-3</v>
      </c>
      <c r="AT6" s="118">
        <f t="shared" si="11"/>
        <v>2.5000000000000001E-2</v>
      </c>
      <c r="AU6" s="154" t="s">
        <v>208</v>
      </c>
      <c r="AV6" s="52">
        <f>J6</f>
        <v>51</v>
      </c>
      <c r="AW6" s="87">
        <f>AW4</f>
        <v>1.8888888888888888E-4</v>
      </c>
      <c r="AX6" s="166">
        <f>AW6</f>
        <v>1.8888888888888888E-4</v>
      </c>
      <c r="AY6" s="101">
        <v>7.4999999999999997E-3</v>
      </c>
      <c r="AZ6" s="52"/>
    </row>
    <row r="7" spans="2:52" s="119" customFormat="1" x14ac:dyDescent="0.2">
      <c r="B7" s="163" t="s">
        <v>53</v>
      </c>
      <c r="C7" s="163" t="s">
        <v>75</v>
      </c>
      <c r="D7" s="98">
        <v>79</v>
      </c>
      <c r="E7" s="52" t="s">
        <v>71</v>
      </c>
      <c r="F7" s="98">
        <v>4</v>
      </c>
      <c r="G7" s="98">
        <v>2</v>
      </c>
      <c r="H7" s="98">
        <f>79*2</f>
        <v>158</v>
      </c>
      <c r="I7" s="98">
        <f>79*4</f>
        <v>316</v>
      </c>
      <c r="J7" s="98">
        <v>158</v>
      </c>
      <c r="K7" s="98">
        <v>248</v>
      </c>
      <c r="L7" s="170">
        <v>19623</v>
      </c>
      <c r="M7" s="163" t="s">
        <v>160</v>
      </c>
      <c r="N7" s="106" t="s">
        <v>149</v>
      </c>
      <c r="O7" s="98" t="s">
        <v>129</v>
      </c>
      <c r="P7" s="108">
        <f t="shared" si="1"/>
        <v>0.10949633999999998</v>
      </c>
      <c r="Q7" s="113">
        <f t="shared" si="2"/>
        <v>218.99267999999998</v>
      </c>
      <c r="R7" s="113">
        <v>12</v>
      </c>
      <c r="S7" s="153" t="s">
        <v>208</v>
      </c>
      <c r="T7" s="171">
        <f>W7</f>
        <v>4.100833333333334</v>
      </c>
      <c r="U7" s="165">
        <f t="shared" ref="U7:U24" si="12">L7</f>
        <v>19623</v>
      </c>
      <c r="V7" s="106">
        <f t="shared" si="3"/>
        <v>9.2999999999999995E-4</v>
      </c>
      <c r="W7" s="158">
        <v>4.100833333333334</v>
      </c>
      <c r="X7" s="112">
        <f t="shared" si="4"/>
        <v>2.0622791999999999</v>
      </c>
      <c r="Y7" s="106">
        <v>8760</v>
      </c>
      <c r="Z7" s="121">
        <f t="shared" si="5"/>
        <v>0.47084000000000004</v>
      </c>
      <c r="AA7" s="109">
        <f t="shared" ref="AA7:AA30" si="13">4/100</f>
        <v>0.04</v>
      </c>
      <c r="AB7" s="154" t="s">
        <v>210</v>
      </c>
      <c r="AC7" s="157">
        <f>H7</f>
        <v>158</v>
      </c>
      <c r="AD7" s="121">
        <v>0.04</v>
      </c>
      <c r="AE7" s="121">
        <f t="shared" ref="AE7:AE30" si="14">6/100</f>
        <v>0.06</v>
      </c>
      <c r="AF7" s="158">
        <v>2.3E-2</v>
      </c>
      <c r="AG7" s="115">
        <f t="shared" si="6"/>
        <v>4.1522400000000008E-2</v>
      </c>
      <c r="AH7" s="106">
        <v>8760</v>
      </c>
      <c r="AI7" s="99">
        <f t="shared" si="7"/>
        <v>9.4800000000000006E-3</v>
      </c>
      <c r="AJ7" s="114">
        <f t="shared" si="8"/>
        <v>4.0000000000000001E-3</v>
      </c>
      <c r="AK7" s="154" t="s">
        <v>208</v>
      </c>
      <c r="AL7" s="52">
        <f>I7</f>
        <v>316</v>
      </c>
      <c r="AM7" s="172">
        <f t="shared" ref="AM7:AM14" si="15">AP7</f>
        <v>9.1666666666666695E-5</v>
      </c>
      <c r="AN7" s="173">
        <f t="shared" si="0"/>
        <v>9.1666666666666695E-5</v>
      </c>
      <c r="AO7" s="52">
        <v>7.4999999999999997E-3</v>
      </c>
      <c r="AP7" s="159">
        <v>9.1666666666666695E-5</v>
      </c>
      <c r="AQ7" s="115">
        <f t="shared" si="9"/>
        <v>0.1297575</v>
      </c>
      <c r="AR7" s="106">
        <v>8760</v>
      </c>
      <c r="AS7" s="174">
        <f t="shared" si="10"/>
        <v>2.9624999999999999E-2</v>
      </c>
      <c r="AT7" s="118">
        <f t="shared" si="11"/>
        <v>2.5000000000000001E-2</v>
      </c>
      <c r="AU7" s="154" t="s">
        <v>208</v>
      </c>
      <c r="AV7" s="52">
        <f>J7</f>
        <v>158</v>
      </c>
      <c r="AW7" s="175">
        <f>AZ7</f>
        <v>9.300000000000001E-3</v>
      </c>
      <c r="AX7" s="173">
        <f t="shared" ref="AX7:AX30" si="16">AW7</f>
        <v>9.300000000000001E-3</v>
      </c>
      <c r="AY7" s="52">
        <v>7.4999999999999997E-3</v>
      </c>
      <c r="AZ7" s="159">
        <f>'Enc1 Part VI BL Q89'!J31</f>
        <v>9.300000000000001E-3</v>
      </c>
    </row>
    <row r="8" spans="2:52" s="119" customFormat="1" x14ac:dyDescent="0.2">
      <c r="B8" s="163" t="s">
        <v>2</v>
      </c>
      <c r="C8" s="163" t="s">
        <v>76</v>
      </c>
      <c r="D8" s="98">
        <v>76</v>
      </c>
      <c r="E8" s="52" t="s">
        <v>71</v>
      </c>
      <c r="F8" s="98">
        <v>3</v>
      </c>
      <c r="G8" s="98">
        <v>2</v>
      </c>
      <c r="H8" s="98">
        <v>152</v>
      </c>
      <c r="I8" s="98">
        <v>228</v>
      </c>
      <c r="J8" s="98">
        <v>152</v>
      </c>
      <c r="K8" s="98">
        <v>432</v>
      </c>
      <c r="L8" s="170">
        <v>32864</v>
      </c>
      <c r="M8" s="163" t="s">
        <v>121</v>
      </c>
      <c r="N8" s="106" t="s">
        <v>149</v>
      </c>
      <c r="O8" s="98" t="s">
        <v>129</v>
      </c>
      <c r="P8" s="108">
        <f t="shared" si="1"/>
        <v>0.18338111999999998</v>
      </c>
      <c r="Q8" s="113">
        <f t="shared" si="2"/>
        <v>366.76223999999996</v>
      </c>
      <c r="R8" s="113">
        <v>12</v>
      </c>
      <c r="S8" s="153" t="s">
        <v>207</v>
      </c>
      <c r="T8" s="171">
        <f t="shared" ref="T8:T14" si="17">W8</f>
        <v>5.8414418181441219</v>
      </c>
      <c r="U8" s="165">
        <f t="shared" si="12"/>
        <v>32864</v>
      </c>
      <c r="V8" s="106">
        <f>0.0093/10</f>
        <v>9.2999999999999995E-4</v>
      </c>
      <c r="W8" s="158">
        <v>5.8414418181441219</v>
      </c>
      <c r="X8" s="112">
        <f t="shared" si="4"/>
        <v>1.7975519999999998</v>
      </c>
      <c r="Y8" s="106">
        <v>8760</v>
      </c>
      <c r="Z8" s="121">
        <f t="shared" si="5"/>
        <v>0.41039999999999999</v>
      </c>
      <c r="AA8" s="108">
        <f>3.3/100</f>
        <v>3.3000000000000002E-2</v>
      </c>
      <c r="AB8" s="154" t="s">
        <v>218</v>
      </c>
      <c r="AC8" s="157">
        <f>H8</f>
        <v>152</v>
      </c>
      <c r="AD8" s="121">
        <v>0.04</v>
      </c>
      <c r="AE8" s="121">
        <f t="shared" si="14"/>
        <v>0.06</v>
      </c>
      <c r="AF8" s="158">
        <v>2.3E-2</v>
      </c>
      <c r="AG8" s="115">
        <f t="shared" si="6"/>
        <v>2.9959199999999998E-2</v>
      </c>
      <c r="AH8" s="106">
        <v>8760</v>
      </c>
      <c r="AI8" s="99">
        <f t="shared" si="7"/>
        <v>6.8399999999999997E-3</v>
      </c>
      <c r="AJ8" s="114">
        <f t="shared" si="8"/>
        <v>4.0000000000000001E-3</v>
      </c>
      <c r="AK8" s="154" t="s">
        <v>207</v>
      </c>
      <c r="AL8" s="52">
        <f>I8</f>
        <v>228</v>
      </c>
      <c r="AM8" s="172">
        <f t="shared" si="15"/>
        <v>5.3055555555555545E-5</v>
      </c>
      <c r="AN8" s="99">
        <f t="shared" si="0"/>
        <v>5.3055555555555545E-5</v>
      </c>
      <c r="AO8" s="52">
        <v>7.4999999999999997E-3</v>
      </c>
      <c r="AP8" s="160">
        <v>5.3055555555555545E-5</v>
      </c>
      <c r="AQ8" s="115">
        <f t="shared" si="9"/>
        <v>0.12483</v>
      </c>
      <c r="AR8" s="106">
        <v>8760</v>
      </c>
      <c r="AS8" s="176">
        <f t="shared" si="10"/>
        <v>2.8500000000000001E-2</v>
      </c>
      <c r="AT8" s="118">
        <f t="shared" si="11"/>
        <v>2.5000000000000001E-2</v>
      </c>
      <c r="AU8" s="154" t="s">
        <v>207</v>
      </c>
      <c r="AV8" s="52">
        <f>J8</f>
        <v>152</v>
      </c>
      <c r="AW8" s="87">
        <f t="shared" ref="AW8:AW14" si="18">AZ8</f>
        <v>1.3906301824212272E-4</v>
      </c>
      <c r="AX8" s="173">
        <f t="shared" si="16"/>
        <v>1.3906301824212272E-4</v>
      </c>
      <c r="AY8" s="52">
        <v>7.4999999999999997E-3</v>
      </c>
      <c r="AZ8" s="159">
        <f>'Enc1 Part VI BL Q89'!J44</f>
        <v>1.3906301824212272E-4</v>
      </c>
    </row>
    <row r="9" spans="2:52" s="119" customFormat="1" x14ac:dyDescent="0.2">
      <c r="B9" s="163" t="s">
        <v>38</v>
      </c>
      <c r="C9" s="163" t="s">
        <v>77</v>
      </c>
      <c r="D9" s="98">
        <v>82</v>
      </c>
      <c r="E9" s="52" t="s">
        <v>71</v>
      </c>
      <c r="F9" s="98">
        <v>4</v>
      </c>
      <c r="G9" s="98">
        <v>1</v>
      </c>
      <c r="H9" s="98">
        <v>164</v>
      </c>
      <c r="I9" s="98">
        <v>328</v>
      </c>
      <c r="J9" s="98">
        <v>82</v>
      </c>
      <c r="K9" s="98">
        <v>467.4</v>
      </c>
      <c r="L9" s="170">
        <v>38330</v>
      </c>
      <c r="M9" s="163" t="s">
        <v>127</v>
      </c>
      <c r="N9" s="106" t="s">
        <v>149</v>
      </c>
      <c r="O9" s="98" t="s">
        <v>129</v>
      </c>
      <c r="P9" s="109">
        <f t="shared" si="1"/>
        <v>0.21388139999999997</v>
      </c>
      <c r="Q9" s="113">
        <f t="shared" si="2"/>
        <v>427.76279999999997</v>
      </c>
      <c r="R9" s="113">
        <v>12</v>
      </c>
      <c r="S9" s="153" t="s">
        <v>208</v>
      </c>
      <c r="T9" s="171">
        <f t="shared" si="17"/>
        <v>9.0208333333333339</v>
      </c>
      <c r="U9" s="165">
        <f t="shared" si="12"/>
        <v>38330</v>
      </c>
      <c r="V9" s="106">
        <f t="shared" ref="V9:V12" si="19">0.0093/10</f>
        <v>9.2999999999999995E-4</v>
      </c>
      <c r="W9" s="158">
        <v>9.0208333333333339</v>
      </c>
      <c r="X9" s="112">
        <f t="shared" si="4"/>
        <v>2.1405936000000003</v>
      </c>
      <c r="Y9" s="106">
        <v>8760</v>
      </c>
      <c r="Z9" s="121">
        <f t="shared" si="5"/>
        <v>0.48872000000000004</v>
      </c>
      <c r="AA9" s="109">
        <f t="shared" si="13"/>
        <v>0.04</v>
      </c>
      <c r="AB9" s="154" t="s">
        <v>210</v>
      </c>
      <c r="AC9" s="157">
        <f>H9</f>
        <v>164</v>
      </c>
      <c r="AD9" s="121">
        <v>0.04</v>
      </c>
      <c r="AE9" s="121">
        <f t="shared" si="14"/>
        <v>0.06</v>
      </c>
      <c r="AF9" s="158">
        <v>2.3E-2</v>
      </c>
      <c r="AG9" s="115">
        <f t="shared" si="6"/>
        <v>4.3099199999999997E-2</v>
      </c>
      <c r="AH9" s="106">
        <v>8760</v>
      </c>
      <c r="AI9" s="99">
        <f t="shared" si="7"/>
        <v>9.8399999999999998E-3</v>
      </c>
      <c r="AJ9" s="114">
        <f t="shared" si="8"/>
        <v>4.0000000000000001E-3</v>
      </c>
      <c r="AK9" s="154" t="s">
        <v>208</v>
      </c>
      <c r="AL9" s="52">
        <f>I9</f>
        <v>328</v>
      </c>
      <c r="AM9" s="87">
        <f t="shared" si="15"/>
        <v>6.0000000000000006E-4</v>
      </c>
      <c r="AN9" s="173">
        <f t="shared" si="0"/>
        <v>6.0000000000000006E-4</v>
      </c>
      <c r="AO9" s="52">
        <v>7.4999999999999997E-3</v>
      </c>
      <c r="AP9" s="159">
        <v>6.0000000000000006E-4</v>
      </c>
      <c r="AQ9" s="115">
        <f t="shared" si="9"/>
        <v>6.73425E-2</v>
      </c>
      <c r="AR9" s="106">
        <v>8760</v>
      </c>
      <c r="AS9" s="176">
        <f t="shared" si="10"/>
        <v>1.5375000000000002E-2</v>
      </c>
      <c r="AT9" s="118">
        <f t="shared" si="11"/>
        <v>2.5000000000000001E-2</v>
      </c>
      <c r="AU9" s="154" t="s">
        <v>208</v>
      </c>
      <c r="AV9" s="52">
        <f>J9</f>
        <v>82</v>
      </c>
      <c r="AW9" s="175">
        <f t="shared" si="18"/>
        <v>5.3999999999999994E-3</v>
      </c>
      <c r="AX9" s="173">
        <f t="shared" si="16"/>
        <v>5.3999999999999994E-3</v>
      </c>
      <c r="AY9" s="52">
        <v>7.4999999999999997E-3</v>
      </c>
      <c r="AZ9" s="159">
        <f>'Enc1 Part VI BL Q89'!J57</f>
        <v>5.3999999999999994E-3</v>
      </c>
    </row>
    <row r="10" spans="2:52" s="119" customFormat="1" x14ac:dyDescent="0.2">
      <c r="B10" s="163" t="s">
        <v>38</v>
      </c>
      <c r="C10" s="163" t="s">
        <v>78</v>
      </c>
      <c r="D10" s="98">
        <v>82</v>
      </c>
      <c r="E10" s="52" t="s">
        <v>71</v>
      </c>
      <c r="F10" s="98">
        <v>4</v>
      </c>
      <c r="G10" s="98">
        <v>1</v>
      </c>
      <c r="H10" s="98">
        <v>164</v>
      </c>
      <c r="I10" s="98">
        <v>328</v>
      </c>
      <c r="J10" s="98">
        <v>82</v>
      </c>
      <c r="K10" s="98">
        <v>468.6</v>
      </c>
      <c r="L10" s="170">
        <v>38426</v>
      </c>
      <c r="M10" s="163" t="s">
        <v>127</v>
      </c>
      <c r="N10" s="106" t="s">
        <v>149</v>
      </c>
      <c r="O10" s="98" t="s">
        <v>129</v>
      </c>
      <c r="P10" s="109">
        <f t="shared" si="1"/>
        <v>0.21441708000000001</v>
      </c>
      <c r="Q10" s="113">
        <f t="shared" si="2"/>
        <v>428.83416</v>
      </c>
      <c r="R10" s="113">
        <v>12</v>
      </c>
      <c r="S10" s="153" t="s">
        <v>208</v>
      </c>
      <c r="T10" s="171">
        <f t="shared" si="17"/>
        <v>9.6758333333333351</v>
      </c>
      <c r="U10" s="165">
        <f t="shared" si="12"/>
        <v>38426</v>
      </c>
      <c r="V10" s="106">
        <f t="shared" si="19"/>
        <v>9.2999999999999995E-4</v>
      </c>
      <c r="W10" s="158">
        <v>9.6758333333333351</v>
      </c>
      <c r="X10" s="112">
        <f t="shared" si="4"/>
        <v>2.1405936000000003</v>
      </c>
      <c r="Y10" s="106">
        <v>8760</v>
      </c>
      <c r="Z10" s="121">
        <f t="shared" si="5"/>
        <v>0.48872000000000004</v>
      </c>
      <c r="AA10" s="109">
        <f t="shared" si="13"/>
        <v>0.04</v>
      </c>
      <c r="AB10" s="154" t="s">
        <v>210</v>
      </c>
      <c r="AC10" s="157">
        <f>H10</f>
        <v>164</v>
      </c>
      <c r="AD10" s="121">
        <v>0.04</v>
      </c>
      <c r="AE10" s="121">
        <f t="shared" si="14"/>
        <v>0.06</v>
      </c>
      <c r="AF10" s="158">
        <v>2.3E-2</v>
      </c>
      <c r="AG10" s="115">
        <f t="shared" si="6"/>
        <v>4.3099199999999997E-2</v>
      </c>
      <c r="AH10" s="106">
        <v>8760</v>
      </c>
      <c r="AI10" s="99">
        <f t="shared" si="7"/>
        <v>9.8399999999999998E-3</v>
      </c>
      <c r="AJ10" s="114">
        <f t="shared" si="8"/>
        <v>4.0000000000000001E-3</v>
      </c>
      <c r="AK10" s="154" t="s">
        <v>208</v>
      </c>
      <c r="AL10" s="52">
        <f>I10</f>
        <v>328</v>
      </c>
      <c r="AM10" s="175">
        <f t="shared" si="15"/>
        <v>1.3916666666666667E-3</v>
      </c>
      <c r="AN10" s="173">
        <f t="shared" si="0"/>
        <v>1.3916666666666667E-3</v>
      </c>
      <c r="AO10" s="52">
        <v>7.4999999999999997E-3</v>
      </c>
      <c r="AP10" s="159">
        <v>1.3916666666666667E-3</v>
      </c>
      <c r="AQ10" s="115">
        <f t="shared" si="9"/>
        <v>6.73425E-2</v>
      </c>
      <c r="AR10" s="106">
        <v>8760</v>
      </c>
      <c r="AS10" s="176">
        <f t="shared" si="10"/>
        <v>1.5375000000000002E-2</v>
      </c>
      <c r="AT10" s="118">
        <f t="shared" si="11"/>
        <v>2.5000000000000001E-2</v>
      </c>
      <c r="AU10" s="154" t="s">
        <v>208</v>
      </c>
      <c r="AV10" s="52">
        <f>J10</f>
        <v>82</v>
      </c>
      <c r="AW10" s="175">
        <f t="shared" si="18"/>
        <v>7.7250000000000001E-3</v>
      </c>
      <c r="AX10" s="173">
        <f t="shared" si="16"/>
        <v>7.7250000000000001E-3</v>
      </c>
      <c r="AY10" s="52">
        <v>7.4999999999999997E-3</v>
      </c>
      <c r="AZ10" s="159">
        <f>'Enc1 Part VI BL Q89'!J70</f>
        <v>7.7250000000000001E-3</v>
      </c>
    </row>
    <row r="11" spans="2:52" s="119" customFormat="1" x14ac:dyDescent="0.2">
      <c r="B11" s="163" t="s">
        <v>41</v>
      </c>
      <c r="C11" s="163" t="s">
        <v>42</v>
      </c>
      <c r="D11" s="98">
        <v>37</v>
      </c>
      <c r="E11" s="52" t="s">
        <v>71</v>
      </c>
      <c r="F11" s="98">
        <v>4</v>
      </c>
      <c r="G11" s="98">
        <v>2</v>
      </c>
      <c r="H11" s="98">
        <v>74</v>
      </c>
      <c r="I11" s="98">
        <v>148</v>
      </c>
      <c r="J11" s="98">
        <v>74</v>
      </c>
      <c r="K11" s="170">
        <v>471.96428571428572</v>
      </c>
      <c r="L11" s="170">
        <f>17463</f>
        <v>17463</v>
      </c>
      <c r="M11" s="163" t="s">
        <v>138</v>
      </c>
      <c r="N11" s="106" t="s">
        <v>149</v>
      </c>
      <c r="O11" s="98" t="s">
        <v>129</v>
      </c>
      <c r="P11" s="108">
        <f t="shared" si="1"/>
        <v>9.7443539999999995E-2</v>
      </c>
      <c r="Q11" s="177">
        <f t="shared" si="2"/>
        <v>194.88708</v>
      </c>
      <c r="R11" s="113">
        <v>12</v>
      </c>
      <c r="S11" s="153" t="s">
        <v>208</v>
      </c>
      <c r="T11" s="171">
        <f t="shared" si="17"/>
        <v>6.3308333333333335</v>
      </c>
      <c r="U11" s="165">
        <f t="shared" si="12"/>
        <v>17463</v>
      </c>
      <c r="V11" s="106">
        <f t="shared" si="19"/>
        <v>9.2999999999999995E-4</v>
      </c>
      <c r="W11" s="158">
        <v>6.3308333333333335</v>
      </c>
      <c r="X11" s="109">
        <f t="shared" si="4"/>
        <v>0.8751239999999999</v>
      </c>
      <c r="Y11" s="106">
        <v>8760</v>
      </c>
      <c r="Z11" s="121">
        <f t="shared" si="5"/>
        <v>0.19979999999999998</v>
      </c>
      <c r="AA11" s="108">
        <f>3.3/100</f>
        <v>3.3000000000000002E-2</v>
      </c>
      <c r="AB11" s="154" t="s">
        <v>217</v>
      </c>
      <c r="AC11" s="157">
        <f>H11</f>
        <v>74</v>
      </c>
      <c r="AD11" s="121">
        <v>0.04</v>
      </c>
      <c r="AE11" s="121">
        <f t="shared" si="14"/>
        <v>0.06</v>
      </c>
      <c r="AF11" s="158">
        <v>2.3E-2</v>
      </c>
      <c r="AG11" s="115">
        <f t="shared" si="6"/>
        <v>1.9447199999999998E-2</v>
      </c>
      <c r="AH11" s="106">
        <v>8760</v>
      </c>
      <c r="AI11" s="99">
        <f t="shared" si="7"/>
        <v>4.4399999999999995E-3</v>
      </c>
      <c r="AJ11" s="114">
        <f t="shared" si="8"/>
        <v>4.0000000000000001E-3</v>
      </c>
      <c r="AK11" s="154" t="s">
        <v>208</v>
      </c>
      <c r="AL11" s="52">
        <f>I11</f>
        <v>148</v>
      </c>
      <c r="AM11" s="87">
        <f t="shared" si="15"/>
        <v>0</v>
      </c>
      <c r="AN11" s="173">
        <f t="shared" si="0"/>
        <v>0</v>
      </c>
      <c r="AO11" s="52">
        <v>7.4999999999999997E-3</v>
      </c>
      <c r="AP11" s="159">
        <v>0</v>
      </c>
      <c r="AQ11" s="115">
        <f t="shared" si="9"/>
        <v>6.07725E-2</v>
      </c>
      <c r="AR11" s="106">
        <v>8760</v>
      </c>
      <c r="AS11" s="176">
        <f t="shared" si="10"/>
        <v>1.3875E-2</v>
      </c>
      <c r="AT11" s="118">
        <f t="shared" si="11"/>
        <v>2.5000000000000001E-2</v>
      </c>
      <c r="AU11" s="154" t="s">
        <v>208</v>
      </c>
      <c r="AV11" s="52">
        <f>J11</f>
        <v>74</v>
      </c>
      <c r="AW11" s="175">
        <f t="shared" si="18"/>
        <v>4.816666666666667E-3</v>
      </c>
      <c r="AX11" s="173">
        <f t="shared" si="16"/>
        <v>4.816666666666667E-3</v>
      </c>
      <c r="AY11" s="52">
        <v>7.4999999999999997E-3</v>
      </c>
      <c r="AZ11" s="159">
        <f>'Enc1 Part VI BL Q89'!J83/100</f>
        <v>4.816666666666667E-3</v>
      </c>
    </row>
    <row r="12" spans="2:52" s="119" customFormat="1" x14ac:dyDescent="0.2">
      <c r="B12" s="163" t="s">
        <v>41</v>
      </c>
      <c r="C12" s="163" t="s">
        <v>44</v>
      </c>
      <c r="D12" s="98">
        <v>19</v>
      </c>
      <c r="E12" s="52" t="s">
        <v>71</v>
      </c>
      <c r="F12" s="98">
        <v>4</v>
      </c>
      <c r="G12" s="98">
        <v>2</v>
      </c>
      <c r="H12" s="98">
        <v>38</v>
      </c>
      <c r="I12" s="98">
        <v>76</v>
      </c>
      <c r="J12" s="98">
        <v>38</v>
      </c>
      <c r="K12" s="170">
        <v>471.96428571428572</v>
      </c>
      <c r="L12" s="170">
        <f>8967</f>
        <v>8967</v>
      </c>
      <c r="M12" s="163"/>
      <c r="N12" s="106" t="s">
        <v>149</v>
      </c>
      <c r="O12" s="98" t="s">
        <v>129</v>
      </c>
      <c r="P12" s="108">
        <f t="shared" si="1"/>
        <v>5.0035860000000001E-2</v>
      </c>
      <c r="Q12" s="177">
        <f t="shared" si="2"/>
        <v>100.07172</v>
      </c>
      <c r="R12" s="113">
        <v>12</v>
      </c>
      <c r="S12" s="153" t="s">
        <v>208</v>
      </c>
      <c r="T12" s="171">
        <f t="shared" si="17"/>
        <v>6.3308333333333335</v>
      </c>
      <c r="U12" s="165">
        <f t="shared" si="12"/>
        <v>8967</v>
      </c>
      <c r="V12" s="106">
        <f t="shared" si="19"/>
        <v>9.2999999999999995E-4</v>
      </c>
      <c r="W12" s="158">
        <v>6.3308333333333335</v>
      </c>
      <c r="X12" s="109">
        <f t="shared" si="4"/>
        <v>0.44938799999999995</v>
      </c>
      <c r="Y12" s="106">
        <v>8760</v>
      </c>
      <c r="Z12" s="121">
        <f t="shared" si="5"/>
        <v>0.1026</v>
      </c>
      <c r="AA12" s="108">
        <f>3.3/100</f>
        <v>3.3000000000000002E-2</v>
      </c>
      <c r="AB12" s="154" t="s">
        <v>217</v>
      </c>
      <c r="AC12" s="157">
        <f>H12</f>
        <v>38</v>
      </c>
      <c r="AD12" s="121">
        <v>0.04</v>
      </c>
      <c r="AE12" s="121">
        <f t="shared" si="14"/>
        <v>0.06</v>
      </c>
      <c r="AF12" s="158">
        <v>2.3E-2</v>
      </c>
      <c r="AG12" s="115">
        <f t="shared" si="6"/>
        <v>9.9863999999999994E-3</v>
      </c>
      <c r="AH12" s="106">
        <v>8760</v>
      </c>
      <c r="AI12" s="99">
        <f t="shared" si="7"/>
        <v>2.2799999999999999E-3</v>
      </c>
      <c r="AJ12" s="114">
        <f t="shared" si="8"/>
        <v>4.0000000000000001E-3</v>
      </c>
      <c r="AK12" s="154" t="s">
        <v>208</v>
      </c>
      <c r="AL12" s="52">
        <f>I12</f>
        <v>76</v>
      </c>
      <c r="AM12" s="87">
        <f t="shared" si="15"/>
        <v>0</v>
      </c>
      <c r="AN12" s="173">
        <f t="shared" si="0"/>
        <v>0</v>
      </c>
      <c r="AO12" s="52">
        <v>7.4999999999999997E-3</v>
      </c>
      <c r="AP12" s="159">
        <v>0</v>
      </c>
      <c r="AQ12" s="115">
        <f t="shared" si="9"/>
        <v>3.1207499999999999E-2</v>
      </c>
      <c r="AR12" s="106">
        <v>8760</v>
      </c>
      <c r="AS12" s="176">
        <f t="shared" si="10"/>
        <v>7.1250000000000003E-3</v>
      </c>
      <c r="AT12" s="118">
        <f t="shared" si="11"/>
        <v>2.5000000000000001E-2</v>
      </c>
      <c r="AU12" s="154" t="s">
        <v>208</v>
      </c>
      <c r="AV12" s="52">
        <f>J12</f>
        <v>38</v>
      </c>
      <c r="AW12" s="175">
        <f t="shared" si="18"/>
        <v>2.075E-3</v>
      </c>
      <c r="AX12" s="173">
        <f t="shared" si="16"/>
        <v>2.075E-3</v>
      </c>
      <c r="AY12" s="52">
        <v>7.4999999999999997E-3</v>
      </c>
      <c r="AZ12" s="159">
        <f>'Enc1 Part VI BL Q89'!J96/100</f>
        <v>2.075E-3</v>
      </c>
    </row>
    <row r="13" spans="2:52" s="119" customFormat="1" x14ac:dyDescent="0.2">
      <c r="B13" s="163" t="s">
        <v>45</v>
      </c>
      <c r="C13" s="163" t="s">
        <v>79</v>
      </c>
      <c r="D13" s="98">
        <v>85</v>
      </c>
      <c r="E13" s="52" t="s">
        <v>71</v>
      </c>
      <c r="F13" s="98">
        <v>3</v>
      </c>
      <c r="G13" s="98">
        <v>2</v>
      </c>
      <c r="H13" s="98">
        <v>170</v>
      </c>
      <c r="I13" s="98">
        <v>255</v>
      </c>
      <c r="J13" s="98">
        <v>170</v>
      </c>
      <c r="K13" s="98">
        <v>424</v>
      </c>
      <c r="L13" s="170">
        <v>30078</v>
      </c>
      <c r="M13" s="163" t="s">
        <v>138</v>
      </c>
      <c r="N13" s="106" t="s">
        <v>149</v>
      </c>
      <c r="O13" s="98" t="s">
        <v>129</v>
      </c>
      <c r="P13" s="108">
        <f t="shared" si="1"/>
        <v>0.16783524</v>
      </c>
      <c r="Q13" s="113">
        <f t="shared" si="2"/>
        <v>335.67048</v>
      </c>
      <c r="R13" s="113">
        <v>12</v>
      </c>
      <c r="S13" s="153" t="s">
        <v>208</v>
      </c>
      <c r="T13" s="171">
        <f t="shared" si="17"/>
        <v>3.5150832053251411</v>
      </c>
      <c r="U13" s="165">
        <f t="shared" si="12"/>
        <v>30078</v>
      </c>
      <c r="V13" s="106">
        <f>0.0093/10</f>
        <v>9.2999999999999995E-4</v>
      </c>
      <c r="W13" s="158">
        <v>3.5150832053251411</v>
      </c>
      <c r="X13" s="112">
        <f t="shared" si="4"/>
        <v>2.0104199999999999</v>
      </c>
      <c r="Y13" s="106">
        <v>8760</v>
      </c>
      <c r="Z13" s="121">
        <f t="shared" si="5"/>
        <v>0.45899999999999996</v>
      </c>
      <c r="AA13" s="108">
        <f>3.3/100</f>
        <v>3.3000000000000002E-2</v>
      </c>
      <c r="AB13" s="154" t="s">
        <v>217</v>
      </c>
      <c r="AC13" s="157">
        <f>H13</f>
        <v>170</v>
      </c>
      <c r="AD13" s="121">
        <v>0.04</v>
      </c>
      <c r="AE13" s="121">
        <f t="shared" si="14"/>
        <v>0.06</v>
      </c>
      <c r="AF13" s="158">
        <v>2.3E-2</v>
      </c>
      <c r="AG13" s="115">
        <f t="shared" si="6"/>
        <v>3.3506999999999995E-2</v>
      </c>
      <c r="AH13" s="106">
        <v>8760</v>
      </c>
      <c r="AI13" s="99">
        <f t="shared" si="7"/>
        <v>7.6499999999999997E-3</v>
      </c>
      <c r="AJ13" s="114">
        <f t="shared" si="8"/>
        <v>4.0000000000000001E-3</v>
      </c>
      <c r="AK13" s="154" t="s">
        <v>208</v>
      </c>
      <c r="AL13" s="52">
        <f>I13</f>
        <v>255</v>
      </c>
      <c r="AM13" s="87">
        <f t="shared" si="15"/>
        <v>3.8722691496092659E-4</v>
      </c>
      <c r="AN13" s="173">
        <f t="shared" si="0"/>
        <v>3.8722691496092659E-4</v>
      </c>
      <c r="AO13" s="52">
        <v>7.4999999999999997E-3</v>
      </c>
      <c r="AP13" s="159">
        <v>3.8722691496092659E-4</v>
      </c>
      <c r="AQ13" s="115">
        <f t="shared" si="9"/>
        <v>0.1396125</v>
      </c>
      <c r="AR13" s="106">
        <v>8760</v>
      </c>
      <c r="AS13" s="176">
        <f t="shared" si="10"/>
        <v>3.1875000000000001E-2</v>
      </c>
      <c r="AT13" s="118">
        <f t="shared" si="11"/>
        <v>2.5000000000000001E-2</v>
      </c>
      <c r="AU13" s="154" t="s">
        <v>208</v>
      </c>
      <c r="AV13" s="52">
        <f>J13</f>
        <v>170</v>
      </c>
      <c r="AW13" s="175">
        <f t="shared" si="18"/>
        <v>8.0456297763695627E-3</v>
      </c>
      <c r="AX13" s="173">
        <f t="shared" si="16"/>
        <v>8.0456297763695627E-3</v>
      </c>
      <c r="AY13" s="52">
        <v>7.4999999999999997E-3</v>
      </c>
      <c r="AZ13" s="159">
        <f>'Enc1 Part VI BL Q89'!J109</f>
        <v>8.0456297763695627E-3</v>
      </c>
    </row>
    <row r="14" spans="2:52" s="119" customFormat="1" x14ac:dyDescent="0.2">
      <c r="B14" s="163" t="s">
        <v>47</v>
      </c>
      <c r="C14" s="163" t="s">
        <v>81</v>
      </c>
      <c r="D14" s="98">
        <v>85</v>
      </c>
      <c r="E14" s="52" t="s">
        <v>71</v>
      </c>
      <c r="F14" s="98">
        <v>4</v>
      </c>
      <c r="G14" s="98">
        <v>2</v>
      </c>
      <c r="H14" s="98">
        <v>170</v>
      </c>
      <c r="I14" s="98">
        <v>340</v>
      </c>
      <c r="J14" s="98">
        <v>170</v>
      </c>
      <c r="K14" s="98">
        <f>AVERAGE(258.3,497.4)</f>
        <v>377.85</v>
      </c>
      <c r="L14" s="170">
        <v>42355</v>
      </c>
      <c r="M14" s="163" t="s">
        <v>148</v>
      </c>
      <c r="N14" s="106" t="s">
        <v>149</v>
      </c>
      <c r="O14" s="98" t="s">
        <v>150</v>
      </c>
      <c r="P14" s="108">
        <f t="shared" si="1"/>
        <v>0.23634089999999996</v>
      </c>
      <c r="Q14" s="113">
        <f t="shared" si="2"/>
        <v>472.68179999999995</v>
      </c>
      <c r="R14" s="113">
        <v>12</v>
      </c>
      <c r="S14" s="153" t="s">
        <v>208</v>
      </c>
      <c r="T14" s="171">
        <f t="shared" si="17"/>
        <v>1.3083333333333333</v>
      </c>
      <c r="U14" s="165">
        <f t="shared" si="12"/>
        <v>42355</v>
      </c>
      <c r="V14" s="106">
        <f>0.0093/10</f>
        <v>9.2999999999999995E-4</v>
      </c>
      <c r="W14" s="158">
        <v>1.3083333333333333</v>
      </c>
      <c r="X14" s="112">
        <f t="shared" si="4"/>
        <v>2.2189079999999999</v>
      </c>
      <c r="Y14" s="106">
        <v>8760</v>
      </c>
      <c r="Z14" s="121">
        <f t="shared" si="5"/>
        <v>0.50659999999999994</v>
      </c>
      <c r="AA14" s="109">
        <f t="shared" si="13"/>
        <v>0.04</v>
      </c>
      <c r="AB14" s="154" t="s">
        <v>210</v>
      </c>
      <c r="AC14" s="157">
        <f>H14</f>
        <v>170</v>
      </c>
      <c r="AD14" s="121">
        <v>0.04</v>
      </c>
      <c r="AE14" s="121">
        <f t="shared" si="14"/>
        <v>0.06</v>
      </c>
      <c r="AF14" s="158">
        <v>2.3E-2</v>
      </c>
      <c r="AG14" s="115">
        <f t="shared" si="6"/>
        <v>4.4676E-2</v>
      </c>
      <c r="AH14" s="106">
        <v>8760</v>
      </c>
      <c r="AI14" s="99">
        <f t="shared" si="7"/>
        <v>1.0200000000000001E-2</v>
      </c>
      <c r="AJ14" s="114">
        <f t="shared" si="8"/>
        <v>4.0000000000000001E-3</v>
      </c>
      <c r="AK14" s="154" t="s">
        <v>208</v>
      </c>
      <c r="AL14" s="52">
        <f>I14</f>
        <v>340</v>
      </c>
      <c r="AM14" s="178">
        <f t="shared" si="15"/>
        <v>8.3333333333333337E-6</v>
      </c>
      <c r="AN14" s="173">
        <f t="shared" si="0"/>
        <v>8.3333333333333337E-6</v>
      </c>
      <c r="AO14" s="52">
        <v>7.4999999999999997E-3</v>
      </c>
      <c r="AP14" s="159">
        <v>8.3333333333333337E-6</v>
      </c>
      <c r="AQ14" s="115">
        <f t="shared" si="9"/>
        <v>0.1396125</v>
      </c>
      <c r="AR14" s="106">
        <v>8760</v>
      </c>
      <c r="AS14" s="176">
        <f t="shared" si="10"/>
        <v>3.1875000000000001E-2</v>
      </c>
      <c r="AT14" s="118">
        <f t="shared" si="11"/>
        <v>2.5000000000000001E-2</v>
      </c>
      <c r="AU14" s="154" t="s">
        <v>208</v>
      </c>
      <c r="AV14" s="52">
        <f>J14</f>
        <v>170</v>
      </c>
      <c r="AW14" s="87">
        <f t="shared" si="18"/>
        <v>1.4999999999999999E-4</v>
      </c>
      <c r="AX14" s="173">
        <f t="shared" si="16"/>
        <v>1.4999999999999999E-4</v>
      </c>
      <c r="AY14" s="52">
        <v>7.4999999999999997E-3</v>
      </c>
      <c r="AZ14" s="159">
        <f>'Enc1 Part VI BL Q89'!J148/100</f>
        <v>1.4999999999999999E-4</v>
      </c>
    </row>
    <row r="15" spans="2:52" s="119" customFormat="1" x14ac:dyDescent="0.2">
      <c r="B15" s="163" t="s">
        <v>7</v>
      </c>
      <c r="C15" s="163" t="s">
        <v>82</v>
      </c>
      <c r="D15" s="98">
        <v>64</v>
      </c>
      <c r="E15" s="52" t="s">
        <v>71</v>
      </c>
      <c r="F15" s="98">
        <v>4</v>
      </c>
      <c r="G15" s="98">
        <v>2</v>
      </c>
      <c r="H15" s="98">
        <f>64*2</f>
        <v>128</v>
      </c>
      <c r="I15" s="98">
        <f>4*64</f>
        <v>256</v>
      </c>
      <c r="J15" s="98">
        <f>2*64</f>
        <v>128</v>
      </c>
      <c r="K15" s="157">
        <f>L15/64</f>
        <v>332.515625</v>
      </c>
      <c r="L15" s="170">
        <v>21281</v>
      </c>
      <c r="M15" s="163" t="s">
        <v>174</v>
      </c>
      <c r="N15" s="106" t="s">
        <v>149</v>
      </c>
      <c r="O15" s="98" t="s">
        <v>153</v>
      </c>
      <c r="P15" s="108">
        <f t="shared" si="1"/>
        <v>0.11874798</v>
      </c>
      <c r="Q15" s="113">
        <f t="shared" si="2"/>
        <v>237.49596</v>
      </c>
      <c r="R15" s="113">
        <v>12</v>
      </c>
      <c r="S15" s="153" t="s">
        <v>208</v>
      </c>
      <c r="T15" s="179">
        <v>4.4580000000000002</v>
      </c>
      <c r="U15" s="165">
        <f t="shared" si="12"/>
        <v>21281</v>
      </c>
      <c r="V15" s="106">
        <f t="shared" ref="V15:V30" si="20">0.0093/10</f>
        <v>9.2999999999999995E-4</v>
      </c>
      <c r="W15" s="52"/>
      <c r="X15" s="109">
        <f t="shared" si="4"/>
        <v>1.6707072000000001</v>
      </c>
      <c r="Y15" s="106">
        <v>8760</v>
      </c>
      <c r="Z15" s="121">
        <f t="shared" si="5"/>
        <v>0.38144</v>
      </c>
      <c r="AA15" s="109">
        <f t="shared" si="13"/>
        <v>0.04</v>
      </c>
      <c r="AB15" s="154" t="s">
        <v>210</v>
      </c>
      <c r="AC15" s="157">
        <f>H15</f>
        <v>128</v>
      </c>
      <c r="AD15" s="121">
        <v>0.04</v>
      </c>
      <c r="AE15" s="121">
        <f t="shared" si="14"/>
        <v>0.06</v>
      </c>
      <c r="AF15" s="158">
        <v>2.3E-2</v>
      </c>
      <c r="AG15" s="115">
        <f t="shared" si="6"/>
        <v>3.3638400000000006E-2</v>
      </c>
      <c r="AH15" s="106">
        <v>8760</v>
      </c>
      <c r="AI15" s="99">
        <f t="shared" si="7"/>
        <v>7.6800000000000002E-3</v>
      </c>
      <c r="AJ15" s="114">
        <f t="shared" si="8"/>
        <v>4.0000000000000001E-3</v>
      </c>
      <c r="AK15" s="154" t="s">
        <v>208</v>
      </c>
      <c r="AL15" s="52">
        <f>I15</f>
        <v>256</v>
      </c>
      <c r="AM15" s="87">
        <v>0</v>
      </c>
      <c r="AN15" s="173">
        <f t="shared" si="0"/>
        <v>0</v>
      </c>
      <c r="AO15" s="52">
        <v>7.4999999999999997E-3</v>
      </c>
      <c r="AP15" s="52"/>
      <c r="AQ15" s="115">
        <f t="shared" si="9"/>
        <v>0.10512000000000001</v>
      </c>
      <c r="AR15" s="106">
        <v>8760</v>
      </c>
      <c r="AS15" s="176">
        <f t="shared" si="10"/>
        <v>2.4E-2</v>
      </c>
      <c r="AT15" s="118">
        <f t="shared" si="11"/>
        <v>2.5000000000000001E-2</v>
      </c>
      <c r="AU15" s="154" t="s">
        <v>208</v>
      </c>
      <c r="AV15" s="52">
        <f>J15</f>
        <v>128</v>
      </c>
      <c r="AW15" s="175">
        <v>6.1999999999999998E-3</v>
      </c>
      <c r="AX15" s="173">
        <f t="shared" si="16"/>
        <v>6.1999999999999998E-3</v>
      </c>
      <c r="AY15" s="52">
        <v>7.4999999999999997E-3</v>
      </c>
      <c r="AZ15" s="52"/>
    </row>
    <row r="16" spans="2:52" s="119" customFormat="1" x14ac:dyDescent="0.2">
      <c r="B16" s="163" t="s">
        <v>7</v>
      </c>
      <c r="C16" s="163" t="s">
        <v>44</v>
      </c>
      <c r="D16" s="98">
        <v>64</v>
      </c>
      <c r="E16" s="52" t="s">
        <v>71</v>
      </c>
      <c r="F16" s="98">
        <v>4</v>
      </c>
      <c r="G16" s="98">
        <v>2</v>
      </c>
      <c r="H16" s="98">
        <f>64*2</f>
        <v>128</v>
      </c>
      <c r="I16" s="98">
        <f t="shared" ref="I16:I17" si="21">4*64</f>
        <v>256</v>
      </c>
      <c r="J16" s="98">
        <f t="shared" ref="J16:J17" si="22">2*64</f>
        <v>128</v>
      </c>
      <c r="K16" s="157">
        <f t="shared" ref="K16:K17" si="23">L16/64</f>
        <v>332.515625</v>
      </c>
      <c r="L16" s="170">
        <v>21281</v>
      </c>
      <c r="M16" s="163"/>
      <c r="N16" s="106" t="s">
        <v>149</v>
      </c>
      <c r="O16" s="98" t="s">
        <v>153</v>
      </c>
      <c r="P16" s="108">
        <f t="shared" si="1"/>
        <v>0.11874798</v>
      </c>
      <c r="Q16" s="113">
        <f t="shared" si="2"/>
        <v>237.49596</v>
      </c>
      <c r="R16" s="113">
        <v>12</v>
      </c>
      <c r="S16" s="153" t="s">
        <v>208</v>
      </c>
      <c r="T16" s="179">
        <v>4.532</v>
      </c>
      <c r="U16" s="165">
        <f t="shared" si="12"/>
        <v>21281</v>
      </c>
      <c r="V16" s="106">
        <f t="shared" si="20"/>
        <v>9.2999999999999995E-4</v>
      </c>
      <c r="W16" s="52"/>
      <c r="X16" s="109">
        <f t="shared" si="4"/>
        <v>1.6707072000000001</v>
      </c>
      <c r="Y16" s="106">
        <v>8760</v>
      </c>
      <c r="Z16" s="121">
        <f t="shared" si="5"/>
        <v>0.38144</v>
      </c>
      <c r="AA16" s="109">
        <f t="shared" si="13"/>
        <v>0.04</v>
      </c>
      <c r="AB16" s="154" t="s">
        <v>210</v>
      </c>
      <c r="AC16" s="157">
        <f>H16</f>
        <v>128</v>
      </c>
      <c r="AD16" s="121">
        <v>0.04</v>
      </c>
      <c r="AE16" s="121">
        <f t="shared" si="14"/>
        <v>0.06</v>
      </c>
      <c r="AF16" s="158">
        <v>2.3E-2</v>
      </c>
      <c r="AG16" s="115">
        <f t="shared" si="6"/>
        <v>3.3638400000000006E-2</v>
      </c>
      <c r="AH16" s="106">
        <v>8760</v>
      </c>
      <c r="AI16" s="99">
        <f t="shared" si="7"/>
        <v>7.6800000000000002E-3</v>
      </c>
      <c r="AJ16" s="114">
        <f t="shared" si="8"/>
        <v>4.0000000000000001E-3</v>
      </c>
      <c r="AK16" s="154" t="s">
        <v>208</v>
      </c>
      <c r="AL16" s="52">
        <f>I16</f>
        <v>256</v>
      </c>
      <c r="AM16" s="87">
        <v>1E-4</v>
      </c>
      <c r="AN16" s="173">
        <f t="shared" si="0"/>
        <v>1E-4</v>
      </c>
      <c r="AO16" s="52">
        <v>7.4999999999999997E-3</v>
      </c>
      <c r="AP16" s="52"/>
      <c r="AQ16" s="115">
        <f t="shared" si="9"/>
        <v>0.10512000000000001</v>
      </c>
      <c r="AR16" s="106">
        <v>8760</v>
      </c>
      <c r="AS16" s="176">
        <f t="shared" si="10"/>
        <v>2.4E-2</v>
      </c>
      <c r="AT16" s="118">
        <f t="shared" si="11"/>
        <v>2.5000000000000001E-2</v>
      </c>
      <c r="AU16" s="154" t="s">
        <v>208</v>
      </c>
      <c r="AV16" s="52">
        <f>J16</f>
        <v>128</v>
      </c>
      <c r="AW16" s="175">
        <v>5.5999999999999999E-3</v>
      </c>
      <c r="AX16" s="173">
        <f t="shared" si="16"/>
        <v>5.5999999999999999E-3</v>
      </c>
      <c r="AY16" s="52">
        <v>7.4999999999999997E-3</v>
      </c>
      <c r="AZ16" s="52"/>
    </row>
    <row r="17" spans="2:52" s="119" customFormat="1" x14ac:dyDescent="0.2">
      <c r="B17" s="163" t="s">
        <v>7</v>
      </c>
      <c r="C17" s="163" t="s">
        <v>83</v>
      </c>
      <c r="D17" s="98">
        <v>64</v>
      </c>
      <c r="E17" s="52" t="s">
        <v>71</v>
      </c>
      <c r="F17" s="98">
        <v>4</v>
      </c>
      <c r="G17" s="98">
        <v>2</v>
      </c>
      <c r="H17" s="98">
        <f>64*2</f>
        <v>128</v>
      </c>
      <c r="I17" s="98">
        <f t="shared" si="21"/>
        <v>256</v>
      </c>
      <c r="J17" s="98">
        <f t="shared" si="22"/>
        <v>128</v>
      </c>
      <c r="K17" s="157">
        <f t="shared" si="23"/>
        <v>332.515625</v>
      </c>
      <c r="L17" s="170">
        <v>21281</v>
      </c>
      <c r="M17" s="163"/>
      <c r="N17" s="106" t="s">
        <v>149</v>
      </c>
      <c r="O17" s="98" t="s">
        <v>153</v>
      </c>
      <c r="P17" s="108">
        <f t="shared" si="1"/>
        <v>0.11874798</v>
      </c>
      <c r="Q17" s="113">
        <f t="shared" si="2"/>
        <v>237.49596</v>
      </c>
      <c r="R17" s="113">
        <v>12</v>
      </c>
      <c r="S17" s="153" t="s">
        <v>208</v>
      </c>
      <c r="T17" s="179">
        <v>4.6880000000000006</v>
      </c>
      <c r="U17" s="165">
        <f t="shared" si="12"/>
        <v>21281</v>
      </c>
      <c r="V17" s="106">
        <f t="shared" si="20"/>
        <v>9.2999999999999995E-4</v>
      </c>
      <c r="W17" s="52"/>
      <c r="X17" s="112">
        <f t="shared" si="4"/>
        <v>1.6707072000000001</v>
      </c>
      <c r="Y17" s="106">
        <v>8760</v>
      </c>
      <c r="Z17" s="121">
        <f t="shared" si="5"/>
        <v>0.38144</v>
      </c>
      <c r="AA17" s="109">
        <f t="shared" si="13"/>
        <v>0.04</v>
      </c>
      <c r="AB17" s="154" t="s">
        <v>210</v>
      </c>
      <c r="AC17" s="157">
        <f>H17</f>
        <v>128</v>
      </c>
      <c r="AD17" s="121">
        <v>0.04</v>
      </c>
      <c r="AE17" s="121">
        <f t="shared" si="14"/>
        <v>0.06</v>
      </c>
      <c r="AF17" s="158">
        <v>2.3E-2</v>
      </c>
      <c r="AG17" s="115">
        <f t="shared" si="6"/>
        <v>3.3638400000000006E-2</v>
      </c>
      <c r="AH17" s="106">
        <v>8760</v>
      </c>
      <c r="AI17" s="99">
        <f t="shared" si="7"/>
        <v>7.6800000000000002E-3</v>
      </c>
      <c r="AJ17" s="114">
        <f t="shared" si="8"/>
        <v>4.0000000000000001E-3</v>
      </c>
      <c r="AK17" s="154" t="s">
        <v>208</v>
      </c>
      <c r="AL17" s="52">
        <f>I17</f>
        <v>256</v>
      </c>
      <c r="AM17" s="87">
        <v>0</v>
      </c>
      <c r="AN17" s="173">
        <f t="shared" si="0"/>
        <v>0</v>
      </c>
      <c r="AO17" s="52">
        <v>7.4999999999999997E-3</v>
      </c>
      <c r="AP17" s="52"/>
      <c r="AQ17" s="115">
        <f t="shared" si="9"/>
        <v>0.10512000000000001</v>
      </c>
      <c r="AR17" s="106">
        <v>8760</v>
      </c>
      <c r="AS17" s="176">
        <f t="shared" si="10"/>
        <v>2.4E-2</v>
      </c>
      <c r="AT17" s="118">
        <f t="shared" si="11"/>
        <v>2.5000000000000001E-2</v>
      </c>
      <c r="AU17" s="154" t="s">
        <v>208</v>
      </c>
      <c r="AV17" s="52">
        <f>J17</f>
        <v>128</v>
      </c>
      <c r="AW17" s="175">
        <v>7.1999999999999998E-3</v>
      </c>
      <c r="AX17" s="173">
        <f t="shared" si="16"/>
        <v>7.1999999999999998E-3</v>
      </c>
      <c r="AY17" s="52">
        <v>7.4999999999999997E-3</v>
      </c>
      <c r="AZ17" s="52"/>
    </row>
    <row r="18" spans="2:52" s="119" customFormat="1" x14ac:dyDescent="0.2">
      <c r="B18" s="163" t="s">
        <v>7</v>
      </c>
      <c r="C18" s="163" t="s">
        <v>84</v>
      </c>
      <c r="D18" s="98">
        <v>61</v>
      </c>
      <c r="E18" s="52" t="s">
        <v>71</v>
      </c>
      <c r="F18" s="98">
        <v>4</v>
      </c>
      <c r="G18" s="98">
        <v>2</v>
      </c>
      <c r="H18" s="98">
        <f>61*2</f>
        <v>122</v>
      </c>
      <c r="I18" s="98">
        <f>4*61</f>
        <v>244</v>
      </c>
      <c r="J18" s="98">
        <f>2*61</f>
        <v>122</v>
      </c>
      <c r="K18" s="157">
        <f>L18/61</f>
        <v>335.22950819672133</v>
      </c>
      <c r="L18" s="170">
        <v>20449</v>
      </c>
      <c r="M18" s="163"/>
      <c r="N18" s="106" t="s">
        <v>149</v>
      </c>
      <c r="O18" s="98" t="s">
        <v>153</v>
      </c>
      <c r="P18" s="108">
        <f t="shared" si="1"/>
        <v>0.11410542</v>
      </c>
      <c r="Q18" s="113">
        <f t="shared" si="2"/>
        <v>228.21083999999999</v>
      </c>
      <c r="R18" s="113">
        <v>12</v>
      </c>
      <c r="S18" s="153" t="s">
        <v>208</v>
      </c>
      <c r="T18" s="179">
        <v>3.6100000000000003</v>
      </c>
      <c r="U18" s="165">
        <f t="shared" si="12"/>
        <v>20449</v>
      </c>
      <c r="V18" s="106">
        <f t="shared" si="20"/>
        <v>9.2999999999999995E-4</v>
      </c>
      <c r="W18" s="52"/>
      <c r="X18" s="109">
        <f t="shared" si="4"/>
        <v>1.5923928000000001</v>
      </c>
      <c r="Y18" s="106">
        <v>8760</v>
      </c>
      <c r="Z18" s="121">
        <f t="shared" si="5"/>
        <v>0.36355999999999999</v>
      </c>
      <c r="AA18" s="109">
        <f t="shared" si="13"/>
        <v>0.04</v>
      </c>
      <c r="AB18" s="154" t="s">
        <v>210</v>
      </c>
      <c r="AC18" s="157">
        <f>H18</f>
        <v>122</v>
      </c>
      <c r="AD18" s="121">
        <v>0.04</v>
      </c>
      <c r="AE18" s="121">
        <f t="shared" si="14"/>
        <v>0.06</v>
      </c>
      <c r="AF18" s="158">
        <v>2.3E-2</v>
      </c>
      <c r="AG18" s="115">
        <f t="shared" si="6"/>
        <v>3.2061599999999996E-2</v>
      </c>
      <c r="AH18" s="106">
        <v>8760</v>
      </c>
      <c r="AI18" s="99">
        <f t="shared" si="7"/>
        <v>7.3199999999999993E-3</v>
      </c>
      <c r="AJ18" s="114">
        <f t="shared" si="8"/>
        <v>4.0000000000000001E-3</v>
      </c>
      <c r="AK18" s="154" t="s">
        <v>208</v>
      </c>
      <c r="AL18" s="52">
        <f>I18</f>
        <v>244</v>
      </c>
      <c r="AM18" s="87">
        <v>0</v>
      </c>
      <c r="AN18" s="173">
        <f t="shared" si="0"/>
        <v>0</v>
      </c>
      <c r="AO18" s="52">
        <v>7.4999999999999997E-3</v>
      </c>
      <c r="AP18" s="52"/>
      <c r="AQ18" s="115">
        <f t="shared" si="9"/>
        <v>0.10019249999999999</v>
      </c>
      <c r="AR18" s="106">
        <v>8760</v>
      </c>
      <c r="AS18" s="176">
        <f t="shared" si="10"/>
        <v>2.2875E-2</v>
      </c>
      <c r="AT18" s="118">
        <f t="shared" si="11"/>
        <v>2.5000000000000001E-2</v>
      </c>
      <c r="AU18" s="154" t="s">
        <v>208</v>
      </c>
      <c r="AV18" s="52">
        <f>J18</f>
        <v>122</v>
      </c>
      <c r="AW18" s="175">
        <v>5.7000000000000002E-3</v>
      </c>
      <c r="AX18" s="173">
        <f t="shared" si="16"/>
        <v>5.7000000000000002E-3</v>
      </c>
      <c r="AY18" s="52">
        <v>7.4999999999999997E-3</v>
      </c>
      <c r="AZ18" s="52"/>
    </row>
    <row r="19" spans="2:52" s="119" customFormat="1" x14ac:dyDescent="0.2">
      <c r="B19" s="163" t="s">
        <v>7</v>
      </c>
      <c r="C19" s="163" t="s">
        <v>85</v>
      </c>
      <c r="D19" s="98">
        <v>61</v>
      </c>
      <c r="E19" s="52" t="s">
        <v>71</v>
      </c>
      <c r="F19" s="98">
        <v>4</v>
      </c>
      <c r="G19" s="98">
        <v>2</v>
      </c>
      <c r="H19" s="98">
        <f>61*2</f>
        <v>122</v>
      </c>
      <c r="I19" s="98">
        <f t="shared" ref="I19:I20" si="24">4*61</f>
        <v>244</v>
      </c>
      <c r="J19" s="98">
        <f t="shared" ref="J19:J20" si="25">2*61</f>
        <v>122</v>
      </c>
      <c r="K19" s="157">
        <f t="shared" ref="K19:K20" si="26">L19/61</f>
        <v>335.22950819672133</v>
      </c>
      <c r="L19" s="170">
        <v>20449</v>
      </c>
      <c r="M19" s="163"/>
      <c r="N19" s="106" t="s">
        <v>149</v>
      </c>
      <c r="O19" s="98" t="s">
        <v>153</v>
      </c>
      <c r="P19" s="108">
        <f t="shared" si="1"/>
        <v>0.11410542</v>
      </c>
      <c r="Q19" s="113">
        <f t="shared" si="2"/>
        <v>228.21083999999999</v>
      </c>
      <c r="R19" s="113">
        <v>12</v>
      </c>
      <c r="S19" s="153" t="s">
        <v>208</v>
      </c>
      <c r="T19" s="179">
        <v>3.7719999999999998</v>
      </c>
      <c r="U19" s="165">
        <f t="shared" si="12"/>
        <v>20449</v>
      </c>
      <c r="V19" s="106">
        <f t="shared" si="20"/>
        <v>9.2999999999999995E-4</v>
      </c>
      <c r="W19" s="52"/>
      <c r="X19" s="109">
        <f t="shared" si="4"/>
        <v>1.5923928000000001</v>
      </c>
      <c r="Y19" s="106">
        <v>8760</v>
      </c>
      <c r="Z19" s="121">
        <f t="shared" si="5"/>
        <v>0.36355999999999999</v>
      </c>
      <c r="AA19" s="109">
        <f t="shared" si="13"/>
        <v>0.04</v>
      </c>
      <c r="AB19" s="154" t="s">
        <v>210</v>
      </c>
      <c r="AC19" s="157">
        <f>H19</f>
        <v>122</v>
      </c>
      <c r="AD19" s="121">
        <v>0.04</v>
      </c>
      <c r="AE19" s="121">
        <f t="shared" si="14"/>
        <v>0.06</v>
      </c>
      <c r="AF19" s="158">
        <v>2.3E-2</v>
      </c>
      <c r="AG19" s="115">
        <f t="shared" si="6"/>
        <v>3.2061599999999996E-2</v>
      </c>
      <c r="AH19" s="106">
        <v>8760</v>
      </c>
      <c r="AI19" s="99">
        <f t="shared" si="7"/>
        <v>7.3199999999999993E-3</v>
      </c>
      <c r="AJ19" s="114">
        <f t="shared" si="8"/>
        <v>4.0000000000000001E-3</v>
      </c>
      <c r="AK19" s="154" t="s">
        <v>208</v>
      </c>
      <c r="AL19" s="52">
        <f>I19</f>
        <v>244</v>
      </c>
      <c r="AM19" s="87">
        <v>0</v>
      </c>
      <c r="AN19" s="173">
        <f t="shared" si="0"/>
        <v>0</v>
      </c>
      <c r="AO19" s="52">
        <v>7.4999999999999997E-3</v>
      </c>
      <c r="AP19" s="52"/>
      <c r="AQ19" s="115">
        <f t="shared" si="9"/>
        <v>0.10019249999999999</v>
      </c>
      <c r="AR19" s="106">
        <v>8760</v>
      </c>
      <c r="AS19" s="176">
        <f t="shared" si="10"/>
        <v>2.2875E-2</v>
      </c>
      <c r="AT19" s="118">
        <f t="shared" si="11"/>
        <v>2.5000000000000001E-2</v>
      </c>
      <c r="AU19" s="154" t="s">
        <v>208</v>
      </c>
      <c r="AV19" s="52">
        <f>J19</f>
        <v>122</v>
      </c>
      <c r="AW19" s="175">
        <v>7.1999999999999998E-3</v>
      </c>
      <c r="AX19" s="173">
        <f t="shared" si="16"/>
        <v>7.1999999999999998E-3</v>
      </c>
      <c r="AY19" s="52">
        <v>7.4999999999999997E-3</v>
      </c>
      <c r="AZ19" s="52"/>
    </row>
    <row r="20" spans="2:52" s="119" customFormat="1" x14ac:dyDescent="0.2">
      <c r="B20" s="163" t="s">
        <v>7</v>
      </c>
      <c r="C20" s="163" t="s">
        <v>86</v>
      </c>
      <c r="D20" s="98">
        <v>61</v>
      </c>
      <c r="E20" s="52" t="s">
        <v>71</v>
      </c>
      <c r="F20" s="98">
        <v>4</v>
      </c>
      <c r="G20" s="98">
        <v>2</v>
      </c>
      <c r="H20" s="98">
        <f>61*2</f>
        <v>122</v>
      </c>
      <c r="I20" s="98">
        <f t="shared" si="24"/>
        <v>244</v>
      </c>
      <c r="J20" s="98">
        <f t="shared" si="25"/>
        <v>122</v>
      </c>
      <c r="K20" s="157">
        <f t="shared" si="26"/>
        <v>335.22950819672133</v>
      </c>
      <c r="L20" s="170">
        <v>20449</v>
      </c>
      <c r="M20" s="163"/>
      <c r="N20" s="106" t="s">
        <v>149</v>
      </c>
      <c r="O20" s="98" t="s">
        <v>153</v>
      </c>
      <c r="P20" s="108">
        <f t="shared" si="1"/>
        <v>0.11410542</v>
      </c>
      <c r="Q20" s="113">
        <f t="shared" si="2"/>
        <v>228.21083999999999</v>
      </c>
      <c r="R20" s="113">
        <v>12</v>
      </c>
      <c r="S20" s="153" t="s">
        <v>208</v>
      </c>
      <c r="T20" s="179">
        <v>3.7679999999999998</v>
      </c>
      <c r="U20" s="165">
        <f t="shared" si="12"/>
        <v>20449</v>
      </c>
      <c r="V20" s="106">
        <f t="shared" si="20"/>
        <v>9.2999999999999995E-4</v>
      </c>
      <c r="W20" s="52"/>
      <c r="X20" s="109">
        <f t="shared" si="4"/>
        <v>1.5923928000000001</v>
      </c>
      <c r="Y20" s="106">
        <v>8760</v>
      </c>
      <c r="Z20" s="121">
        <f t="shared" si="5"/>
        <v>0.36355999999999999</v>
      </c>
      <c r="AA20" s="109">
        <f t="shared" si="13"/>
        <v>0.04</v>
      </c>
      <c r="AB20" s="154" t="s">
        <v>210</v>
      </c>
      <c r="AC20" s="157">
        <f>H20</f>
        <v>122</v>
      </c>
      <c r="AD20" s="121">
        <v>0.04</v>
      </c>
      <c r="AE20" s="121">
        <f t="shared" si="14"/>
        <v>0.06</v>
      </c>
      <c r="AF20" s="158">
        <v>2.3E-2</v>
      </c>
      <c r="AG20" s="115">
        <f t="shared" si="6"/>
        <v>3.2061599999999996E-2</v>
      </c>
      <c r="AH20" s="106">
        <v>8760</v>
      </c>
      <c r="AI20" s="99">
        <f t="shared" si="7"/>
        <v>7.3199999999999993E-3</v>
      </c>
      <c r="AJ20" s="114">
        <f t="shared" si="8"/>
        <v>4.0000000000000001E-3</v>
      </c>
      <c r="AK20" s="154" t="s">
        <v>208</v>
      </c>
      <c r="AL20" s="52">
        <f>I20</f>
        <v>244</v>
      </c>
      <c r="AM20" s="87">
        <v>0</v>
      </c>
      <c r="AN20" s="173">
        <f t="shared" si="0"/>
        <v>0</v>
      </c>
      <c r="AO20" s="52">
        <v>7.4999999999999997E-3</v>
      </c>
      <c r="AP20" s="52"/>
      <c r="AQ20" s="115">
        <f t="shared" si="9"/>
        <v>0.10019249999999999</v>
      </c>
      <c r="AR20" s="106">
        <v>8760</v>
      </c>
      <c r="AS20" s="176">
        <f t="shared" si="10"/>
        <v>2.2875E-2</v>
      </c>
      <c r="AT20" s="118">
        <f t="shared" si="11"/>
        <v>2.5000000000000001E-2</v>
      </c>
      <c r="AU20" s="154" t="s">
        <v>208</v>
      </c>
      <c r="AV20" s="52">
        <f>J20</f>
        <v>122</v>
      </c>
      <c r="AW20" s="175">
        <v>3.8999999999999998E-3</v>
      </c>
      <c r="AX20" s="173">
        <f t="shared" si="16"/>
        <v>3.8999999999999998E-3</v>
      </c>
      <c r="AY20" s="52">
        <v>7.4999999999999997E-3</v>
      </c>
      <c r="AZ20" s="52"/>
    </row>
    <row r="21" spans="2:52" s="119" customFormat="1" x14ac:dyDescent="0.2">
      <c r="B21" s="163" t="s">
        <v>7</v>
      </c>
      <c r="C21" s="163" t="s">
        <v>87</v>
      </c>
      <c r="D21" s="98">
        <v>87</v>
      </c>
      <c r="E21" s="52" t="s">
        <v>71</v>
      </c>
      <c r="F21" s="98">
        <v>4</v>
      </c>
      <c r="G21" s="98">
        <v>2</v>
      </c>
      <c r="H21" s="98">
        <f>87*2</f>
        <v>174</v>
      </c>
      <c r="I21" s="98">
        <f>4*87</f>
        <v>348</v>
      </c>
      <c r="J21" s="98">
        <f>2*87</f>
        <v>174</v>
      </c>
      <c r="K21" s="157">
        <f>L21/87</f>
        <v>348.32183908045977</v>
      </c>
      <c r="L21" s="170">
        <v>30304</v>
      </c>
      <c r="M21" s="163"/>
      <c r="N21" s="106" t="s">
        <v>149</v>
      </c>
      <c r="O21" s="98" t="s">
        <v>153</v>
      </c>
      <c r="P21" s="108">
        <f t="shared" si="1"/>
        <v>0.16909631999999999</v>
      </c>
      <c r="Q21" s="113">
        <f t="shared" si="2"/>
        <v>338.19263999999998</v>
      </c>
      <c r="R21" s="113">
        <v>12</v>
      </c>
      <c r="S21" s="153" t="s">
        <v>208</v>
      </c>
      <c r="T21" s="179">
        <v>4.4659999999999993</v>
      </c>
      <c r="U21" s="165">
        <f t="shared" si="12"/>
        <v>30304</v>
      </c>
      <c r="V21" s="106">
        <f t="shared" si="20"/>
        <v>9.2999999999999995E-4</v>
      </c>
      <c r="W21" s="52"/>
      <c r="X21" s="112">
        <f t="shared" si="4"/>
        <v>2.2711176000000002</v>
      </c>
      <c r="Y21" s="106">
        <v>8760</v>
      </c>
      <c r="Z21" s="121">
        <f t="shared" si="5"/>
        <v>0.51851999999999998</v>
      </c>
      <c r="AA21" s="109">
        <f t="shared" si="13"/>
        <v>0.04</v>
      </c>
      <c r="AB21" s="154" t="s">
        <v>210</v>
      </c>
      <c r="AC21" s="157">
        <f>H21</f>
        <v>174</v>
      </c>
      <c r="AD21" s="121">
        <v>0.04</v>
      </c>
      <c r="AE21" s="121">
        <f t="shared" si="14"/>
        <v>0.06</v>
      </c>
      <c r="AF21" s="158">
        <v>2.3E-2</v>
      </c>
      <c r="AG21" s="115">
        <f t="shared" si="6"/>
        <v>4.5727200000000003E-2</v>
      </c>
      <c r="AH21" s="106">
        <v>8760</v>
      </c>
      <c r="AI21" s="99">
        <f t="shared" si="7"/>
        <v>1.0440000000000001E-2</v>
      </c>
      <c r="AJ21" s="114">
        <f t="shared" si="8"/>
        <v>4.0000000000000001E-3</v>
      </c>
      <c r="AK21" s="154" t="s">
        <v>208</v>
      </c>
      <c r="AL21" s="52">
        <f>I21</f>
        <v>348</v>
      </c>
      <c r="AM21" s="87">
        <v>0</v>
      </c>
      <c r="AN21" s="173">
        <f t="shared" si="0"/>
        <v>0</v>
      </c>
      <c r="AO21" s="52">
        <v>7.4999999999999997E-3</v>
      </c>
      <c r="AP21" s="52"/>
      <c r="AQ21" s="115">
        <f t="shared" si="9"/>
        <v>0.14289750000000001</v>
      </c>
      <c r="AR21" s="106">
        <v>8760</v>
      </c>
      <c r="AS21" s="176">
        <f t="shared" si="10"/>
        <v>3.2625000000000001E-2</v>
      </c>
      <c r="AT21" s="118">
        <f t="shared" si="11"/>
        <v>2.5000000000000001E-2</v>
      </c>
      <c r="AU21" s="154" t="s">
        <v>208</v>
      </c>
      <c r="AV21" s="52">
        <f>J21</f>
        <v>174</v>
      </c>
      <c r="AW21" s="175">
        <v>1.24E-2</v>
      </c>
      <c r="AX21" s="173">
        <f t="shared" si="16"/>
        <v>1.24E-2</v>
      </c>
      <c r="AY21" s="52">
        <v>7.4999999999999997E-3</v>
      </c>
      <c r="AZ21" s="52"/>
    </row>
    <row r="22" spans="2:52" s="119" customFormat="1" x14ac:dyDescent="0.2">
      <c r="B22" s="163" t="s">
        <v>7</v>
      </c>
      <c r="C22" s="163" t="s">
        <v>88</v>
      </c>
      <c r="D22" s="98">
        <v>87</v>
      </c>
      <c r="E22" s="52" t="s">
        <v>71</v>
      </c>
      <c r="F22" s="98">
        <v>4</v>
      </c>
      <c r="G22" s="98">
        <v>2</v>
      </c>
      <c r="H22" s="98">
        <f>87*2</f>
        <v>174</v>
      </c>
      <c r="I22" s="98">
        <f>4*87</f>
        <v>348</v>
      </c>
      <c r="J22" s="98">
        <f>2*87</f>
        <v>174</v>
      </c>
      <c r="K22" s="157">
        <f t="shared" ref="K22" si="27">L22/87</f>
        <v>348.32183908045977</v>
      </c>
      <c r="L22" s="170">
        <v>30304</v>
      </c>
      <c r="M22" s="163"/>
      <c r="N22" s="106" t="s">
        <v>149</v>
      </c>
      <c r="O22" s="98" t="s">
        <v>153</v>
      </c>
      <c r="P22" s="108">
        <f t="shared" si="1"/>
        <v>0.16909631999999999</v>
      </c>
      <c r="Q22" s="113">
        <f t="shared" si="2"/>
        <v>338.19263999999998</v>
      </c>
      <c r="R22" s="113">
        <v>12</v>
      </c>
      <c r="S22" s="153" t="s">
        <v>208</v>
      </c>
      <c r="T22" s="179">
        <v>4.1180000000000003</v>
      </c>
      <c r="U22" s="165">
        <f t="shared" si="12"/>
        <v>30304</v>
      </c>
      <c r="V22" s="106">
        <f t="shared" si="20"/>
        <v>9.2999999999999995E-4</v>
      </c>
      <c r="W22" s="52"/>
      <c r="X22" s="112">
        <f t="shared" si="4"/>
        <v>2.2711176000000002</v>
      </c>
      <c r="Y22" s="106">
        <v>8760</v>
      </c>
      <c r="Z22" s="121">
        <f t="shared" si="5"/>
        <v>0.51851999999999998</v>
      </c>
      <c r="AA22" s="109">
        <f t="shared" si="13"/>
        <v>0.04</v>
      </c>
      <c r="AB22" s="154" t="s">
        <v>210</v>
      </c>
      <c r="AC22" s="157">
        <f>H22</f>
        <v>174</v>
      </c>
      <c r="AD22" s="121">
        <v>0.04</v>
      </c>
      <c r="AE22" s="121">
        <f t="shared" si="14"/>
        <v>0.06</v>
      </c>
      <c r="AF22" s="158">
        <v>2.3E-2</v>
      </c>
      <c r="AG22" s="115">
        <f t="shared" si="6"/>
        <v>4.5727200000000003E-2</v>
      </c>
      <c r="AH22" s="106">
        <v>8760</v>
      </c>
      <c r="AI22" s="99">
        <f t="shared" si="7"/>
        <v>1.0440000000000001E-2</v>
      </c>
      <c r="AJ22" s="114">
        <f t="shared" si="8"/>
        <v>4.0000000000000001E-3</v>
      </c>
      <c r="AK22" s="154" t="s">
        <v>208</v>
      </c>
      <c r="AL22" s="52">
        <f>I22</f>
        <v>348</v>
      </c>
      <c r="AM22" s="87">
        <v>1E-4</v>
      </c>
      <c r="AN22" s="173">
        <f t="shared" si="0"/>
        <v>1E-4</v>
      </c>
      <c r="AO22" s="52">
        <v>7.4999999999999997E-3</v>
      </c>
      <c r="AP22" s="52"/>
      <c r="AQ22" s="115">
        <f t="shared" si="9"/>
        <v>0.14289750000000001</v>
      </c>
      <c r="AR22" s="106">
        <v>8760</v>
      </c>
      <c r="AS22" s="176">
        <f t="shared" si="10"/>
        <v>3.2625000000000001E-2</v>
      </c>
      <c r="AT22" s="118">
        <f t="shared" si="11"/>
        <v>2.5000000000000001E-2</v>
      </c>
      <c r="AU22" s="154" t="s">
        <v>208</v>
      </c>
      <c r="AV22" s="52">
        <f>J22</f>
        <v>174</v>
      </c>
      <c r="AW22" s="175">
        <v>1.0500000000000001E-2</v>
      </c>
      <c r="AX22" s="173">
        <f t="shared" si="16"/>
        <v>1.0500000000000001E-2</v>
      </c>
      <c r="AY22" s="52">
        <v>7.4999999999999997E-3</v>
      </c>
      <c r="AZ22" s="52"/>
    </row>
    <row r="23" spans="2:52" s="119" customFormat="1" x14ac:dyDescent="0.2">
      <c r="B23" s="163" t="s">
        <v>7</v>
      </c>
      <c r="C23" s="163" t="s">
        <v>8</v>
      </c>
      <c r="D23" s="98">
        <v>75</v>
      </c>
      <c r="E23" s="52" t="s">
        <v>71</v>
      </c>
      <c r="F23" s="98">
        <v>4</v>
      </c>
      <c r="G23" s="98">
        <v>2</v>
      </c>
      <c r="H23" s="98">
        <f>75*2</f>
        <v>150</v>
      </c>
      <c r="I23" s="98">
        <f>4*75</f>
        <v>300</v>
      </c>
      <c r="J23" s="98">
        <f>2*75</f>
        <v>150</v>
      </c>
      <c r="K23" s="157">
        <f>L23/75</f>
        <v>377.04</v>
      </c>
      <c r="L23" s="170">
        <v>28278</v>
      </c>
      <c r="M23" s="163"/>
      <c r="N23" s="106" t="s">
        <v>149</v>
      </c>
      <c r="O23" s="98" t="s">
        <v>153</v>
      </c>
      <c r="P23" s="108">
        <f t="shared" si="1"/>
        <v>0.15779124</v>
      </c>
      <c r="Q23" s="113">
        <f t="shared" si="2"/>
        <v>315.58247999999998</v>
      </c>
      <c r="R23" s="113">
        <v>12</v>
      </c>
      <c r="S23" s="153" t="s">
        <v>208</v>
      </c>
      <c r="T23" s="179">
        <v>4.34</v>
      </c>
      <c r="U23" s="165">
        <f t="shared" si="12"/>
        <v>28278</v>
      </c>
      <c r="V23" s="106">
        <f t="shared" si="20"/>
        <v>9.2999999999999995E-4</v>
      </c>
      <c r="W23" s="52"/>
      <c r="X23" s="109">
        <f t="shared" si="4"/>
        <v>1.9578599999999999</v>
      </c>
      <c r="Y23" s="106">
        <v>8760</v>
      </c>
      <c r="Z23" s="121">
        <f t="shared" si="5"/>
        <v>0.44699999999999995</v>
      </c>
      <c r="AA23" s="109">
        <f t="shared" si="13"/>
        <v>0.04</v>
      </c>
      <c r="AB23" s="154" t="s">
        <v>210</v>
      </c>
      <c r="AC23" s="157">
        <f>H23</f>
        <v>150</v>
      </c>
      <c r="AD23" s="121">
        <v>0.04</v>
      </c>
      <c r="AE23" s="121">
        <f t="shared" si="14"/>
        <v>0.06</v>
      </c>
      <c r="AF23" s="158">
        <v>2.3E-2</v>
      </c>
      <c r="AG23" s="115">
        <f t="shared" si="6"/>
        <v>3.9419999999999997E-2</v>
      </c>
      <c r="AH23" s="106">
        <v>8760</v>
      </c>
      <c r="AI23" s="99">
        <f t="shared" si="7"/>
        <v>8.9999999999999993E-3</v>
      </c>
      <c r="AJ23" s="114">
        <f t="shared" si="8"/>
        <v>4.0000000000000001E-3</v>
      </c>
      <c r="AK23" s="154" t="s">
        <v>208</v>
      </c>
      <c r="AL23" s="52">
        <f>I23</f>
        <v>300</v>
      </c>
      <c r="AM23" s="87">
        <v>1E-4</v>
      </c>
      <c r="AN23" s="173">
        <f t="shared" si="0"/>
        <v>1E-4</v>
      </c>
      <c r="AO23" s="52">
        <v>7.4999999999999997E-3</v>
      </c>
      <c r="AP23" s="52"/>
      <c r="AQ23" s="115">
        <f t="shared" si="9"/>
        <v>0.12318749999999999</v>
      </c>
      <c r="AR23" s="106">
        <v>8760</v>
      </c>
      <c r="AS23" s="176">
        <f t="shared" si="10"/>
        <v>2.8124999999999997E-2</v>
      </c>
      <c r="AT23" s="118">
        <f t="shared" si="11"/>
        <v>2.5000000000000001E-2</v>
      </c>
      <c r="AU23" s="154" t="s">
        <v>208</v>
      </c>
      <c r="AV23" s="52">
        <f>J23</f>
        <v>150</v>
      </c>
      <c r="AW23" s="175">
        <v>1.6999999999999999E-3</v>
      </c>
      <c r="AX23" s="173">
        <f t="shared" si="16"/>
        <v>1.6999999999999999E-3</v>
      </c>
      <c r="AY23" s="52">
        <v>7.4999999999999997E-3</v>
      </c>
      <c r="AZ23" s="52"/>
    </row>
    <row r="24" spans="2:52" s="119" customFormat="1" x14ac:dyDescent="0.2">
      <c r="B24" s="163" t="s">
        <v>7</v>
      </c>
      <c r="C24" s="163" t="s">
        <v>89</v>
      </c>
      <c r="D24" s="98">
        <v>84</v>
      </c>
      <c r="E24" s="52" t="s">
        <v>71</v>
      </c>
      <c r="F24" s="98">
        <v>5</v>
      </c>
      <c r="G24" s="98">
        <v>1</v>
      </c>
      <c r="H24" s="98">
        <f>84*2</f>
        <v>168</v>
      </c>
      <c r="I24" s="98">
        <f>5*84</f>
        <v>420</v>
      </c>
      <c r="J24" s="98">
        <v>84</v>
      </c>
      <c r="K24" s="157">
        <f>L24/84</f>
        <v>432.48809523809524</v>
      </c>
      <c r="L24" s="170">
        <v>36329</v>
      </c>
      <c r="M24" s="163"/>
      <c r="N24" s="106" t="s">
        <v>149</v>
      </c>
      <c r="O24" s="98" t="s">
        <v>153</v>
      </c>
      <c r="P24" s="109">
        <f t="shared" si="1"/>
        <v>0.20271581999999999</v>
      </c>
      <c r="Q24" s="113">
        <f t="shared" si="2"/>
        <v>405.43163999999996</v>
      </c>
      <c r="R24" s="113">
        <v>12</v>
      </c>
      <c r="S24" s="153" t="s">
        <v>208</v>
      </c>
      <c r="T24" s="179">
        <v>37.531999999999996</v>
      </c>
      <c r="U24" s="165">
        <f t="shared" si="12"/>
        <v>36329</v>
      </c>
      <c r="V24" s="106">
        <f t="shared" si="20"/>
        <v>9.2999999999999995E-4</v>
      </c>
      <c r="W24" s="52"/>
      <c r="X24" s="112">
        <f t="shared" si="4"/>
        <v>2.1928031999999997</v>
      </c>
      <c r="Y24" s="106">
        <v>8760</v>
      </c>
      <c r="Z24" s="121">
        <f t="shared" si="5"/>
        <v>0.50063999999999997</v>
      </c>
      <c r="AA24" s="109">
        <f t="shared" si="13"/>
        <v>0.04</v>
      </c>
      <c r="AB24" s="154" t="s">
        <v>210</v>
      </c>
      <c r="AC24" s="157">
        <f>H24</f>
        <v>168</v>
      </c>
      <c r="AD24" s="121">
        <v>0.04</v>
      </c>
      <c r="AE24" s="121">
        <f t="shared" si="14"/>
        <v>0.06</v>
      </c>
      <c r="AF24" s="158">
        <v>2.3E-2</v>
      </c>
      <c r="AG24" s="115">
        <f t="shared" si="6"/>
        <v>5.5187999999999994E-2</v>
      </c>
      <c r="AH24" s="106">
        <v>8760</v>
      </c>
      <c r="AI24" s="99">
        <f t="shared" si="7"/>
        <v>1.2599999999999998E-2</v>
      </c>
      <c r="AJ24" s="114">
        <f t="shared" si="8"/>
        <v>4.0000000000000001E-3</v>
      </c>
      <c r="AK24" s="154" t="s">
        <v>208</v>
      </c>
      <c r="AL24" s="52">
        <f>I24</f>
        <v>420</v>
      </c>
      <c r="AM24" s="87">
        <v>0</v>
      </c>
      <c r="AN24" s="173">
        <f t="shared" si="0"/>
        <v>0</v>
      </c>
      <c r="AO24" s="52">
        <v>7.4999999999999997E-3</v>
      </c>
      <c r="AP24" s="52"/>
      <c r="AQ24" s="115">
        <f t="shared" si="9"/>
        <v>6.8985000000000005E-2</v>
      </c>
      <c r="AR24" s="106">
        <v>8760</v>
      </c>
      <c r="AS24" s="176">
        <f t="shared" si="10"/>
        <v>1.575E-2</v>
      </c>
      <c r="AT24" s="118">
        <f t="shared" si="11"/>
        <v>2.5000000000000001E-2</v>
      </c>
      <c r="AU24" s="154" t="s">
        <v>208</v>
      </c>
      <c r="AV24" s="52">
        <f>J24</f>
        <v>84</v>
      </c>
      <c r="AW24" s="175">
        <v>8.0000000000000004E-4</v>
      </c>
      <c r="AX24" s="173">
        <f t="shared" si="16"/>
        <v>8.0000000000000004E-4</v>
      </c>
      <c r="AY24" s="52">
        <v>7.4999999999999997E-3</v>
      </c>
      <c r="AZ24" s="52"/>
    </row>
    <row r="25" spans="2:52" s="119" customFormat="1" x14ac:dyDescent="0.2">
      <c r="B25" s="180" t="s">
        <v>90</v>
      </c>
      <c r="C25" s="181" t="s">
        <v>91</v>
      </c>
      <c r="D25" s="69">
        <v>78</v>
      </c>
      <c r="E25" s="68" t="s">
        <v>74</v>
      </c>
      <c r="F25" s="98"/>
      <c r="G25" s="98"/>
      <c r="H25" s="98">
        <f>D25*2</f>
        <v>156</v>
      </c>
      <c r="I25" s="98">
        <v>312</v>
      </c>
      <c r="J25" s="98">
        <v>78</v>
      </c>
      <c r="K25" s="98"/>
      <c r="L25" s="98"/>
      <c r="M25" s="163"/>
      <c r="N25" s="98"/>
      <c r="O25" s="98"/>
      <c r="P25" s="108">
        <f t="shared" si="1"/>
        <v>0.10961909999999998</v>
      </c>
      <c r="Q25" s="113">
        <f t="shared" si="2"/>
        <v>219.23819999999998</v>
      </c>
      <c r="R25" s="113">
        <v>12</v>
      </c>
      <c r="S25" s="153" t="s">
        <v>208</v>
      </c>
      <c r="T25" s="85">
        <v>3.7</v>
      </c>
      <c r="U25" s="182">
        <v>19645</v>
      </c>
      <c r="V25" s="106">
        <f t="shared" si="20"/>
        <v>9.2999999999999995E-4</v>
      </c>
      <c r="W25" s="68"/>
      <c r="X25" s="112">
        <f t="shared" si="4"/>
        <v>2.0361743999999997</v>
      </c>
      <c r="Y25" s="106">
        <v>8760</v>
      </c>
      <c r="Z25" s="121">
        <f t="shared" si="5"/>
        <v>0.46487999999999996</v>
      </c>
      <c r="AA25" s="109">
        <f t="shared" si="13"/>
        <v>0.04</v>
      </c>
      <c r="AB25" s="154" t="s">
        <v>211</v>
      </c>
      <c r="AC25" s="157">
        <f>H25</f>
        <v>156</v>
      </c>
      <c r="AD25" s="121">
        <v>0.04</v>
      </c>
      <c r="AE25" s="121">
        <f t="shared" si="14"/>
        <v>0.06</v>
      </c>
      <c r="AF25" s="158">
        <v>2.3E-2</v>
      </c>
      <c r="AG25" s="115">
        <f t="shared" si="6"/>
        <v>4.09968E-2</v>
      </c>
      <c r="AH25" s="106">
        <v>8760</v>
      </c>
      <c r="AI25" s="99">
        <f t="shared" si="7"/>
        <v>9.3600000000000003E-3</v>
      </c>
      <c r="AJ25" s="114">
        <f t="shared" si="8"/>
        <v>4.0000000000000001E-3</v>
      </c>
      <c r="AK25" s="154" t="s">
        <v>208</v>
      </c>
      <c r="AL25" s="52">
        <f>I25</f>
        <v>312</v>
      </c>
      <c r="AM25" s="87">
        <v>0</v>
      </c>
      <c r="AN25" s="173">
        <f t="shared" si="0"/>
        <v>0</v>
      </c>
      <c r="AO25" s="52">
        <v>7.4999999999999997E-3</v>
      </c>
      <c r="AP25" s="68"/>
      <c r="AQ25" s="115">
        <f t="shared" si="9"/>
        <v>6.4057500000000003E-2</v>
      </c>
      <c r="AR25" s="106">
        <v>8760</v>
      </c>
      <c r="AS25" s="176">
        <f t="shared" si="10"/>
        <v>1.4625000000000001E-2</v>
      </c>
      <c r="AT25" s="118">
        <f t="shared" si="11"/>
        <v>2.5000000000000001E-2</v>
      </c>
      <c r="AU25" s="154" t="s">
        <v>208</v>
      </c>
      <c r="AV25" s="52">
        <f>J25</f>
        <v>78</v>
      </c>
      <c r="AW25" s="87">
        <v>2.9999999999999997E-4</v>
      </c>
      <c r="AX25" s="173">
        <f t="shared" si="16"/>
        <v>2.9999999999999997E-4</v>
      </c>
      <c r="AY25" s="52">
        <v>7.4999999999999997E-3</v>
      </c>
      <c r="AZ25" s="68"/>
    </row>
    <row r="26" spans="2:52" s="119" customFormat="1" x14ac:dyDescent="0.2">
      <c r="B26" s="52" t="s">
        <v>90</v>
      </c>
      <c r="C26" s="181" t="s">
        <v>81</v>
      </c>
      <c r="D26" s="69">
        <v>25</v>
      </c>
      <c r="E26" s="68" t="s">
        <v>74</v>
      </c>
      <c r="F26" s="98"/>
      <c r="G26" s="98"/>
      <c r="H26" s="98">
        <f t="shared" ref="H26:H30" si="28">D26*2</f>
        <v>50</v>
      </c>
      <c r="I26" s="98">
        <v>125</v>
      </c>
      <c r="J26" s="98">
        <v>25</v>
      </c>
      <c r="K26" s="69"/>
      <c r="L26" s="69"/>
      <c r="M26" s="163"/>
      <c r="N26" s="69"/>
      <c r="O26" s="69"/>
      <c r="P26" s="108">
        <f t="shared" si="1"/>
        <v>3.1588379999999999E-2</v>
      </c>
      <c r="Q26" s="113">
        <f t="shared" si="2"/>
        <v>63.176759999999994</v>
      </c>
      <c r="R26" s="113">
        <v>12</v>
      </c>
      <c r="S26" s="153" t="s">
        <v>208</v>
      </c>
      <c r="T26" s="85">
        <v>4.3</v>
      </c>
      <c r="U26" s="182">
        <v>5661</v>
      </c>
      <c r="V26" s="106">
        <f t="shared" si="20"/>
        <v>9.2999999999999995E-4</v>
      </c>
      <c r="W26" s="68"/>
      <c r="X26" s="109">
        <f t="shared" si="4"/>
        <v>0.65262000000000009</v>
      </c>
      <c r="Y26" s="106">
        <v>8760</v>
      </c>
      <c r="Z26" s="121">
        <f t="shared" si="5"/>
        <v>0.14900000000000002</v>
      </c>
      <c r="AA26" s="109">
        <f t="shared" si="13"/>
        <v>0.04</v>
      </c>
      <c r="AB26" s="154" t="s">
        <v>211</v>
      </c>
      <c r="AC26" s="157">
        <f>H26</f>
        <v>50</v>
      </c>
      <c r="AD26" s="121">
        <v>0.04</v>
      </c>
      <c r="AE26" s="121">
        <f t="shared" si="14"/>
        <v>0.06</v>
      </c>
      <c r="AF26" s="158">
        <v>2.3E-2</v>
      </c>
      <c r="AG26" s="115">
        <f t="shared" si="6"/>
        <v>1.6425000000000002E-2</v>
      </c>
      <c r="AH26" s="106">
        <v>8760</v>
      </c>
      <c r="AI26" s="99">
        <f t="shared" si="7"/>
        <v>3.7499999999999999E-3</v>
      </c>
      <c r="AJ26" s="114">
        <f t="shared" si="8"/>
        <v>4.0000000000000001E-3</v>
      </c>
      <c r="AK26" s="154" t="s">
        <v>208</v>
      </c>
      <c r="AL26" s="52">
        <f>I26</f>
        <v>125</v>
      </c>
      <c r="AM26" s="87">
        <v>0</v>
      </c>
      <c r="AN26" s="173">
        <f t="shared" si="0"/>
        <v>0</v>
      </c>
      <c r="AO26" s="52">
        <v>7.4999999999999997E-3</v>
      </c>
      <c r="AP26" s="68"/>
      <c r="AQ26" s="115">
        <f t="shared" si="9"/>
        <v>2.0531250000000001E-2</v>
      </c>
      <c r="AR26" s="106">
        <v>8760</v>
      </c>
      <c r="AS26" s="176">
        <f t="shared" si="10"/>
        <v>4.6874999999999998E-3</v>
      </c>
      <c r="AT26" s="118">
        <f t="shared" si="11"/>
        <v>2.5000000000000001E-2</v>
      </c>
      <c r="AU26" s="154" t="s">
        <v>208</v>
      </c>
      <c r="AV26" s="52">
        <f>J26</f>
        <v>25</v>
      </c>
      <c r="AW26" s="87">
        <v>0</v>
      </c>
      <c r="AX26" s="173">
        <f t="shared" si="16"/>
        <v>0</v>
      </c>
      <c r="AY26" s="52">
        <v>7.4999999999999997E-3</v>
      </c>
      <c r="AZ26" s="68"/>
    </row>
    <row r="27" spans="2:52" s="119" customFormat="1" x14ac:dyDescent="0.2">
      <c r="B27" s="52" t="s">
        <v>90</v>
      </c>
      <c r="C27" s="181" t="s">
        <v>92</v>
      </c>
      <c r="D27" s="69">
        <v>29</v>
      </c>
      <c r="E27" s="68" t="s">
        <v>74</v>
      </c>
      <c r="F27" s="98"/>
      <c r="G27" s="98"/>
      <c r="H27" s="98">
        <f t="shared" si="28"/>
        <v>58</v>
      </c>
      <c r="I27" s="98">
        <v>145</v>
      </c>
      <c r="J27" s="98">
        <v>29</v>
      </c>
      <c r="K27" s="69"/>
      <c r="L27" s="69"/>
      <c r="M27" s="163"/>
      <c r="N27" s="69"/>
      <c r="O27" s="69"/>
      <c r="P27" s="108">
        <f t="shared" si="1"/>
        <v>3.6638279999999995E-2</v>
      </c>
      <c r="Q27" s="113">
        <f t="shared" si="2"/>
        <v>73.276559999999989</v>
      </c>
      <c r="R27" s="113">
        <v>12</v>
      </c>
      <c r="S27" s="153" t="s">
        <v>208</v>
      </c>
      <c r="T27" s="85">
        <v>4.3</v>
      </c>
      <c r="U27" s="182">
        <v>6566</v>
      </c>
      <c r="V27" s="106">
        <f t="shared" si="20"/>
        <v>9.2999999999999995E-4</v>
      </c>
      <c r="W27" s="68"/>
      <c r="X27" s="109">
        <f t="shared" si="4"/>
        <v>0.75703919999999991</v>
      </c>
      <c r="Y27" s="106">
        <v>8760</v>
      </c>
      <c r="Z27" s="121">
        <f t="shared" si="5"/>
        <v>0.17283999999999999</v>
      </c>
      <c r="AA27" s="109">
        <f t="shared" si="13"/>
        <v>0.04</v>
      </c>
      <c r="AB27" s="154" t="s">
        <v>211</v>
      </c>
      <c r="AC27" s="157">
        <f>H27</f>
        <v>58</v>
      </c>
      <c r="AD27" s="121">
        <v>0.04</v>
      </c>
      <c r="AE27" s="121">
        <f t="shared" si="14"/>
        <v>0.06</v>
      </c>
      <c r="AF27" s="158">
        <v>2.3E-2</v>
      </c>
      <c r="AG27" s="115">
        <f t="shared" si="6"/>
        <v>1.9052999999999997E-2</v>
      </c>
      <c r="AH27" s="106">
        <v>8760</v>
      </c>
      <c r="AI27" s="99">
        <f t="shared" si="7"/>
        <v>4.3499999999999997E-3</v>
      </c>
      <c r="AJ27" s="114">
        <f t="shared" si="8"/>
        <v>4.0000000000000001E-3</v>
      </c>
      <c r="AK27" s="154" t="s">
        <v>208</v>
      </c>
      <c r="AL27" s="52">
        <f>I27</f>
        <v>145</v>
      </c>
      <c r="AM27" s="87">
        <v>0</v>
      </c>
      <c r="AN27" s="173">
        <f t="shared" si="0"/>
        <v>0</v>
      </c>
      <c r="AO27" s="52">
        <v>7.4999999999999997E-3</v>
      </c>
      <c r="AP27" s="68"/>
      <c r="AQ27" s="115">
        <f t="shared" si="9"/>
        <v>2.3816250000000004E-2</v>
      </c>
      <c r="AR27" s="106">
        <v>8760</v>
      </c>
      <c r="AS27" s="176">
        <f t="shared" si="10"/>
        <v>5.4375000000000005E-3</v>
      </c>
      <c r="AT27" s="118">
        <f t="shared" si="11"/>
        <v>2.5000000000000001E-2</v>
      </c>
      <c r="AU27" s="154" t="s">
        <v>208</v>
      </c>
      <c r="AV27" s="52">
        <f>J27</f>
        <v>29</v>
      </c>
      <c r="AW27" s="87">
        <v>0</v>
      </c>
      <c r="AX27" s="173">
        <f t="shared" si="16"/>
        <v>0</v>
      </c>
      <c r="AY27" s="52">
        <v>7.4999999999999997E-3</v>
      </c>
      <c r="AZ27" s="68"/>
    </row>
    <row r="28" spans="2:52" s="119" customFormat="1" x14ac:dyDescent="0.2">
      <c r="B28" s="180" t="s">
        <v>200</v>
      </c>
      <c r="C28" s="181" t="s">
        <v>93</v>
      </c>
      <c r="D28" s="69">
        <v>30</v>
      </c>
      <c r="E28" s="68" t="s">
        <v>74</v>
      </c>
      <c r="F28" s="98">
        <v>5</v>
      </c>
      <c r="G28" s="98">
        <v>1</v>
      </c>
      <c r="H28" s="98">
        <f t="shared" si="28"/>
        <v>60</v>
      </c>
      <c r="I28" s="98">
        <f t="shared" ref="I28:I30" si="29">F28*D28</f>
        <v>150</v>
      </c>
      <c r="J28" s="98">
        <f t="shared" ref="J28:J30" si="30">G28*D28</f>
        <v>30</v>
      </c>
      <c r="K28" s="69"/>
      <c r="L28" s="183">
        <v>9449</v>
      </c>
      <c r="M28" s="163"/>
      <c r="N28" s="69"/>
      <c r="O28" s="69"/>
      <c r="P28" s="108">
        <f t="shared" si="1"/>
        <v>5.2725420000000002E-2</v>
      </c>
      <c r="Q28" s="113">
        <f t="shared" si="2"/>
        <v>105.45084</v>
      </c>
      <c r="R28" s="113">
        <v>12</v>
      </c>
      <c r="S28" s="153" t="s">
        <v>208</v>
      </c>
      <c r="T28" s="179">
        <v>4.3099999999999996</v>
      </c>
      <c r="U28" s="165">
        <f t="shared" ref="U28:U30" si="31">L28</f>
        <v>9449</v>
      </c>
      <c r="V28" s="106">
        <f t="shared" si="20"/>
        <v>9.2999999999999995E-4</v>
      </c>
      <c r="W28" s="68"/>
      <c r="X28" s="109">
        <f t="shared" si="4"/>
        <v>0.78314399999999984</v>
      </c>
      <c r="Y28" s="106">
        <v>8760</v>
      </c>
      <c r="Z28" s="121">
        <f t="shared" si="5"/>
        <v>0.17879999999999999</v>
      </c>
      <c r="AA28" s="109">
        <f t="shared" si="13"/>
        <v>0.04</v>
      </c>
      <c r="AB28" s="154" t="s">
        <v>211</v>
      </c>
      <c r="AC28" s="157">
        <f>H28</f>
        <v>60</v>
      </c>
      <c r="AD28" s="121">
        <v>0.04</v>
      </c>
      <c r="AE28" s="121">
        <f t="shared" si="14"/>
        <v>0.06</v>
      </c>
      <c r="AF28" s="158">
        <v>2.3E-2</v>
      </c>
      <c r="AG28" s="115">
        <f t="shared" si="6"/>
        <v>1.9709999999999998E-2</v>
      </c>
      <c r="AH28" s="106">
        <v>8760</v>
      </c>
      <c r="AI28" s="99">
        <f t="shared" si="7"/>
        <v>4.4999999999999997E-3</v>
      </c>
      <c r="AJ28" s="114">
        <f t="shared" si="8"/>
        <v>4.0000000000000001E-3</v>
      </c>
      <c r="AK28" s="154" t="s">
        <v>208</v>
      </c>
      <c r="AL28" s="52">
        <f>I28</f>
        <v>150</v>
      </c>
      <c r="AM28" s="175">
        <v>1.1000000000000001E-3</v>
      </c>
      <c r="AN28" s="173">
        <f t="shared" si="0"/>
        <v>1.1000000000000001E-3</v>
      </c>
      <c r="AO28" s="52">
        <v>7.4999999999999997E-3</v>
      </c>
      <c r="AP28" s="68"/>
      <c r="AQ28" s="115">
        <f t="shared" si="9"/>
        <v>2.46375E-2</v>
      </c>
      <c r="AR28" s="106">
        <v>8760</v>
      </c>
      <c r="AS28" s="176">
        <f t="shared" si="10"/>
        <v>5.6249999999999998E-3</v>
      </c>
      <c r="AT28" s="118">
        <f t="shared" si="11"/>
        <v>2.5000000000000001E-2</v>
      </c>
      <c r="AU28" s="154" t="s">
        <v>208</v>
      </c>
      <c r="AV28" s="52">
        <f>J28</f>
        <v>30</v>
      </c>
      <c r="AW28" s="175">
        <v>7.9000000000000008E-3</v>
      </c>
      <c r="AX28" s="173">
        <f t="shared" si="16"/>
        <v>7.9000000000000008E-3</v>
      </c>
      <c r="AY28" s="52">
        <v>7.4999999999999997E-3</v>
      </c>
      <c r="AZ28" s="68"/>
    </row>
    <row r="29" spans="2:52" s="119" customFormat="1" x14ac:dyDescent="0.2">
      <c r="B29" s="180" t="s">
        <v>200</v>
      </c>
      <c r="C29" s="181" t="s">
        <v>94</v>
      </c>
      <c r="D29" s="69">
        <v>30</v>
      </c>
      <c r="E29" s="68" t="s">
        <v>74</v>
      </c>
      <c r="F29" s="98">
        <v>5</v>
      </c>
      <c r="G29" s="98">
        <v>1</v>
      </c>
      <c r="H29" s="98">
        <f t="shared" si="28"/>
        <v>60</v>
      </c>
      <c r="I29" s="98">
        <f t="shared" si="29"/>
        <v>150</v>
      </c>
      <c r="J29" s="98">
        <f t="shared" si="30"/>
        <v>30</v>
      </c>
      <c r="K29" s="69"/>
      <c r="L29" s="183">
        <v>8827</v>
      </c>
      <c r="M29" s="68"/>
      <c r="N29" s="69"/>
      <c r="O29" s="69"/>
      <c r="P29" s="108">
        <f t="shared" si="1"/>
        <v>4.9254659999999992E-2</v>
      </c>
      <c r="Q29" s="113">
        <f t="shared" si="2"/>
        <v>98.509319999999988</v>
      </c>
      <c r="R29" s="113">
        <v>12</v>
      </c>
      <c r="S29" s="153" t="s">
        <v>208</v>
      </c>
      <c r="T29" s="179">
        <v>4.3099999999999996</v>
      </c>
      <c r="U29" s="165">
        <f t="shared" si="31"/>
        <v>8827</v>
      </c>
      <c r="V29" s="106">
        <f t="shared" si="20"/>
        <v>9.2999999999999995E-4</v>
      </c>
      <c r="W29" s="68"/>
      <c r="X29" s="109">
        <f t="shared" si="4"/>
        <v>0.78314399999999984</v>
      </c>
      <c r="Y29" s="106">
        <v>8760</v>
      </c>
      <c r="Z29" s="121">
        <f t="shared" si="5"/>
        <v>0.17879999999999999</v>
      </c>
      <c r="AA29" s="109">
        <f t="shared" si="13"/>
        <v>0.04</v>
      </c>
      <c r="AB29" s="154" t="s">
        <v>211</v>
      </c>
      <c r="AC29" s="157">
        <f>H29</f>
        <v>60</v>
      </c>
      <c r="AD29" s="121">
        <v>0.04</v>
      </c>
      <c r="AE29" s="121">
        <f t="shared" si="14"/>
        <v>0.06</v>
      </c>
      <c r="AF29" s="158">
        <v>2.3E-2</v>
      </c>
      <c r="AG29" s="115">
        <f t="shared" si="6"/>
        <v>1.9709999999999998E-2</v>
      </c>
      <c r="AH29" s="106">
        <v>8760</v>
      </c>
      <c r="AI29" s="99">
        <f t="shared" si="7"/>
        <v>4.4999999999999997E-3</v>
      </c>
      <c r="AJ29" s="114">
        <f t="shared" si="8"/>
        <v>4.0000000000000001E-3</v>
      </c>
      <c r="AK29" s="154" t="s">
        <v>208</v>
      </c>
      <c r="AL29" s="52">
        <f>I29</f>
        <v>150</v>
      </c>
      <c r="AM29" s="175">
        <v>8.0000000000000004E-4</v>
      </c>
      <c r="AN29" s="173">
        <f t="shared" si="0"/>
        <v>8.0000000000000004E-4</v>
      </c>
      <c r="AO29" s="52">
        <v>7.4999999999999997E-3</v>
      </c>
      <c r="AP29" s="68"/>
      <c r="AQ29" s="115">
        <f t="shared" si="9"/>
        <v>2.46375E-2</v>
      </c>
      <c r="AR29" s="106">
        <v>8760</v>
      </c>
      <c r="AS29" s="176">
        <f t="shared" si="10"/>
        <v>5.6249999999999998E-3</v>
      </c>
      <c r="AT29" s="118">
        <f t="shared" si="11"/>
        <v>2.5000000000000001E-2</v>
      </c>
      <c r="AU29" s="154" t="s">
        <v>208</v>
      </c>
      <c r="AV29" s="52">
        <f>J29</f>
        <v>30</v>
      </c>
      <c r="AW29" s="175">
        <v>5.1000000000000004E-3</v>
      </c>
      <c r="AX29" s="173">
        <f t="shared" si="16"/>
        <v>5.1000000000000004E-3</v>
      </c>
      <c r="AY29" s="52">
        <v>7.4999999999999997E-3</v>
      </c>
      <c r="AZ29" s="68"/>
    </row>
    <row r="30" spans="2:52" s="119" customFormat="1" x14ac:dyDescent="0.2">
      <c r="B30" s="180" t="s">
        <v>200</v>
      </c>
      <c r="C30" s="181" t="s">
        <v>95</v>
      </c>
      <c r="D30" s="69">
        <v>60</v>
      </c>
      <c r="E30" s="68" t="s">
        <v>74</v>
      </c>
      <c r="F30" s="98">
        <v>5</v>
      </c>
      <c r="G30" s="98">
        <v>1</v>
      </c>
      <c r="H30" s="98">
        <f t="shared" si="28"/>
        <v>120</v>
      </c>
      <c r="I30" s="98">
        <f t="shared" si="29"/>
        <v>300</v>
      </c>
      <c r="J30" s="98">
        <f t="shared" si="30"/>
        <v>60</v>
      </c>
      <c r="K30" s="69"/>
      <c r="L30" s="183">
        <v>12184</v>
      </c>
      <c r="M30" s="68"/>
      <c r="N30" s="69"/>
      <c r="O30" s="69"/>
      <c r="P30" s="108">
        <f t="shared" si="1"/>
        <v>6.7986719999999987E-2</v>
      </c>
      <c r="Q30" s="113">
        <f t="shared" si="2"/>
        <v>135.97343999999998</v>
      </c>
      <c r="R30" s="113">
        <v>12</v>
      </c>
      <c r="S30" s="153" t="s">
        <v>208</v>
      </c>
      <c r="T30" s="179">
        <v>3.48</v>
      </c>
      <c r="U30" s="165">
        <f t="shared" si="31"/>
        <v>12184</v>
      </c>
      <c r="V30" s="106">
        <f t="shared" si="20"/>
        <v>9.2999999999999995E-4</v>
      </c>
      <c r="W30" s="68"/>
      <c r="X30" s="109">
        <f t="shared" si="4"/>
        <v>1.5662879999999997</v>
      </c>
      <c r="Y30" s="106">
        <v>8760</v>
      </c>
      <c r="Z30" s="121">
        <f t="shared" si="5"/>
        <v>0.35759999999999997</v>
      </c>
      <c r="AA30" s="109">
        <f t="shared" si="13"/>
        <v>0.04</v>
      </c>
      <c r="AB30" s="154" t="s">
        <v>211</v>
      </c>
      <c r="AC30" s="157">
        <f>H30</f>
        <v>120</v>
      </c>
      <c r="AD30" s="121">
        <v>0.04</v>
      </c>
      <c r="AE30" s="121">
        <f t="shared" si="14"/>
        <v>0.06</v>
      </c>
      <c r="AF30" s="158">
        <v>2.3E-2</v>
      </c>
      <c r="AG30" s="115">
        <f t="shared" si="6"/>
        <v>3.9419999999999997E-2</v>
      </c>
      <c r="AH30" s="106">
        <v>8760</v>
      </c>
      <c r="AI30" s="99">
        <f t="shared" si="7"/>
        <v>8.9999999999999993E-3</v>
      </c>
      <c r="AJ30" s="114">
        <f t="shared" si="8"/>
        <v>4.0000000000000001E-3</v>
      </c>
      <c r="AK30" s="154" t="s">
        <v>208</v>
      </c>
      <c r="AL30" s="52">
        <f>I30</f>
        <v>300</v>
      </c>
      <c r="AM30" s="175">
        <v>6.9999999999999999E-4</v>
      </c>
      <c r="AN30" s="173">
        <f t="shared" si="0"/>
        <v>6.9999999999999999E-4</v>
      </c>
      <c r="AO30" s="52">
        <v>7.4999999999999997E-3</v>
      </c>
      <c r="AP30" s="68"/>
      <c r="AQ30" s="115">
        <f t="shared" si="9"/>
        <v>4.9274999999999999E-2</v>
      </c>
      <c r="AR30" s="106">
        <v>8760</v>
      </c>
      <c r="AS30" s="176">
        <f t="shared" si="10"/>
        <v>1.125E-2</v>
      </c>
      <c r="AT30" s="118">
        <f t="shared" si="11"/>
        <v>2.5000000000000001E-2</v>
      </c>
      <c r="AU30" s="154" t="s">
        <v>208</v>
      </c>
      <c r="AV30" s="52">
        <f>J30</f>
        <v>60</v>
      </c>
      <c r="AW30" s="175">
        <v>7.6E-3</v>
      </c>
      <c r="AX30" s="173">
        <f t="shared" si="16"/>
        <v>7.6E-3</v>
      </c>
      <c r="AY30" s="52">
        <v>7.4999999999999997E-3</v>
      </c>
      <c r="AZ30" s="68"/>
    </row>
  </sheetData>
  <autoFilter ref="B3:AZ31" xr:uid="{B9D15D55-5E13-4BCF-AA66-6C66902EF48B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EBB20-4F9A-4E18-A777-359043EC2F36}">
  <dimension ref="A1:P213"/>
  <sheetViews>
    <sheetView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22.5703125" customWidth="1"/>
    <col min="2" max="2" width="21.5703125" style="45" customWidth="1"/>
    <col min="3" max="3" width="21.5703125" customWidth="1"/>
    <col min="4" max="11" width="15.5703125" customWidth="1"/>
    <col min="12" max="12" width="35.7109375" style="2" customWidth="1"/>
    <col min="13" max="13" width="37.28515625" style="2" customWidth="1"/>
    <col min="14" max="14" width="18.5703125" customWidth="1"/>
    <col min="15" max="15" width="20" customWidth="1"/>
    <col min="16" max="16" width="44.7109375" customWidth="1"/>
  </cols>
  <sheetData>
    <row r="1" spans="1:16" ht="15.75" thickBot="1" x14ac:dyDescent="0.3">
      <c r="B1" s="3" t="s">
        <v>10</v>
      </c>
      <c r="C1" s="4"/>
      <c r="D1" s="4"/>
      <c r="E1" s="4"/>
    </row>
    <row r="2" spans="1:16" ht="55.15" customHeight="1" x14ac:dyDescent="0.25">
      <c r="A2" s="133" t="s">
        <v>11</v>
      </c>
      <c r="B2" s="135" t="s">
        <v>12</v>
      </c>
      <c r="C2" s="136"/>
      <c r="D2" s="136"/>
      <c r="E2" s="136"/>
      <c r="F2" s="136"/>
      <c r="G2" s="136"/>
      <c r="H2" s="5"/>
      <c r="I2" s="5"/>
      <c r="J2" s="5"/>
      <c r="K2" s="5"/>
      <c r="L2" s="5"/>
      <c r="M2" s="5"/>
      <c r="N2" s="5"/>
      <c r="O2" s="5"/>
      <c r="P2" s="122" t="s">
        <v>1</v>
      </c>
    </row>
    <row r="3" spans="1:16" ht="44.1" customHeight="1" x14ac:dyDescent="0.25">
      <c r="A3" s="134"/>
      <c r="B3" s="137" t="s">
        <v>13</v>
      </c>
      <c r="C3" s="139" t="s">
        <v>9</v>
      </c>
      <c r="D3" s="130" t="s">
        <v>14</v>
      </c>
      <c r="E3" s="131"/>
      <c r="F3" s="131"/>
      <c r="G3" s="131"/>
      <c r="H3" s="131"/>
      <c r="I3" s="131"/>
      <c r="J3" s="131"/>
      <c r="K3" s="131"/>
      <c r="L3" s="131"/>
      <c r="M3" s="141"/>
      <c r="N3" s="123" t="s">
        <v>15</v>
      </c>
      <c r="O3" s="124"/>
      <c r="P3" s="122"/>
    </row>
    <row r="4" spans="1:16" ht="39.75" customHeight="1" x14ac:dyDescent="0.25">
      <c r="A4" s="134"/>
      <c r="B4" s="138"/>
      <c r="C4" s="140"/>
      <c r="D4" s="125" t="s">
        <v>16</v>
      </c>
      <c r="E4" s="126"/>
      <c r="F4" s="127" t="s">
        <v>17</v>
      </c>
      <c r="G4" s="128"/>
      <c r="H4" s="125" t="s">
        <v>18</v>
      </c>
      <c r="I4" s="129"/>
      <c r="J4" s="127" t="s">
        <v>19</v>
      </c>
      <c r="K4" s="128"/>
      <c r="L4" s="142" t="s">
        <v>20</v>
      </c>
      <c r="M4" s="143"/>
      <c r="N4" s="130" t="s">
        <v>17</v>
      </c>
      <c r="O4" s="131"/>
      <c r="P4" s="122"/>
    </row>
    <row r="5" spans="1:16" ht="30.2" customHeight="1" x14ac:dyDescent="0.25">
      <c r="A5" s="134"/>
      <c r="B5" s="138"/>
      <c r="C5" s="140"/>
      <c r="D5" s="6" t="s">
        <v>21</v>
      </c>
      <c r="E5" s="6" t="s">
        <v>22</v>
      </c>
      <c r="F5" s="6" t="s">
        <v>21</v>
      </c>
      <c r="G5" s="6" t="s">
        <v>22</v>
      </c>
      <c r="H5" s="6" t="s">
        <v>21</v>
      </c>
      <c r="I5" s="6" t="s">
        <v>22</v>
      </c>
      <c r="J5" s="6" t="s">
        <v>21</v>
      </c>
      <c r="K5" s="6" t="s">
        <v>22</v>
      </c>
      <c r="L5" s="6" t="s">
        <v>21</v>
      </c>
      <c r="M5" s="6" t="s">
        <v>22</v>
      </c>
      <c r="N5" s="6" t="s">
        <v>21</v>
      </c>
      <c r="O5" s="90" t="s">
        <v>22</v>
      </c>
      <c r="P5" s="122"/>
    </row>
    <row r="6" spans="1:16" s="13" customFormat="1" ht="12.75" x14ac:dyDescent="0.2">
      <c r="A6" s="31" t="s">
        <v>53</v>
      </c>
      <c r="B6" s="132" t="s">
        <v>54</v>
      </c>
      <c r="C6" s="84" t="s">
        <v>24</v>
      </c>
      <c r="D6" s="33">
        <v>7.44</v>
      </c>
      <c r="E6" s="19" t="s">
        <v>55</v>
      </c>
      <c r="F6" s="34">
        <v>0</v>
      </c>
      <c r="G6" s="19" t="s">
        <v>26</v>
      </c>
      <c r="H6" s="34">
        <v>0</v>
      </c>
      <c r="I6" s="19" t="s">
        <v>26</v>
      </c>
      <c r="J6" s="34">
        <v>1.6999999999999999E-3</v>
      </c>
      <c r="K6" s="19" t="s">
        <v>26</v>
      </c>
      <c r="L6" s="34">
        <v>0</v>
      </c>
      <c r="M6" s="19" t="s">
        <v>26</v>
      </c>
      <c r="N6" s="23" t="s">
        <v>4</v>
      </c>
      <c r="O6" s="91" t="s">
        <v>4</v>
      </c>
      <c r="P6" s="14"/>
    </row>
    <row r="7" spans="1:16" s="13" customFormat="1" ht="12.75" x14ac:dyDescent="0.2">
      <c r="A7" s="35" t="s">
        <v>53</v>
      </c>
      <c r="B7" s="132"/>
      <c r="C7" s="32" t="s">
        <v>27</v>
      </c>
      <c r="D7" s="36">
        <v>7.52</v>
      </c>
      <c r="E7" s="37">
        <f>AVERAGE(D$32:D148)</f>
        <v>5.4859101877928795</v>
      </c>
      <c r="F7" s="34">
        <v>0</v>
      </c>
      <c r="G7" s="34">
        <f>AVERAGE(F$32:F148)</f>
        <v>0.27435308091128335</v>
      </c>
      <c r="H7" s="34">
        <v>0</v>
      </c>
      <c r="I7" s="34">
        <f>AVERAGE(H$32:H148)</f>
        <v>4.622068422649981E-3</v>
      </c>
      <c r="J7" s="34">
        <v>0</v>
      </c>
      <c r="K7" s="34">
        <f>AVERAGE(J$32:J148)</f>
        <v>0.1122751510512531</v>
      </c>
      <c r="L7" s="34">
        <v>0</v>
      </c>
      <c r="M7" s="34">
        <v>0</v>
      </c>
      <c r="N7" s="23" t="s">
        <v>4</v>
      </c>
      <c r="O7" s="92" t="s">
        <v>4</v>
      </c>
      <c r="P7" s="14"/>
    </row>
    <row r="8" spans="1:16" s="13" customFormat="1" ht="12.75" x14ac:dyDescent="0.2">
      <c r="A8" s="35" t="s">
        <v>53</v>
      </c>
      <c r="B8" s="132"/>
      <c r="C8" s="32" t="s">
        <v>28</v>
      </c>
      <c r="D8" s="36">
        <v>9.0399999999999991</v>
      </c>
      <c r="E8" s="37">
        <f>AVERAGE(D$32:D148)</f>
        <v>5.4859101877928795</v>
      </c>
      <c r="F8" s="34">
        <v>0</v>
      </c>
      <c r="G8" s="34">
        <f>AVERAGE(F$32:F148)</f>
        <v>0.27435308091128335</v>
      </c>
      <c r="H8" s="34">
        <v>0</v>
      </c>
      <c r="I8" s="34">
        <f>AVERAGE(H$32:H148)</f>
        <v>4.622068422649981E-3</v>
      </c>
      <c r="J8" s="34">
        <v>0</v>
      </c>
      <c r="K8" s="34">
        <f>AVERAGE(J$32:J148)</f>
        <v>0.1122751510512531</v>
      </c>
      <c r="L8" s="34">
        <v>0</v>
      </c>
      <c r="M8" s="34">
        <v>0</v>
      </c>
      <c r="N8" s="23" t="s">
        <v>4</v>
      </c>
      <c r="O8" s="92" t="s">
        <v>4</v>
      </c>
      <c r="P8" s="14"/>
    </row>
    <row r="9" spans="1:16" s="13" customFormat="1" ht="12.75" x14ac:dyDescent="0.2">
      <c r="A9" s="35" t="s">
        <v>53</v>
      </c>
      <c r="B9" s="132"/>
      <c r="C9" s="32" t="s">
        <v>29</v>
      </c>
      <c r="D9" s="38" t="s">
        <v>56</v>
      </c>
      <c r="E9" s="39"/>
      <c r="F9" s="39"/>
      <c r="G9" s="39"/>
      <c r="H9" s="39"/>
      <c r="I9" s="39"/>
      <c r="J9" s="39"/>
      <c r="K9" s="39"/>
      <c r="L9" s="39"/>
      <c r="M9" s="39"/>
      <c r="N9" s="23" t="s">
        <v>4</v>
      </c>
      <c r="O9" s="92" t="s">
        <v>4</v>
      </c>
      <c r="P9" s="14"/>
    </row>
    <row r="10" spans="1:16" s="13" customFormat="1" ht="12.75" x14ac:dyDescent="0.2">
      <c r="A10" s="35" t="s">
        <v>53</v>
      </c>
      <c r="B10" s="132"/>
      <c r="C10" s="32" t="s">
        <v>30</v>
      </c>
      <c r="D10" s="38" t="s">
        <v>56</v>
      </c>
      <c r="E10" s="39"/>
      <c r="F10" s="39"/>
      <c r="G10" s="39"/>
      <c r="H10" s="39"/>
      <c r="I10" s="39"/>
      <c r="J10" s="39"/>
      <c r="K10" s="39"/>
      <c r="L10" s="39"/>
      <c r="M10" s="39"/>
      <c r="N10" s="23" t="s">
        <v>4</v>
      </c>
      <c r="O10" s="92" t="s">
        <v>4</v>
      </c>
      <c r="P10" s="14"/>
    </row>
    <row r="11" spans="1:16" s="13" customFormat="1" ht="12.75" x14ac:dyDescent="0.2">
      <c r="A11" s="35" t="s">
        <v>53</v>
      </c>
      <c r="B11" s="132"/>
      <c r="C11" s="32" t="s">
        <v>31</v>
      </c>
      <c r="D11" s="38" t="s">
        <v>56</v>
      </c>
      <c r="E11" s="39"/>
      <c r="F11" s="39"/>
      <c r="G11" s="39"/>
      <c r="H11" s="39"/>
      <c r="I11" s="39"/>
      <c r="J11" s="39"/>
      <c r="K11" s="39"/>
      <c r="L11" s="39"/>
      <c r="M11" s="39"/>
      <c r="N11" s="23" t="s">
        <v>4</v>
      </c>
      <c r="O11" s="92" t="s">
        <v>4</v>
      </c>
      <c r="P11" s="14"/>
    </row>
    <row r="12" spans="1:16" s="13" customFormat="1" ht="12.75" x14ac:dyDescent="0.2">
      <c r="A12" s="35" t="s">
        <v>53</v>
      </c>
      <c r="B12" s="132"/>
      <c r="C12" s="32" t="s">
        <v>32</v>
      </c>
      <c r="D12" s="36">
        <v>8.64</v>
      </c>
      <c r="E12" s="40">
        <f>AVERAGE(D$32:D148)</f>
        <v>5.4859101877928795</v>
      </c>
      <c r="F12" s="34">
        <v>0</v>
      </c>
      <c r="G12" s="34">
        <f>AVERAGE(F$32:F148)</f>
        <v>0.27435308091128335</v>
      </c>
      <c r="H12" s="34">
        <v>0</v>
      </c>
      <c r="I12" s="34">
        <f>AVERAGE(H$32:H148)</f>
        <v>4.622068422649981E-3</v>
      </c>
      <c r="J12" s="34">
        <v>0</v>
      </c>
      <c r="K12" s="34">
        <f>AVERAGE(J$32:J148)</f>
        <v>0.1122751510512531</v>
      </c>
      <c r="L12" s="34">
        <v>0</v>
      </c>
      <c r="M12" s="34">
        <v>0</v>
      </c>
      <c r="N12" s="23" t="s">
        <v>4</v>
      </c>
      <c r="O12" s="92" t="s">
        <v>4</v>
      </c>
      <c r="P12" s="14"/>
    </row>
    <row r="13" spans="1:16" s="13" customFormat="1" ht="12.75" x14ac:dyDescent="0.2">
      <c r="A13" s="35" t="s">
        <v>53</v>
      </c>
      <c r="B13" s="132"/>
      <c r="C13" s="32" t="s">
        <v>33</v>
      </c>
      <c r="D13" s="36">
        <v>6.71</v>
      </c>
      <c r="E13" s="40">
        <f>AVERAGE(D$32:D148)</f>
        <v>5.4859101877928795</v>
      </c>
      <c r="F13" s="34">
        <v>0</v>
      </c>
      <c r="G13" s="34">
        <f>AVERAGE(F$32:F148)</f>
        <v>0.27435308091128335</v>
      </c>
      <c r="H13" s="34">
        <v>0</v>
      </c>
      <c r="I13" s="34">
        <f>AVERAGE(H$32:H148)</f>
        <v>4.622068422649981E-3</v>
      </c>
      <c r="J13" s="34">
        <v>0</v>
      </c>
      <c r="K13" s="34">
        <f>AVERAGE(J$32:J148)</f>
        <v>0.1122751510512531</v>
      </c>
      <c r="L13" s="34">
        <v>0</v>
      </c>
      <c r="M13" s="34">
        <v>0</v>
      </c>
      <c r="N13" s="23" t="s">
        <v>4</v>
      </c>
      <c r="O13" s="92" t="s">
        <v>4</v>
      </c>
      <c r="P13" s="14"/>
    </row>
    <row r="14" spans="1:16" s="13" customFormat="1" ht="12.75" x14ac:dyDescent="0.2">
      <c r="A14" s="35" t="s">
        <v>53</v>
      </c>
      <c r="B14" s="132"/>
      <c r="C14" s="32" t="s">
        <v>34</v>
      </c>
      <c r="D14" s="36">
        <v>6.68</v>
      </c>
      <c r="E14" s="40">
        <f>AVERAGE(D$32:D148)</f>
        <v>5.4859101877928795</v>
      </c>
      <c r="F14" s="34">
        <v>6.9999999999999999E-4</v>
      </c>
      <c r="G14" s="34">
        <f>AVERAGE(F$32:F148)</f>
        <v>0.27435308091128335</v>
      </c>
      <c r="H14" s="34">
        <v>0</v>
      </c>
      <c r="I14" s="34">
        <f>AVERAGE(H$32:H148)</f>
        <v>4.622068422649981E-3</v>
      </c>
      <c r="J14" s="34">
        <v>0</v>
      </c>
      <c r="K14" s="34">
        <f>AVERAGE(J$32:J148)</f>
        <v>0.1122751510512531</v>
      </c>
      <c r="L14" s="34">
        <v>0</v>
      </c>
      <c r="M14" s="34">
        <v>0</v>
      </c>
      <c r="N14" s="23" t="s">
        <v>4</v>
      </c>
      <c r="O14" s="92" t="s">
        <v>4</v>
      </c>
      <c r="P14" s="14"/>
    </row>
    <row r="15" spans="1:16" s="13" customFormat="1" ht="12.75" x14ac:dyDescent="0.2">
      <c r="A15" s="35" t="s">
        <v>53</v>
      </c>
      <c r="B15" s="132"/>
      <c r="C15" s="32" t="s">
        <v>35</v>
      </c>
      <c r="D15" s="36">
        <v>6.56</v>
      </c>
      <c r="E15" s="40">
        <f>AVERAGE(D$32:D148)</f>
        <v>5.4859101877928795</v>
      </c>
      <c r="F15" s="34">
        <v>2.5000000000000001E-3</v>
      </c>
      <c r="G15" s="34">
        <f>AVERAGE(F$32:F148)</f>
        <v>0.27435308091128335</v>
      </c>
      <c r="H15" s="34">
        <v>0</v>
      </c>
      <c r="I15" s="34">
        <f>AVERAGE(H$32:H148)</f>
        <v>4.622068422649981E-3</v>
      </c>
      <c r="J15" s="34">
        <v>0</v>
      </c>
      <c r="K15" s="34">
        <f>AVERAGE(J$32:J148)</f>
        <v>0.1122751510512531</v>
      </c>
      <c r="L15" s="34">
        <v>0</v>
      </c>
      <c r="M15" s="34">
        <v>0</v>
      </c>
      <c r="N15" s="23" t="s">
        <v>4</v>
      </c>
      <c r="O15" s="92" t="s">
        <v>4</v>
      </c>
      <c r="P15" s="14"/>
    </row>
    <row r="16" spans="1:16" s="13" customFormat="1" ht="12.75" x14ac:dyDescent="0.2">
      <c r="A16" s="35" t="s">
        <v>53</v>
      </c>
      <c r="B16" s="132"/>
      <c r="C16" s="32" t="s">
        <v>36</v>
      </c>
      <c r="D16" s="36">
        <v>6.01</v>
      </c>
      <c r="E16" s="40">
        <f>AVERAGE(D$32:D148)</f>
        <v>5.4859101877928795</v>
      </c>
      <c r="F16" s="34">
        <v>1.5E-3</v>
      </c>
      <c r="G16" s="34">
        <f>AVERAGE(F$32:F148)</f>
        <v>0.27435308091128335</v>
      </c>
      <c r="H16" s="34">
        <v>0</v>
      </c>
      <c r="I16" s="34">
        <f>AVERAGE(H$32:H148)</f>
        <v>4.622068422649981E-3</v>
      </c>
      <c r="J16" s="34">
        <v>0</v>
      </c>
      <c r="K16" s="34">
        <f>AVERAGE(J$32:J148)</f>
        <v>0.1122751510512531</v>
      </c>
      <c r="L16" s="34">
        <v>0</v>
      </c>
      <c r="M16" s="34">
        <v>0</v>
      </c>
      <c r="N16" s="23" t="s">
        <v>4</v>
      </c>
      <c r="O16" s="92" t="s">
        <v>4</v>
      </c>
      <c r="P16" s="14"/>
    </row>
    <row r="17" spans="1:16" s="13" customFormat="1" ht="12.75" x14ac:dyDescent="0.2">
      <c r="A17" s="35" t="s">
        <v>53</v>
      </c>
      <c r="B17" s="132"/>
      <c r="C17" s="84" t="s">
        <v>37</v>
      </c>
      <c r="D17" s="36">
        <v>8.15</v>
      </c>
      <c r="E17" s="40">
        <f>AVERAGE(D$32:D148)</f>
        <v>5.4859101877928795</v>
      </c>
      <c r="F17" s="34">
        <v>2.5999999999999999E-3</v>
      </c>
      <c r="G17" s="34">
        <f>AVERAGE(F$32:F148)</f>
        <v>0.27435308091128335</v>
      </c>
      <c r="H17" s="34">
        <v>0</v>
      </c>
      <c r="I17" s="34">
        <f>AVERAGE(H$32:H148)</f>
        <v>4.622068422649981E-3</v>
      </c>
      <c r="J17" s="34">
        <v>0</v>
      </c>
      <c r="K17" s="34">
        <f>AVERAGE(J$32:J148)</f>
        <v>0.1122751510512531</v>
      </c>
      <c r="L17" s="34">
        <v>0</v>
      </c>
      <c r="M17" s="34">
        <v>0</v>
      </c>
      <c r="N17" s="23" t="s">
        <v>4</v>
      </c>
      <c r="O17" s="92" t="s">
        <v>4</v>
      </c>
      <c r="P17" s="14"/>
    </row>
    <row r="18" spans="1:16" s="13" customFormat="1" ht="12.75" x14ac:dyDescent="0.2">
      <c r="A18" s="16" t="s">
        <v>53</v>
      </c>
      <c r="B18" s="16"/>
      <c r="C18" s="16"/>
      <c r="D18" s="48">
        <f>AVERAGE(D6:D17)</f>
        <v>7.416666666666667</v>
      </c>
      <c r="E18" s="16"/>
      <c r="F18" s="49">
        <f>AVERAGE(F6:F17)</f>
        <v>8.1111111111111108E-4</v>
      </c>
      <c r="G18" s="16"/>
      <c r="H18" s="49">
        <f>AVERAGE(H6:H17)</f>
        <v>0</v>
      </c>
      <c r="I18" s="16"/>
      <c r="J18" s="49">
        <f>AVERAGE(J6:J17)</f>
        <v>1.8888888888888888E-4</v>
      </c>
      <c r="K18" s="16"/>
      <c r="L18" s="16"/>
      <c r="M18" s="16"/>
      <c r="N18" s="16"/>
      <c r="O18" s="16"/>
      <c r="P18" s="14"/>
    </row>
    <row r="19" spans="1:16" s="13" customFormat="1" ht="12.75" x14ac:dyDescent="0.2">
      <c r="A19" s="31" t="s">
        <v>53</v>
      </c>
      <c r="B19" s="132" t="s">
        <v>57</v>
      </c>
      <c r="C19" s="84" t="s">
        <v>24</v>
      </c>
      <c r="D19" s="33">
        <v>4.26</v>
      </c>
      <c r="E19" s="41" t="s">
        <v>55</v>
      </c>
      <c r="F19" s="34">
        <v>1.37E-2</v>
      </c>
      <c r="G19" s="19" t="s">
        <v>26</v>
      </c>
      <c r="H19" s="34">
        <v>1E-4</v>
      </c>
      <c r="I19" s="19" t="s">
        <v>26</v>
      </c>
      <c r="J19" s="34">
        <v>1.1599999999999999E-2</v>
      </c>
      <c r="K19" s="19" t="s">
        <v>26</v>
      </c>
      <c r="L19" s="34">
        <v>0</v>
      </c>
      <c r="M19" s="19" t="s">
        <v>26</v>
      </c>
      <c r="N19" s="23" t="s">
        <v>4</v>
      </c>
      <c r="O19" s="91" t="s">
        <v>4</v>
      </c>
      <c r="P19" s="14"/>
    </row>
    <row r="20" spans="1:16" s="13" customFormat="1" ht="12.75" x14ac:dyDescent="0.2">
      <c r="A20" s="35" t="s">
        <v>53</v>
      </c>
      <c r="B20" s="132"/>
      <c r="C20" s="32" t="s">
        <v>27</v>
      </c>
      <c r="D20" s="36">
        <v>4.2699999999999996</v>
      </c>
      <c r="E20" s="42">
        <f>AVERAGE(D$44:D148)</f>
        <v>5.4452780014670221</v>
      </c>
      <c r="F20" s="34">
        <v>9.7000000000000003E-3</v>
      </c>
      <c r="G20" s="34">
        <f>AVERAGE(F$44:F148)</f>
        <v>0.30375061188640795</v>
      </c>
      <c r="H20" s="34">
        <v>1E-4</v>
      </c>
      <c r="I20" s="34">
        <f>AVERAGE(H$32:H148)</f>
        <v>4.622068422649981E-3</v>
      </c>
      <c r="J20" s="34">
        <v>9.7999999999999997E-3</v>
      </c>
      <c r="K20" s="34">
        <f>AVERAGE(J$32:J148)</f>
        <v>0.1122751510512531</v>
      </c>
      <c r="L20" s="34">
        <v>0</v>
      </c>
      <c r="M20" s="34">
        <v>0</v>
      </c>
      <c r="N20" s="23" t="s">
        <v>4</v>
      </c>
      <c r="O20" s="92" t="s">
        <v>4</v>
      </c>
      <c r="P20" s="14"/>
    </row>
    <row r="21" spans="1:16" s="13" customFormat="1" ht="12.75" x14ac:dyDescent="0.2">
      <c r="A21" s="43" t="s">
        <v>53</v>
      </c>
      <c r="B21" s="132"/>
      <c r="C21" s="32" t="s">
        <v>28</v>
      </c>
      <c r="D21" s="36">
        <v>4.0199999999999996</v>
      </c>
      <c r="E21" s="42">
        <f>AVERAGE(D$44:D148)</f>
        <v>5.4452780014670221</v>
      </c>
      <c r="F21" s="34">
        <v>1.2200000000000001E-2</v>
      </c>
      <c r="G21" s="34">
        <f>AVERAGE(F$44:F148)</f>
        <v>0.30375061188640795</v>
      </c>
      <c r="H21" s="34">
        <v>1E-4</v>
      </c>
      <c r="I21" s="34">
        <f>AVERAGE(H$32:H148)</f>
        <v>4.622068422649981E-3</v>
      </c>
      <c r="J21" s="34">
        <v>9.5999999999999992E-3</v>
      </c>
      <c r="K21" s="34">
        <f>AVERAGE(J$32:J148)</f>
        <v>0.1122751510512531</v>
      </c>
      <c r="L21" s="34">
        <v>0</v>
      </c>
      <c r="M21" s="34">
        <v>0</v>
      </c>
      <c r="N21" s="23" t="s">
        <v>4</v>
      </c>
      <c r="O21" s="92" t="s">
        <v>4</v>
      </c>
      <c r="P21" s="14"/>
    </row>
    <row r="22" spans="1:16" s="13" customFormat="1" ht="12.75" x14ac:dyDescent="0.2">
      <c r="A22" s="35" t="s">
        <v>53</v>
      </c>
      <c r="B22" s="132"/>
      <c r="C22" s="32" t="s">
        <v>29</v>
      </c>
      <c r="D22" s="36">
        <v>3.88</v>
      </c>
      <c r="E22" s="42">
        <f>AVERAGE(D$44:D148)</f>
        <v>5.4452780014670221</v>
      </c>
      <c r="F22" s="34">
        <v>1.41E-2</v>
      </c>
      <c r="G22" s="34">
        <f>AVERAGE(F$44:F148)</f>
        <v>0.30375061188640795</v>
      </c>
      <c r="H22" s="34">
        <v>1E-4</v>
      </c>
      <c r="I22" s="34">
        <f>AVERAGE(H$32:H148)</f>
        <v>4.622068422649981E-3</v>
      </c>
      <c r="J22" s="34">
        <v>8.3000000000000001E-3</v>
      </c>
      <c r="K22" s="34">
        <f>AVERAGE(J$32:J148)</f>
        <v>0.1122751510512531</v>
      </c>
      <c r="L22" s="34">
        <v>0</v>
      </c>
      <c r="M22" s="34">
        <v>0</v>
      </c>
      <c r="N22" s="23" t="s">
        <v>4</v>
      </c>
      <c r="O22" s="92" t="s">
        <v>4</v>
      </c>
      <c r="P22" s="14"/>
    </row>
    <row r="23" spans="1:16" s="13" customFormat="1" ht="12.75" x14ac:dyDescent="0.2">
      <c r="A23" s="35" t="s">
        <v>53</v>
      </c>
      <c r="B23" s="132"/>
      <c r="C23" s="32" t="s">
        <v>30</v>
      </c>
      <c r="D23" s="36">
        <v>4.0199999999999996</v>
      </c>
      <c r="E23" s="42">
        <f>AVERAGE(D$44:D148)</f>
        <v>5.4452780014670221</v>
      </c>
      <c r="F23" s="34">
        <v>2.07E-2</v>
      </c>
      <c r="G23" s="34">
        <f>AVERAGE(F$44:F148)</f>
        <v>0.30375061188640795</v>
      </c>
      <c r="H23" s="34">
        <v>0</v>
      </c>
      <c r="I23" s="34">
        <f>AVERAGE(H$32:H148)</f>
        <v>4.622068422649981E-3</v>
      </c>
      <c r="J23" s="34">
        <v>9.7999999999999997E-3</v>
      </c>
      <c r="K23" s="34">
        <f>AVERAGE(J$32:J148)</f>
        <v>0.1122751510512531</v>
      </c>
      <c r="L23" s="34">
        <v>0</v>
      </c>
      <c r="M23" s="34">
        <v>0</v>
      </c>
      <c r="N23" s="23" t="s">
        <v>4</v>
      </c>
      <c r="O23" s="92" t="s">
        <v>4</v>
      </c>
      <c r="P23" s="14"/>
    </row>
    <row r="24" spans="1:16" s="13" customFormat="1" ht="12.75" x14ac:dyDescent="0.2">
      <c r="A24" s="35" t="s">
        <v>53</v>
      </c>
      <c r="B24" s="132"/>
      <c r="C24" s="32" t="s">
        <v>31</v>
      </c>
      <c r="D24" s="36">
        <v>3.86</v>
      </c>
      <c r="E24" s="42">
        <f>AVERAGE(D$44:D148)</f>
        <v>5.4452780014670221</v>
      </c>
      <c r="F24" s="34">
        <v>1.5800000000000002E-2</v>
      </c>
      <c r="G24" s="34">
        <f>AVERAGE(F$44:F148)</f>
        <v>0.30375061188640795</v>
      </c>
      <c r="H24" s="34">
        <v>1E-4</v>
      </c>
      <c r="I24" s="34">
        <f>AVERAGE(H$32:H148)</f>
        <v>4.622068422649981E-3</v>
      </c>
      <c r="J24" s="34">
        <v>8.0999999999999996E-3</v>
      </c>
      <c r="K24" s="34">
        <f>AVERAGE(J$32:J148)</f>
        <v>0.1122751510512531</v>
      </c>
      <c r="L24" s="34">
        <v>0</v>
      </c>
      <c r="M24" s="34">
        <v>0</v>
      </c>
      <c r="N24" s="23" t="s">
        <v>4</v>
      </c>
      <c r="O24" s="92" t="s">
        <v>4</v>
      </c>
      <c r="P24" s="14"/>
    </row>
    <row r="25" spans="1:16" s="13" customFormat="1" ht="12.75" x14ac:dyDescent="0.2">
      <c r="A25" s="35" t="s">
        <v>53</v>
      </c>
      <c r="B25" s="132"/>
      <c r="C25" s="32" t="s">
        <v>32</v>
      </c>
      <c r="D25" s="36">
        <v>4.0199999999999996</v>
      </c>
      <c r="E25" s="42">
        <f>AVERAGE(D$44:D148)</f>
        <v>5.4452780014670221</v>
      </c>
      <c r="F25" s="34">
        <v>1.46E-2</v>
      </c>
      <c r="G25" s="34">
        <f>AVERAGE(F$44:F148)</f>
        <v>0.30375061188640795</v>
      </c>
      <c r="H25" s="34">
        <v>1E-4</v>
      </c>
      <c r="I25" s="34">
        <f>AVERAGE(H$32:H148)</f>
        <v>4.622068422649981E-3</v>
      </c>
      <c r="J25" s="34">
        <v>9.2999999999999992E-3</v>
      </c>
      <c r="K25" s="34">
        <f>AVERAGE(J$32:J148)</f>
        <v>0.1122751510512531</v>
      </c>
      <c r="L25" s="34">
        <v>0</v>
      </c>
      <c r="M25" s="34">
        <v>0</v>
      </c>
      <c r="N25" s="23" t="s">
        <v>4</v>
      </c>
      <c r="O25" s="92" t="s">
        <v>4</v>
      </c>
      <c r="P25" s="14"/>
    </row>
    <row r="26" spans="1:16" s="13" customFormat="1" ht="12.75" x14ac:dyDescent="0.2">
      <c r="A26" s="35" t="s">
        <v>53</v>
      </c>
      <c r="B26" s="132"/>
      <c r="C26" s="32" t="s">
        <v>33</v>
      </c>
      <c r="D26" s="36">
        <v>3.78</v>
      </c>
      <c r="E26" s="42">
        <f>AVERAGE(D$44:D148)</f>
        <v>5.4452780014670221</v>
      </c>
      <c r="F26" s="34">
        <v>1.5599999999999999E-2</v>
      </c>
      <c r="G26" s="34">
        <f>AVERAGE(F$44:F148)</f>
        <v>0.30375061188640795</v>
      </c>
      <c r="H26" s="34">
        <v>1E-4</v>
      </c>
      <c r="I26" s="34">
        <f>AVERAGE(H$32:H148)</f>
        <v>4.622068422649981E-3</v>
      </c>
      <c r="J26" s="34">
        <v>8.8000000000000005E-3</v>
      </c>
      <c r="K26" s="34">
        <f>AVERAGE(J$32:J148)</f>
        <v>0.1122751510512531</v>
      </c>
      <c r="L26" s="34">
        <v>0</v>
      </c>
      <c r="M26" s="34">
        <v>0</v>
      </c>
      <c r="N26" s="23" t="s">
        <v>4</v>
      </c>
      <c r="O26" s="92" t="s">
        <v>4</v>
      </c>
      <c r="P26" s="14"/>
    </row>
    <row r="27" spans="1:16" s="13" customFormat="1" ht="12.75" x14ac:dyDescent="0.2">
      <c r="A27" s="35" t="s">
        <v>53</v>
      </c>
      <c r="B27" s="132"/>
      <c r="C27" s="32" t="s">
        <v>34</v>
      </c>
      <c r="D27" s="36">
        <v>4.17</v>
      </c>
      <c r="E27" s="42">
        <f>AVERAGE(D$44:D148)</f>
        <v>5.4452780014670221</v>
      </c>
      <c r="F27" s="34">
        <v>1.8599999999999998E-2</v>
      </c>
      <c r="G27" s="34">
        <f>AVERAGE(F$44:F148)</f>
        <v>0.30375061188640795</v>
      </c>
      <c r="H27" s="34">
        <v>1E-4</v>
      </c>
      <c r="I27" s="34">
        <f>AVERAGE(H$32:H148)</f>
        <v>4.622068422649981E-3</v>
      </c>
      <c r="J27" s="34">
        <v>7.3000000000000001E-3</v>
      </c>
      <c r="K27" s="34">
        <f>AVERAGE(J$32:J148)</f>
        <v>0.1122751510512531</v>
      </c>
      <c r="L27" s="34">
        <v>0</v>
      </c>
      <c r="M27" s="34">
        <v>0</v>
      </c>
      <c r="N27" s="23" t="s">
        <v>4</v>
      </c>
      <c r="O27" s="92" t="s">
        <v>4</v>
      </c>
      <c r="P27" s="14"/>
    </row>
    <row r="28" spans="1:16" s="13" customFormat="1" ht="12.75" x14ac:dyDescent="0.2">
      <c r="A28" s="35" t="s">
        <v>53</v>
      </c>
      <c r="B28" s="132"/>
      <c r="C28" s="32" t="s">
        <v>35</v>
      </c>
      <c r="D28" s="36">
        <v>4.3499999999999996</v>
      </c>
      <c r="E28" s="42">
        <f>AVERAGE(D$44:D148)</f>
        <v>5.4452780014670221</v>
      </c>
      <c r="F28" s="34">
        <v>1.4E-2</v>
      </c>
      <c r="G28" s="34">
        <f>AVERAGE(F$44:F148)</f>
        <v>0.30375061188640795</v>
      </c>
      <c r="H28" s="34">
        <v>1E-4</v>
      </c>
      <c r="I28" s="34">
        <f>AVERAGE(H$32:H148)</f>
        <v>4.622068422649981E-3</v>
      </c>
      <c r="J28" s="34">
        <v>8.6999999999999994E-3</v>
      </c>
      <c r="K28" s="34">
        <f>AVERAGE(J$32:J148)</f>
        <v>0.1122751510512531</v>
      </c>
      <c r="L28" s="34">
        <v>0</v>
      </c>
      <c r="M28" s="34">
        <v>0</v>
      </c>
      <c r="N28" s="23" t="s">
        <v>4</v>
      </c>
      <c r="O28" s="92" t="s">
        <v>4</v>
      </c>
      <c r="P28" s="14"/>
    </row>
    <row r="29" spans="1:16" s="13" customFormat="1" ht="12.75" x14ac:dyDescent="0.2">
      <c r="A29" s="35" t="s">
        <v>53</v>
      </c>
      <c r="B29" s="132"/>
      <c r="C29" s="32" t="s">
        <v>36</v>
      </c>
      <c r="D29" s="36">
        <v>4.41</v>
      </c>
      <c r="E29" s="42">
        <f>AVERAGE(D$44:D148)</f>
        <v>5.4452780014670221</v>
      </c>
      <c r="F29" s="34">
        <v>1.6400000000000001E-2</v>
      </c>
      <c r="G29" s="34">
        <f>AVERAGE(F$44:F148)</f>
        <v>0.30375061188640795</v>
      </c>
      <c r="H29" s="34">
        <v>1E-4</v>
      </c>
      <c r="I29" s="34">
        <f>AVERAGE(H$32:H148)</f>
        <v>4.622068422649981E-3</v>
      </c>
      <c r="J29" s="34">
        <v>9.5999999999999992E-3</v>
      </c>
      <c r="K29" s="34">
        <f>AVERAGE(J$32:J148)</f>
        <v>0.1122751510512531</v>
      </c>
      <c r="L29" s="34">
        <v>0</v>
      </c>
      <c r="M29" s="34">
        <v>0</v>
      </c>
      <c r="N29" s="23" t="s">
        <v>4</v>
      </c>
      <c r="O29" s="92" t="s">
        <v>4</v>
      </c>
      <c r="P29" s="14"/>
    </row>
    <row r="30" spans="1:16" s="13" customFormat="1" ht="12.75" x14ac:dyDescent="0.2">
      <c r="A30" s="35" t="s">
        <v>53</v>
      </c>
      <c r="B30" s="132"/>
      <c r="C30" s="84" t="s">
        <v>37</v>
      </c>
      <c r="D30" s="36">
        <v>4.17</v>
      </c>
      <c r="E30" s="42">
        <f>AVERAGE(D$44:D148)</f>
        <v>5.4452780014670221</v>
      </c>
      <c r="F30" s="34">
        <v>1.6899999999999998E-2</v>
      </c>
      <c r="G30" s="34">
        <f>AVERAGE(F$44:F148)</f>
        <v>0.30375061188640795</v>
      </c>
      <c r="H30" s="34">
        <v>1E-4</v>
      </c>
      <c r="I30" s="34">
        <f>AVERAGE(H$32:H148)</f>
        <v>4.622068422649981E-3</v>
      </c>
      <c r="J30" s="34">
        <v>1.0699999999999999E-2</v>
      </c>
      <c r="K30" s="34">
        <f>AVERAGE(J$32:J148)</f>
        <v>0.1122751510512531</v>
      </c>
      <c r="L30" s="34">
        <v>0</v>
      </c>
      <c r="M30" s="34">
        <v>0</v>
      </c>
      <c r="N30" s="23" t="s">
        <v>4</v>
      </c>
      <c r="O30" s="92" t="s">
        <v>4</v>
      </c>
      <c r="P30" s="14"/>
    </row>
    <row r="31" spans="1:16" s="13" customFormat="1" ht="12.75" x14ac:dyDescent="0.2">
      <c r="A31" s="16" t="s">
        <v>53</v>
      </c>
      <c r="B31" s="16"/>
      <c r="C31" s="16"/>
      <c r="D31" s="48">
        <f>AVERAGE(D19:D30)</f>
        <v>4.100833333333334</v>
      </c>
      <c r="E31" s="16"/>
      <c r="F31" s="49">
        <f>AVERAGE(F19:F30)</f>
        <v>1.5191666666666668E-2</v>
      </c>
      <c r="G31" s="16"/>
      <c r="H31" s="49">
        <f>AVERAGE(H19:H30)</f>
        <v>9.1666666666666695E-5</v>
      </c>
      <c r="I31" s="16"/>
      <c r="J31" s="49">
        <f>AVERAGE(J19:J30)</f>
        <v>9.300000000000001E-3</v>
      </c>
      <c r="K31" s="16"/>
      <c r="L31" s="16"/>
      <c r="M31" s="16"/>
      <c r="N31" s="16"/>
      <c r="O31" s="16"/>
      <c r="P31" s="14"/>
    </row>
    <row r="32" spans="1:16" s="13" customFormat="1" ht="12.75" x14ac:dyDescent="0.2">
      <c r="A32" s="7" t="s">
        <v>2</v>
      </c>
      <c r="B32" s="144" t="s">
        <v>23</v>
      </c>
      <c r="C32" s="84" t="s">
        <v>24</v>
      </c>
      <c r="D32" s="9">
        <v>5.7991391355282067</v>
      </c>
      <c r="E32" s="10" t="s">
        <v>25</v>
      </c>
      <c r="F32" s="11">
        <v>1.6733333333333333E-2</v>
      </c>
      <c r="G32" s="10" t="s">
        <v>26</v>
      </c>
      <c r="H32" s="11">
        <v>1.5666666666666663E-4</v>
      </c>
      <c r="I32" s="10" t="s">
        <v>26</v>
      </c>
      <c r="J32" s="11">
        <v>0</v>
      </c>
      <c r="K32" s="10" t="s">
        <v>26</v>
      </c>
      <c r="L32" s="11">
        <v>0</v>
      </c>
      <c r="M32" s="12" t="s">
        <v>26</v>
      </c>
      <c r="N32" s="10" t="s">
        <v>4</v>
      </c>
      <c r="O32" s="93" t="s">
        <v>26</v>
      </c>
      <c r="P32" s="14"/>
    </row>
    <row r="33" spans="1:16" s="13" customFormat="1" ht="12.75" x14ac:dyDescent="0.2">
      <c r="A33" s="14" t="s">
        <v>2</v>
      </c>
      <c r="B33" s="144"/>
      <c r="C33" s="84" t="s">
        <v>27</v>
      </c>
      <c r="D33" s="15">
        <v>6.4001086189208287</v>
      </c>
      <c r="E33" s="15">
        <f>AVERAGE(D$32:D33)</f>
        <v>6.0996238772245182</v>
      </c>
      <c r="F33" s="11">
        <v>1.4776666666666671E-2</v>
      </c>
      <c r="G33" s="11">
        <f>AVERAGE(F$32:F33)</f>
        <v>1.5755000000000002E-2</v>
      </c>
      <c r="H33" s="11">
        <v>0</v>
      </c>
      <c r="I33" s="11">
        <f>AVERAGE(H$32:H33)</f>
        <v>7.8333333333333317E-5</v>
      </c>
      <c r="J33" s="11">
        <v>0</v>
      </c>
      <c r="K33" s="11">
        <f>AVERAGE(J$32:J33)</f>
        <v>0</v>
      </c>
      <c r="L33" s="11">
        <v>0</v>
      </c>
      <c r="M33" s="11">
        <v>0</v>
      </c>
      <c r="N33" s="10" t="s">
        <v>4</v>
      </c>
      <c r="O33" s="94" t="s">
        <v>4</v>
      </c>
      <c r="P33" s="14"/>
    </row>
    <row r="34" spans="1:16" s="13" customFormat="1" ht="12.75" x14ac:dyDescent="0.2">
      <c r="A34" s="14" t="s">
        <v>2</v>
      </c>
      <c r="B34" s="144"/>
      <c r="C34" s="8" t="s">
        <v>28</v>
      </c>
      <c r="D34" s="15">
        <v>5.482239424450472</v>
      </c>
      <c r="E34" s="15">
        <f>AVERAGE(D$32:D34)</f>
        <v>5.8938290596331697</v>
      </c>
      <c r="F34" s="11">
        <v>1.6773333333333331E-2</v>
      </c>
      <c r="G34" s="11">
        <f>AVERAGE(F$32:F34)</f>
        <v>1.6094444444444442E-2</v>
      </c>
      <c r="H34" s="11">
        <v>1.6666666666666666E-4</v>
      </c>
      <c r="I34" s="11">
        <f>AVERAGE(H$32:H34)</f>
        <v>1.0777777777777777E-4</v>
      </c>
      <c r="J34" s="11">
        <v>0</v>
      </c>
      <c r="K34" s="11">
        <f>AVERAGE(J$32:J34)</f>
        <v>0</v>
      </c>
      <c r="L34" s="11">
        <v>0</v>
      </c>
      <c r="M34" s="11">
        <v>0</v>
      </c>
      <c r="N34" s="10" t="s">
        <v>4</v>
      </c>
      <c r="O34" s="94" t="s">
        <v>4</v>
      </c>
      <c r="P34" s="14"/>
    </row>
    <row r="35" spans="1:16" s="13" customFormat="1" ht="12.75" x14ac:dyDescent="0.2">
      <c r="A35" s="14" t="s">
        <v>2</v>
      </c>
      <c r="B35" s="144"/>
      <c r="C35" s="8" t="s">
        <v>29</v>
      </c>
      <c r="D35" s="15">
        <v>5.9443887553088812</v>
      </c>
      <c r="E35" s="15">
        <f>AVERAGE(D$32:D35)</f>
        <v>5.9064689835520978</v>
      </c>
      <c r="F35" s="11">
        <v>1.9216216216216213E-2</v>
      </c>
      <c r="G35" s="11">
        <f>AVERAGE(F$32:F35)</f>
        <v>1.6874887387387384E-2</v>
      </c>
      <c r="H35" s="11">
        <v>0</v>
      </c>
      <c r="I35" s="11">
        <f>AVERAGE(H$32:H35)</f>
        <v>8.0833333333333324E-5</v>
      </c>
      <c r="J35" s="11">
        <v>0</v>
      </c>
      <c r="K35" s="11">
        <f>AVERAGE(J$32:J35)</f>
        <v>0</v>
      </c>
      <c r="L35" s="11">
        <v>0</v>
      </c>
      <c r="M35" s="11">
        <v>0</v>
      </c>
      <c r="N35" s="10" t="s">
        <v>4</v>
      </c>
      <c r="O35" s="94" t="s">
        <v>4</v>
      </c>
      <c r="P35" s="14"/>
    </row>
    <row r="36" spans="1:16" s="13" customFormat="1" ht="12.75" x14ac:dyDescent="0.2">
      <c r="A36" s="14" t="s">
        <v>2</v>
      </c>
      <c r="B36" s="144"/>
      <c r="C36" s="8" t="s">
        <v>30</v>
      </c>
      <c r="D36" s="15">
        <v>5.8519493389489776</v>
      </c>
      <c r="E36" s="15">
        <f>AVERAGE(D$32:D36)</f>
        <v>5.895565054631474</v>
      </c>
      <c r="F36" s="11">
        <v>1.7566666666666668E-2</v>
      </c>
      <c r="G36" s="11">
        <f>AVERAGE(F$32:F36)</f>
        <v>1.7013243243243242E-2</v>
      </c>
      <c r="H36" s="11">
        <v>1.5666666666666663E-4</v>
      </c>
      <c r="I36" s="11">
        <f>AVERAGE(H$32:H36)</f>
        <v>9.5999999999999989E-5</v>
      </c>
      <c r="J36" s="11">
        <v>2.333333333333333E-4</v>
      </c>
      <c r="K36" s="11">
        <f>AVERAGE(J$32:J36)</f>
        <v>4.6666666666666658E-5</v>
      </c>
      <c r="L36" s="11">
        <v>0</v>
      </c>
      <c r="M36" s="11">
        <v>0</v>
      </c>
      <c r="N36" s="10" t="s">
        <v>4</v>
      </c>
      <c r="O36" s="94" t="s">
        <v>4</v>
      </c>
      <c r="P36" s="14"/>
    </row>
    <row r="37" spans="1:16" s="13" customFormat="1" ht="12.75" x14ac:dyDescent="0.2">
      <c r="A37" s="14" t="s">
        <v>2</v>
      </c>
      <c r="B37" s="144"/>
      <c r="C37" s="8" t="s">
        <v>31</v>
      </c>
      <c r="D37" s="15">
        <v>6.6382221650498892</v>
      </c>
      <c r="E37" s="15">
        <f>AVERAGE(D$32:D37)</f>
        <v>6.0193412397012098</v>
      </c>
      <c r="F37" s="11">
        <v>1.7366666666666662E-2</v>
      </c>
      <c r="G37" s="11">
        <f>AVERAGE(F$32:F37)</f>
        <v>1.7072147147147148E-2</v>
      </c>
      <c r="H37" s="11">
        <v>0</v>
      </c>
      <c r="I37" s="11">
        <f>AVERAGE(H$32:H37)</f>
        <v>7.9999999999999993E-5</v>
      </c>
      <c r="J37" s="11">
        <v>2.333333333333333E-4</v>
      </c>
      <c r="K37" s="11">
        <f>AVERAGE(J$32:J37)</f>
        <v>7.7777777777777768E-5</v>
      </c>
      <c r="L37" s="11">
        <v>0</v>
      </c>
      <c r="M37" s="11">
        <v>0</v>
      </c>
      <c r="N37" s="10" t="s">
        <v>4</v>
      </c>
      <c r="O37" s="94" t="s">
        <v>4</v>
      </c>
      <c r="P37" s="14"/>
    </row>
    <row r="38" spans="1:16" s="13" customFormat="1" ht="12.75" x14ac:dyDescent="0.2">
      <c r="A38" s="14" t="s">
        <v>2</v>
      </c>
      <c r="B38" s="144"/>
      <c r="C38" s="8" t="s">
        <v>32</v>
      </c>
      <c r="D38" s="15">
        <v>5.9396951906762094</v>
      </c>
      <c r="E38" s="15">
        <f>AVERAGE(D$32:D38)</f>
        <v>6.0079632326976391</v>
      </c>
      <c r="F38" s="11">
        <v>1.691666666666666E-2</v>
      </c>
      <c r="G38" s="11">
        <f>AVERAGE(F$32:F38)</f>
        <v>1.7049935649935649E-2</v>
      </c>
      <c r="H38" s="11">
        <v>0</v>
      </c>
      <c r="I38" s="11">
        <f>AVERAGE(H$32:H38)</f>
        <v>6.8571428571428567E-5</v>
      </c>
      <c r="J38" s="11">
        <v>4.8333333333333328E-4</v>
      </c>
      <c r="K38" s="11">
        <f>AVERAGE(J$32:J38)</f>
        <v>1.3571428571428569E-4</v>
      </c>
      <c r="L38" s="11">
        <v>0</v>
      </c>
      <c r="M38" s="11">
        <v>0</v>
      </c>
      <c r="N38" s="10" t="s">
        <v>4</v>
      </c>
      <c r="O38" s="94" t="s">
        <v>4</v>
      </c>
      <c r="P38" s="14"/>
    </row>
    <row r="39" spans="1:16" s="13" customFormat="1" ht="12.75" x14ac:dyDescent="0.2">
      <c r="A39" s="14" t="s">
        <v>2</v>
      </c>
      <c r="B39" s="144"/>
      <c r="C39" s="8" t="s">
        <v>33</v>
      </c>
      <c r="D39" s="15">
        <v>5.4635950192732485</v>
      </c>
      <c r="E39" s="15">
        <f>AVERAGE(D$32:D39)</f>
        <v>5.9399172060195902</v>
      </c>
      <c r="F39" s="11">
        <v>1.4653333333333329E-2</v>
      </c>
      <c r="G39" s="11">
        <f>AVERAGE(F$32:F39)</f>
        <v>1.6750360360360358E-2</v>
      </c>
      <c r="H39" s="11">
        <v>0</v>
      </c>
      <c r="I39" s="11">
        <f>AVERAGE(H$32:H39)</f>
        <v>5.9999999999999995E-5</v>
      </c>
      <c r="J39" s="11">
        <v>0</v>
      </c>
      <c r="K39" s="11">
        <f>AVERAGE(J$32:J39)</f>
        <v>1.1874999999999999E-4</v>
      </c>
      <c r="L39" s="11">
        <v>0</v>
      </c>
      <c r="M39" s="11">
        <v>0</v>
      </c>
      <c r="N39" s="10" t="s">
        <v>4</v>
      </c>
      <c r="O39" s="94" t="s">
        <v>4</v>
      </c>
      <c r="P39" s="14"/>
    </row>
    <row r="40" spans="1:16" s="13" customFormat="1" ht="12.75" x14ac:dyDescent="0.2">
      <c r="A40" s="14" t="s">
        <v>2</v>
      </c>
      <c r="B40" s="144"/>
      <c r="C40" s="8" t="s">
        <v>34</v>
      </c>
      <c r="D40" s="15">
        <v>6.1419572516475807</v>
      </c>
      <c r="E40" s="15">
        <f>AVERAGE(D$32:D40)</f>
        <v>5.9623660999782562</v>
      </c>
      <c r="F40" s="11">
        <v>2.0666666666666663E-2</v>
      </c>
      <c r="G40" s="11">
        <f>AVERAGE(F$32:F40)</f>
        <v>1.7185505505505502E-2</v>
      </c>
      <c r="H40" s="11">
        <v>0</v>
      </c>
      <c r="I40" s="11">
        <f>AVERAGE(H$32:H40)</f>
        <v>5.3333333333333326E-5</v>
      </c>
      <c r="J40" s="11">
        <v>0</v>
      </c>
      <c r="K40" s="11">
        <f>AVERAGE(J$32:J40)</f>
        <v>1.0555555555555554E-4</v>
      </c>
      <c r="L40" s="11">
        <v>0</v>
      </c>
      <c r="M40" s="11">
        <v>0</v>
      </c>
      <c r="N40" s="10" t="s">
        <v>4</v>
      </c>
      <c r="O40" s="94" t="s">
        <v>4</v>
      </c>
      <c r="P40" s="14"/>
    </row>
    <row r="41" spans="1:16" s="13" customFormat="1" ht="12.75" x14ac:dyDescent="0.2">
      <c r="A41" s="14" t="s">
        <v>2</v>
      </c>
      <c r="B41" s="144"/>
      <c r="C41" s="8" t="s">
        <v>35</v>
      </c>
      <c r="D41" s="15">
        <v>5.7509539917512198</v>
      </c>
      <c r="E41" s="15">
        <f>AVERAGE(D$32:D41)</f>
        <v>5.9412248891555519</v>
      </c>
      <c r="F41" s="11">
        <v>1.6266666666666665E-2</v>
      </c>
      <c r="G41" s="11">
        <f>AVERAGE(F$32:F41)</f>
        <v>1.7093621621621619E-2</v>
      </c>
      <c r="H41" s="11">
        <v>1.5666666666666663E-4</v>
      </c>
      <c r="I41" s="11">
        <f>AVERAGE(H$32:H41)</f>
        <v>6.3666666666666651E-5</v>
      </c>
      <c r="J41" s="11">
        <v>0</v>
      </c>
      <c r="K41" s="11">
        <f>AVERAGE(J$32:J41)</f>
        <v>9.4999999999999992E-5</v>
      </c>
      <c r="L41" s="11">
        <v>0</v>
      </c>
      <c r="M41" s="11">
        <v>0</v>
      </c>
      <c r="N41" s="10" t="s">
        <v>4</v>
      </c>
      <c r="O41" s="94" t="s">
        <v>4</v>
      </c>
      <c r="P41" s="14"/>
    </row>
    <row r="42" spans="1:16" s="13" customFormat="1" ht="12.75" x14ac:dyDescent="0.2">
      <c r="A42" s="14" t="s">
        <v>2</v>
      </c>
      <c r="B42" s="144"/>
      <c r="C42" s="8" t="s">
        <v>36</v>
      </c>
      <c r="D42" s="15">
        <v>5.2023303165349049</v>
      </c>
      <c r="E42" s="15">
        <f>AVERAGE(D$32:D42)</f>
        <v>5.8740526552809476</v>
      </c>
      <c r="F42" s="11">
        <v>1.2936666666666669E-2</v>
      </c>
      <c r="G42" s="11">
        <f>AVERAGE(F$32:F42)</f>
        <v>1.6715716625716623E-2</v>
      </c>
      <c r="H42" s="11">
        <v>0</v>
      </c>
      <c r="I42" s="11">
        <f>AVERAGE(H$32:H42)</f>
        <v>5.787878787878787E-5</v>
      </c>
      <c r="J42" s="11">
        <v>4.6999999999999999E-4</v>
      </c>
      <c r="K42" s="11">
        <f>AVERAGE(J$32:J42)</f>
        <v>1.2909090909090908E-4</v>
      </c>
      <c r="L42" s="11">
        <v>0</v>
      </c>
      <c r="M42" s="11">
        <v>0</v>
      </c>
      <c r="N42" s="10" t="s">
        <v>4</v>
      </c>
      <c r="O42" s="94" t="s">
        <v>4</v>
      </c>
      <c r="P42" s="14"/>
    </row>
    <row r="43" spans="1:16" s="13" customFormat="1" ht="12.75" x14ac:dyDescent="0.2">
      <c r="A43" s="14" t="s">
        <v>2</v>
      </c>
      <c r="B43" s="144"/>
      <c r="C43" s="84" t="s">
        <v>37</v>
      </c>
      <c r="D43" s="15">
        <v>5.4827226096390422</v>
      </c>
      <c r="E43" s="15">
        <f>AVERAGE(D$32:D43)</f>
        <v>5.8414418181441219</v>
      </c>
      <c r="F43" s="11">
        <v>2.1623335664431555E-2</v>
      </c>
      <c r="G43" s="11">
        <f>AVERAGE(F$32:F43)</f>
        <v>1.7124684878942868E-2</v>
      </c>
      <c r="H43" s="11">
        <v>0</v>
      </c>
      <c r="I43" s="11">
        <f>AVERAGE(H$32:H43)</f>
        <v>5.3055555555555545E-5</v>
      </c>
      <c r="J43" s="11">
        <v>2.4875621890547262E-4</v>
      </c>
      <c r="K43" s="11">
        <f>AVERAGE(J$32:J43)</f>
        <v>1.3906301824212272E-4</v>
      </c>
      <c r="L43" s="11">
        <v>0</v>
      </c>
      <c r="M43" s="11">
        <v>0</v>
      </c>
      <c r="N43" s="10" t="s">
        <v>4</v>
      </c>
      <c r="O43" s="94" t="s">
        <v>4</v>
      </c>
      <c r="P43" s="14"/>
    </row>
    <row r="44" spans="1:16" s="13" customFormat="1" ht="12.75" x14ac:dyDescent="0.2">
      <c r="A44" s="16" t="s">
        <v>2</v>
      </c>
      <c r="B44" s="16"/>
      <c r="C44" s="16"/>
      <c r="D44" s="48">
        <f>AVERAGE(D32:D43)</f>
        <v>5.8414418181441219</v>
      </c>
      <c r="E44" s="16"/>
      <c r="F44" s="49">
        <f>AVERAGE(F32:F43)</f>
        <v>1.7124684878942868E-2</v>
      </c>
      <c r="G44" s="16"/>
      <c r="H44" s="49">
        <f>AVERAGE(H32:H43)</f>
        <v>5.3055555555555545E-5</v>
      </c>
      <c r="I44" s="16"/>
      <c r="J44" s="49">
        <f>AVERAGE(J32:J43)</f>
        <v>1.3906301824212272E-4</v>
      </c>
      <c r="K44" s="16"/>
      <c r="L44" s="16"/>
      <c r="M44" s="16"/>
      <c r="N44" s="16"/>
      <c r="O44" s="16"/>
      <c r="P44" s="14"/>
    </row>
    <row r="45" spans="1:16" s="13" customFormat="1" ht="12.75" x14ac:dyDescent="0.2">
      <c r="A45" s="17" t="s">
        <v>38</v>
      </c>
      <c r="B45" s="132" t="s">
        <v>39</v>
      </c>
      <c r="C45" s="84" t="s">
        <v>24</v>
      </c>
      <c r="D45" s="18">
        <v>9.16</v>
      </c>
      <c r="E45" s="19"/>
      <c r="F45" s="20">
        <v>2.0199999999999999E-2</v>
      </c>
      <c r="G45" s="19"/>
      <c r="H45" s="21">
        <v>4.0000000000000002E-4</v>
      </c>
      <c r="I45" s="19"/>
      <c r="J45" s="21">
        <v>4.7999999999999996E-3</v>
      </c>
      <c r="K45" s="19"/>
      <c r="L45" s="22" t="s">
        <v>40</v>
      </c>
      <c r="M45" s="12"/>
      <c r="N45" s="23" t="s">
        <v>4</v>
      </c>
      <c r="O45" s="93" t="s">
        <v>4</v>
      </c>
      <c r="P45" s="14"/>
    </row>
    <row r="46" spans="1:16" s="13" customFormat="1" ht="12.75" x14ac:dyDescent="0.2">
      <c r="A46" s="10" t="s">
        <v>38</v>
      </c>
      <c r="B46" s="132"/>
      <c r="C46" s="8" t="s">
        <v>27</v>
      </c>
      <c r="D46" s="18">
        <v>8.17</v>
      </c>
      <c r="E46" s="24">
        <f>AVERAGE(D45:D46)</f>
        <v>8.6649999999999991</v>
      </c>
      <c r="F46" s="21">
        <v>1.7600000000000001E-2</v>
      </c>
      <c r="G46" s="25">
        <f>AVERAGE(F45:F46)</f>
        <v>1.89E-2</v>
      </c>
      <c r="H46" s="21">
        <v>5.0000000000000001E-4</v>
      </c>
      <c r="I46" s="25">
        <f>AVERAGE(H45:H46)</f>
        <v>4.4999999999999999E-4</v>
      </c>
      <c r="J46" s="21">
        <v>1.9E-3</v>
      </c>
      <c r="K46" s="25">
        <f>AVERAGE(J45:J46)</f>
        <v>3.3499999999999997E-3</v>
      </c>
      <c r="L46" s="21" t="s">
        <v>40</v>
      </c>
      <c r="M46" s="21" t="s">
        <v>40</v>
      </c>
      <c r="N46" s="23" t="s">
        <v>4</v>
      </c>
      <c r="O46" s="92" t="s">
        <v>4</v>
      </c>
      <c r="P46" s="14"/>
    </row>
    <row r="47" spans="1:16" s="13" customFormat="1" ht="12.75" x14ac:dyDescent="0.2">
      <c r="A47" s="10" t="s">
        <v>38</v>
      </c>
      <c r="B47" s="132"/>
      <c r="C47" s="8" t="s">
        <v>28</v>
      </c>
      <c r="D47" s="18">
        <v>8.49</v>
      </c>
      <c r="E47" s="24">
        <f>AVERAGE(D45:D47)</f>
        <v>8.6066666666666674</v>
      </c>
      <c r="F47" s="21">
        <v>1.6299999999999999E-2</v>
      </c>
      <c r="G47" s="25">
        <f>AVERAGE(F45:F47)</f>
        <v>1.8033333333333332E-2</v>
      </c>
      <c r="H47" s="21">
        <v>5.9999999999999995E-4</v>
      </c>
      <c r="I47" s="25">
        <f>AVERAGE(H45:H47)</f>
        <v>5.0000000000000001E-4</v>
      </c>
      <c r="J47" s="21">
        <v>4.4999999999999997E-3</v>
      </c>
      <c r="K47" s="25">
        <f>AVERAGE(J45:J47)</f>
        <v>3.7333333333333329E-3</v>
      </c>
      <c r="L47" s="21" t="s">
        <v>40</v>
      </c>
      <c r="M47" s="21" t="s">
        <v>40</v>
      </c>
      <c r="N47" s="23" t="s">
        <v>4</v>
      </c>
      <c r="O47" s="92" t="s">
        <v>4</v>
      </c>
      <c r="P47" s="14"/>
    </row>
    <row r="48" spans="1:16" s="13" customFormat="1" ht="12.75" x14ac:dyDescent="0.2">
      <c r="A48" s="10" t="s">
        <v>38</v>
      </c>
      <c r="B48" s="132"/>
      <c r="C48" s="8" t="s">
        <v>29</v>
      </c>
      <c r="D48" s="18">
        <v>8.7799999999999994</v>
      </c>
      <c r="E48" s="24">
        <f>AVERAGE(D45:D48)</f>
        <v>8.65</v>
      </c>
      <c r="F48" s="21">
        <v>1.7100000000000001E-2</v>
      </c>
      <c r="G48" s="25">
        <f>AVERAGE(F45:F48)</f>
        <v>1.78E-2</v>
      </c>
      <c r="H48" s="21">
        <v>8.9999999999999998E-4</v>
      </c>
      <c r="I48" s="25">
        <f>AVERAGE(H45:H48)</f>
        <v>6.0000000000000006E-4</v>
      </c>
      <c r="J48" s="21">
        <v>8.9999999999999993E-3</v>
      </c>
      <c r="K48" s="25">
        <f>AVERAGE(J45:J48)</f>
        <v>5.0499999999999989E-3</v>
      </c>
      <c r="L48" s="21" t="s">
        <v>40</v>
      </c>
      <c r="M48" s="21" t="s">
        <v>40</v>
      </c>
      <c r="N48" s="23" t="s">
        <v>4</v>
      </c>
      <c r="O48" s="92" t="s">
        <v>4</v>
      </c>
      <c r="P48" s="14"/>
    </row>
    <row r="49" spans="1:16" s="13" customFormat="1" ht="12.75" x14ac:dyDescent="0.2">
      <c r="A49" s="10" t="s">
        <v>38</v>
      </c>
      <c r="B49" s="132"/>
      <c r="C49" s="8" t="s">
        <v>30</v>
      </c>
      <c r="D49" s="18">
        <v>9.27</v>
      </c>
      <c r="E49" s="24">
        <f>AVERAGEA(D45:D49)</f>
        <v>8.7740000000000009</v>
      </c>
      <c r="F49" s="21">
        <v>1.9400000000000001E-2</v>
      </c>
      <c r="G49" s="25">
        <f>AVERAGEA(F45:F49)</f>
        <v>1.8120000000000001E-2</v>
      </c>
      <c r="H49" s="21">
        <v>8.0000000000000004E-4</v>
      </c>
      <c r="I49" s="25">
        <f>AVERAGEA(H45:H49)</f>
        <v>6.4000000000000005E-4</v>
      </c>
      <c r="J49" s="21">
        <v>9.4000000000000004E-3</v>
      </c>
      <c r="K49" s="25">
        <f>AVERAGEA(J45:J49)</f>
        <v>5.919999999999999E-3</v>
      </c>
      <c r="L49" s="21" t="s">
        <v>40</v>
      </c>
      <c r="M49" s="21" t="s">
        <v>40</v>
      </c>
      <c r="N49" s="23" t="s">
        <v>4</v>
      </c>
      <c r="O49" s="92" t="s">
        <v>4</v>
      </c>
      <c r="P49" s="14"/>
    </row>
    <row r="50" spans="1:16" s="13" customFormat="1" ht="12.75" x14ac:dyDescent="0.2">
      <c r="A50" s="10" t="s">
        <v>38</v>
      </c>
      <c r="B50" s="132"/>
      <c r="C50" s="8" t="s">
        <v>31</v>
      </c>
      <c r="D50" s="18">
        <v>8.6</v>
      </c>
      <c r="E50" s="24">
        <f>AVERAGE(D45:D50)</f>
        <v>8.745000000000001</v>
      </c>
      <c r="F50" s="21">
        <v>1.7600000000000001E-2</v>
      </c>
      <c r="G50" s="25">
        <f>AVERAGE(F45:F50)</f>
        <v>1.8033333333333335E-2</v>
      </c>
      <c r="H50" s="21">
        <v>5.0000000000000001E-4</v>
      </c>
      <c r="I50" s="25">
        <f>AVERAGE(H45:H50)</f>
        <v>6.1666666666666673E-4</v>
      </c>
      <c r="J50" s="21">
        <v>6.4000000000000003E-3</v>
      </c>
      <c r="K50" s="25">
        <f>AVERAGE(J45:J50)</f>
        <v>5.9999999999999993E-3</v>
      </c>
      <c r="L50" s="21" t="s">
        <v>40</v>
      </c>
      <c r="M50" s="21" t="s">
        <v>40</v>
      </c>
      <c r="N50" s="23" t="s">
        <v>4</v>
      </c>
      <c r="O50" s="92" t="s">
        <v>4</v>
      </c>
      <c r="P50" s="14"/>
    </row>
    <row r="51" spans="1:16" s="13" customFormat="1" ht="12.75" x14ac:dyDescent="0.2">
      <c r="A51" s="10" t="s">
        <v>38</v>
      </c>
      <c r="B51" s="132"/>
      <c r="C51" s="8" t="s">
        <v>32</v>
      </c>
      <c r="D51" s="18">
        <v>8.5399999999999991</v>
      </c>
      <c r="E51" s="24">
        <f>AVERAGE(D45:D51)</f>
        <v>8.7157142857142862</v>
      </c>
      <c r="F51" s="21">
        <v>2.07E-2</v>
      </c>
      <c r="G51" s="25">
        <f>AVERAGE(F45:F51)</f>
        <v>1.8414285714285716E-2</v>
      </c>
      <c r="H51" s="21">
        <v>6.9999999999999999E-4</v>
      </c>
      <c r="I51" s="25">
        <f>AVERAGE(H45:H51)</f>
        <v>6.2857142857142864E-4</v>
      </c>
      <c r="J51" s="21">
        <v>4.1000000000000003E-3</v>
      </c>
      <c r="K51" s="25">
        <f>AVERAGE(J45:J51)</f>
        <v>5.7285714285714284E-3</v>
      </c>
      <c r="L51" s="21" t="s">
        <v>40</v>
      </c>
      <c r="M51" s="21" t="s">
        <v>40</v>
      </c>
      <c r="N51" s="23" t="s">
        <v>4</v>
      </c>
      <c r="O51" s="92" t="s">
        <v>4</v>
      </c>
      <c r="P51" s="14"/>
    </row>
    <row r="52" spans="1:16" s="13" customFormat="1" ht="12.75" x14ac:dyDescent="0.2">
      <c r="A52" s="10" t="s">
        <v>38</v>
      </c>
      <c r="B52" s="132"/>
      <c r="C52" s="8" t="s">
        <v>33</v>
      </c>
      <c r="D52" s="18">
        <v>9.4600000000000009</v>
      </c>
      <c r="E52" s="24">
        <f>AVERAGE(D45:D52)</f>
        <v>8.8087499999999999</v>
      </c>
      <c r="F52" s="21">
        <v>2.4500000000000001E-2</v>
      </c>
      <c r="G52" s="25">
        <f>AVERAGE(F45:F52)</f>
        <v>1.9175000000000001E-2</v>
      </c>
      <c r="H52" s="21">
        <v>6.9999999999999999E-4</v>
      </c>
      <c r="I52" s="25">
        <f>AVERAGE(H45:H52)</f>
        <v>6.3750000000000005E-4</v>
      </c>
      <c r="J52" s="21">
        <v>6.7000000000000002E-3</v>
      </c>
      <c r="K52" s="25">
        <f>AVERAGE(J45:J52)</f>
        <v>5.8499999999999993E-3</v>
      </c>
      <c r="L52" s="21" t="s">
        <v>40</v>
      </c>
      <c r="M52" s="21" t="s">
        <v>40</v>
      </c>
      <c r="N52" s="23" t="s">
        <v>4</v>
      </c>
      <c r="O52" s="92" t="s">
        <v>4</v>
      </c>
      <c r="P52" s="14"/>
    </row>
    <row r="53" spans="1:16" s="13" customFormat="1" ht="12.75" x14ac:dyDescent="0.2">
      <c r="A53" s="10" t="s">
        <v>38</v>
      </c>
      <c r="B53" s="132"/>
      <c r="C53" s="8" t="s">
        <v>34</v>
      </c>
      <c r="D53" s="18">
        <v>9</v>
      </c>
      <c r="E53" s="24">
        <f>AVERAGE(D45:D53)</f>
        <v>8.83</v>
      </c>
      <c r="F53" s="21">
        <v>2.92E-2</v>
      </c>
      <c r="G53" s="25">
        <f>AVERAGE(F45:F53)</f>
        <v>2.0288888888888891E-2</v>
      </c>
      <c r="H53" s="21">
        <v>5.0000000000000001E-4</v>
      </c>
      <c r="I53" s="25">
        <f>AVERAGE(H45:H53)</f>
        <v>6.2222222222222236E-4</v>
      </c>
      <c r="J53" s="21">
        <v>3.0000000000000001E-3</v>
      </c>
      <c r="K53" s="25">
        <f>AVERAGE(J45:J53)</f>
        <v>5.5333333333333328E-3</v>
      </c>
      <c r="L53" s="21" t="s">
        <v>40</v>
      </c>
      <c r="M53" s="21" t="s">
        <v>40</v>
      </c>
      <c r="N53" s="23" t="s">
        <v>4</v>
      </c>
      <c r="O53" s="92" t="s">
        <v>4</v>
      </c>
      <c r="P53" s="14"/>
    </row>
    <row r="54" spans="1:16" s="13" customFormat="1" ht="12.75" x14ac:dyDescent="0.2">
      <c r="A54" s="10" t="s">
        <v>38</v>
      </c>
      <c r="B54" s="132"/>
      <c r="C54" s="8" t="s">
        <v>35</v>
      </c>
      <c r="D54" s="18">
        <v>10.119999999999999</v>
      </c>
      <c r="E54" s="24">
        <f>AVERAGE(D45:D54)</f>
        <v>8.9589999999999996</v>
      </c>
      <c r="F54" s="21">
        <v>2.7300000000000001E-2</v>
      </c>
      <c r="G54" s="25">
        <f>AVERAGE(F45:F54)</f>
        <v>2.0990000000000002E-2</v>
      </c>
      <c r="H54" s="21">
        <v>6.9999999999999999E-4</v>
      </c>
      <c r="I54" s="25">
        <f>AVERAGE(H45:H54)</f>
        <v>6.3000000000000013E-4</v>
      </c>
      <c r="J54" s="21">
        <v>6.4000000000000003E-3</v>
      </c>
      <c r="K54" s="25">
        <f>AVERAGE(J45:J54)</f>
        <v>5.62E-3</v>
      </c>
      <c r="L54" s="21" t="s">
        <v>40</v>
      </c>
      <c r="M54" s="21" t="s">
        <v>40</v>
      </c>
      <c r="N54" s="23" t="s">
        <v>4</v>
      </c>
      <c r="O54" s="92" t="s">
        <v>4</v>
      </c>
      <c r="P54" s="14"/>
    </row>
    <row r="55" spans="1:16" s="13" customFormat="1" ht="12.75" x14ac:dyDescent="0.2">
      <c r="A55" s="10" t="s">
        <v>38</v>
      </c>
      <c r="B55" s="132"/>
      <c r="C55" s="8" t="s">
        <v>36</v>
      </c>
      <c r="D55" s="18">
        <v>9.7899999999999991</v>
      </c>
      <c r="E55" s="24">
        <f>AVERAGE(D45:D55)</f>
        <v>9.0345454545454533</v>
      </c>
      <c r="F55" s="21">
        <v>2.3199999999999998E-2</v>
      </c>
      <c r="G55" s="25">
        <f>AVERAGE(F45:F55)</f>
        <v>2.119090909090909E-2</v>
      </c>
      <c r="H55" s="21">
        <v>5.0000000000000001E-4</v>
      </c>
      <c r="I55" s="25">
        <f>AVERAGE(H45:H55)</f>
        <v>6.1818181818181818E-4</v>
      </c>
      <c r="J55" s="21">
        <v>4.4000000000000003E-3</v>
      </c>
      <c r="K55" s="25">
        <f>AVERAGE(J45:J55)</f>
        <v>5.5090909090909088E-3</v>
      </c>
      <c r="L55" s="21" t="s">
        <v>40</v>
      </c>
      <c r="M55" s="21" t="s">
        <v>40</v>
      </c>
      <c r="N55" s="23" t="s">
        <v>4</v>
      </c>
      <c r="O55" s="92" t="s">
        <v>4</v>
      </c>
      <c r="P55" s="14"/>
    </row>
    <row r="56" spans="1:16" s="13" customFormat="1" ht="12.75" x14ac:dyDescent="0.2">
      <c r="A56" s="10" t="s">
        <v>38</v>
      </c>
      <c r="B56" s="132"/>
      <c r="C56" s="84" t="s">
        <v>37</v>
      </c>
      <c r="D56" s="18">
        <v>8.8699999999999992</v>
      </c>
      <c r="E56" s="24">
        <f>AVERAGE(D45:D56)</f>
        <v>9.0208333333333339</v>
      </c>
      <c r="F56" s="21">
        <v>1.9699999999999999E-2</v>
      </c>
      <c r="G56" s="25">
        <f>AVERAGE(F45:F56)</f>
        <v>2.1066666666666668E-2</v>
      </c>
      <c r="H56" s="21">
        <v>4.0000000000000002E-4</v>
      </c>
      <c r="I56" s="25">
        <f>AVERAGE(H45:H56)</f>
        <v>6.0000000000000006E-4</v>
      </c>
      <c r="J56" s="21">
        <v>4.1999999999999997E-3</v>
      </c>
      <c r="K56" s="25">
        <f>AVERAGE(J45:J56)</f>
        <v>5.3999999999999994E-3</v>
      </c>
      <c r="L56" s="21" t="s">
        <v>40</v>
      </c>
      <c r="M56" s="21" t="s">
        <v>40</v>
      </c>
      <c r="N56" s="23" t="s">
        <v>4</v>
      </c>
      <c r="O56" s="92" t="s">
        <v>4</v>
      </c>
      <c r="P56" s="14"/>
    </row>
    <row r="57" spans="1:16" s="13" customFormat="1" ht="12.75" x14ac:dyDescent="0.2">
      <c r="A57" s="16" t="s">
        <v>38</v>
      </c>
      <c r="B57" s="16"/>
      <c r="C57" s="16"/>
      <c r="D57" s="48">
        <f>AVERAGE(D45:D56)</f>
        <v>9.0208333333333339</v>
      </c>
      <c r="E57" s="16"/>
      <c r="F57" s="49">
        <f>AVERAGE(F45:F56)</f>
        <v>2.1066666666666668E-2</v>
      </c>
      <c r="G57" s="16"/>
      <c r="H57" s="49">
        <f>AVERAGE(H45:H56)</f>
        <v>6.0000000000000006E-4</v>
      </c>
      <c r="I57" s="16"/>
      <c r="J57" s="49">
        <f>AVERAGE(J45:J56)</f>
        <v>5.3999999999999994E-3</v>
      </c>
      <c r="K57" s="16"/>
      <c r="L57" s="16"/>
      <c r="M57" s="16"/>
      <c r="N57" s="16"/>
      <c r="O57" s="16"/>
      <c r="P57" s="14"/>
    </row>
    <row r="58" spans="1:16" s="13" customFormat="1" ht="12.75" x14ac:dyDescent="0.2">
      <c r="A58" s="17" t="s">
        <v>38</v>
      </c>
      <c r="B58" s="132" t="s">
        <v>5</v>
      </c>
      <c r="C58" s="84" t="s">
        <v>24</v>
      </c>
      <c r="D58" s="18">
        <v>10.33</v>
      </c>
      <c r="E58" s="19"/>
      <c r="F58" s="21">
        <v>3.0200000000000001E-2</v>
      </c>
      <c r="G58" s="19"/>
      <c r="H58" s="21">
        <v>1.2999999999999999E-3</v>
      </c>
      <c r="I58" s="19"/>
      <c r="J58" s="21">
        <v>5.5999999999999999E-3</v>
      </c>
      <c r="K58" s="19"/>
      <c r="L58" s="21" t="s">
        <v>40</v>
      </c>
      <c r="M58" s="19"/>
      <c r="N58" s="23" t="s">
        <v>4</v>
      </c>
      <c r="O58" s="91" t="s">
        <v>4</v>
      </c>
      <c r="P58" s="14"/>
    </row>
    <row r="59" spans="1:16" s="13" customFormat="1" ht="12.75" x14ac:dyDescent="0.2">
      <c r="A59" s="10" t="s">
        <v>38</v>
      </c>
      <c r="B59" s="132"/>
      <c r="C59" s="8" t="s">
        <v>27</v>
      </c>
      <c r="D59" s="18">
        <v>9.5</v>
      </c>
      <c r="E59" s="24">
        <f>AVERAGE(D58:D59)</f>
        <v>9.9149999999999991</v>
      </c>
      <c r="F59" s="21">
        <v>2.6100000000000002E-2</v>
      </c>
      <c r="G59" s="25">
        <f>AVERAGE(F58:F59)</f>
        <v>2.8150000000000001E-2</v>
      </c>
      <c r="H59" s="21">
        <v>1.9E-3</v>
      </c>
      <c r="I59" s="25">
        <f>AVERAGE(H58:H59)</f>
        <v>1.5999999999999999E-3</v>
      </c>
      <c r="J59" s="21">
        <v>7.1000000000000004E-3</v>
      </c>
      <c r="K59" s="25">
        <f>AVERAGE(J58:J59)</f>
        <v>6.3499999999999997E-3</v>
      </c>
      <c r="L59" s="21" t="s">
        <v>40</v>
      </c>
      <c r="M59" s="21" t="s">
        <v>40</v>
      </c>
      <c r="N59" s="23" t="s">
        <v>4</v>
      </c>
      <c r="O59" s="92" t="s">
        <v>4</v>
      </c>
      <c r="P59" s="14"/>
    </row>
    <row r="60" spans="1:16" s="13" customFormat="1" ht="12.75" x14ac:dyDescent="0.2">
      <c r="A60" s="10" t="s">
        <v>38</v>
      </c>
      <c r="B60" s="132"/>
      <c r="C60" s="8" t="s">
        <v>28</v>
      </c>
      <c r="D60" s="18">
        <v>9.81</v>
      </c>
      <c r="E60" s="24">
        <f>AVERAGE(D58:D60)</f>
        <v>9.8800000000000008</v>
      </c>
      <c r="F60" s="21">
        <v>1.8499999999999999E-2</v>
      </c>
      <c r="G60" s="25">
        <f>AVERAGE(F58:F60)</f>
        <v>2.4933333333333335E-2</v>
      </c>
      <c r="H60" s="21">
        <v>8.9999999999999998E-4</v>
      </c>
      <c r="I60" s="25">
        <f>AVERAGE(H58:H60)</f>
        <v>1.3666666666666664E-3</v>
      </c>
      <c r="J60" s="21">
        <v>7.0000000000000001E-3</v>
      </c>
      <c r="K60" s="25">
        <f>AVERAGE(J58:J60)</f>
        <v>6.566666666666666E-3</v>
      </c>
      <c r="L60" s="21" t="s">
        <v>40</v>
      </c>
      <c r="M60" s="21" t="s">
        <v>40</v>
      </c>
      <c r="N60" s="23" t="s">
        <v>4</v>
      </c>
      <c r="O60" s="92" t="s">
        <v>4</v>
      </c>
      <c r="P60" s="14"/>
    </row>
    <row r="61" spans="1:16" s="13" customFormat="1" ht="12.75" x14ac:dyDescent="0.2">
      <c r="A61" s="10" t="s">
        <v>38</v>
      </c>
      <c r="B61" s="132"/>
      <c r="C61" s="8" t="s">
        <v>29</v>
      </c>
      <c r="D61" s="18">
        <v>10.199999999999999</v>
      </c>
      <c r="E61" s="24">
        <f>AVERAGE(D58:D61)</f>
        <v>9.9600000000000009</v>
      </c>
      <c r="F61" s="21">
        <v>2.2100000000000002E-2</v>
      </c>
      <c r="G61" s="25">
        <f>AVERAGE(F58:F61)</f>
        <v>2.4225000000000003E-2</v>
      </c>
      <c r="H61" s="21">
        <v>8.9999999999999998E-4</v>
      </c>
      <c r="I61" s="25">
        <f>AVERAGE(H58:H61)</f>
        <v>1.2499999999999998E-3</v>
      </c>
      <c r="J61" s="21">
        <v>7.0000000000000001E-3</v>
      </c>
      <c r="K61" s="25">
        <f>AVERAGE(J58:J61)</f>
        <v>6.6749999999999995E-3</v>
      </c>
      <c r="L61" s="21" t="s">
        <v>40</v>
      </c>
      <c r="M61" s="21" t="s">
        <v>40</v>
      </c>
      <c r="N61" s="23" t="s">
        <v>4</v>
      </c>
      <c r="O61" s="92" t="s">
        <v>4</v>
      </c>
      <c r="P61" s="14"/>
    </row>
    <row r="62" spans="1:16" s="13" customFormat="1" ht="12.75" x14ac:dyDescent="0.2">
      <c r="A62" s="10" t="s">
        <v>38</v>
      </c>
      <c r="B62" s="132"/>
      <c r="C62" s="8" t="s">
        <v>30</v>
      </c>
      <c r="D62" s="18">
        <v>9.7799999999999994</v>
      </c>
      <c r="E62" s="24">
        <f>AVERAGEA(D58:D62)</f>
        <v>9.9240000000000013</v>
      </c>
      <c r="F62" s="21">
        <v>2.7099999999999999E-2</v>
      </c>
      <c r="G62" s="25">
        <f>AVERAGEA(F58:F62)</f>
        <v>2.4800000000000003E-2</v>
      </c>
      <c r="H62" s="21">
        <v>1.1000000000000001E-3</v>
      </c>
      <c r="I62" s="25">
        <f>AVERAGEA(H58:H62)</f>
        <v>1.2199999999999999E-3</v>
      </c>
      <c r="J62" s="21">
        <v>1.2500000000000001E-2</v>
      </c>
      <c r="K62" s="25">
        <f>AVERAGEA(J58:J62)</f>
        <v>7.8399999999999997E-3</v>
      </c>
      <c r="L62" s="21" t="s">
        <v>40</v>
      </c>
      <c r="M62" s="21" t="s">
        <v>40</v>
      </c>
      <c r="N62" s="23" t="s">
        <v>4</v>
      </c>
      <c r="O62" s="92" t="s">
        <v>4</v>
      </c>
      <c r="P62" s="14"/>
    </row>
    <row r="63" spans="1:16" s="13" customFormat="1" ht="12.75" x14ac:dyDescent="0.2">
      <c r="A63" s="10" t="s">
        <v>38</v>
      </c>
      <c r="B63" s="132"/>
      <c r="C63" s="8" t="s">
        <v>31</v>
      </c>
      <c r="D63" s="18">
        <v>9.73</v>
      </c>
      <c r="E63" s="24">
        <f>AVERAGE(D58:D63)</f>
        <v>9.8916666666666675</v>
      </c>
      <c r="F63" s="21">
        <v>2.0299999999999999E-2</v>
      </c>
      <c r="G63" s="25">
        <f>AVERAGE(F58:F63)</f>
        <v>2.4050000000000002E-2</v>
      </c>
      <c r="H63" s="21">
        <v>1.4E-3</v>
      </c>
      <c r="I63" s="25">
        <f>AVERAGE(H58:H63)</f>
        <v>1.25E-3</v>
      </c>
      <c r="J63" s="21">
        <v>6.6E-3</v>
      </c>
      <c r="K63" s="25">
        <f>AVERAGE(J58:J63)</f>
        <v>7.6333333333333331E-3</v>
      </c>
      <c r="L63" s="21" t="s">
        <v>40</v>
      </c>
      <c r="M63" s="21" t="s">
        <v>40</v>
      </c>
      <c r="N63" s="23" t="s">
        <v>4</v>
      </c>
      <c r="O63" s="92" t="s">
        <v>4</v>
      </c>
      <c r="P63" s="14"/>
    </row>
    <row r="64" spans="1:16" s="13" customFormat="1" ht="12.75" x14ac:dyDescent="0.2">
      <c r="A64" s="10" t="s">
        <v>38</v>
      </c>
      <c r="B64" s="132"/>
      <c r="C64" s="8" t="s">
        <v>32</v>
      </c>
      <c r="D64" s="18">
        <v>10.210000000000001</v>
      </c>
      <c r="E64" s="24">
        <f>AVERAGE(D58:D64)</f>
        <v>9.9371428571428577</v>
      </c>
      <c r="F64" s="21">
        <v>2.2800000000000001E-2</v>
      </c>
      <c r="G64" s="25">
        <f>AVERAGE(F58:F64)</f>
        <v>2.3871428571428575E-2</v>
      </c>
      <c r="H64" s="21">
        <v>1.8E-3</v>
      </c>
      <c r="I64" s="25">
        <f>AVERAGE(H58:H64)</f>
        <v>1.3285714285714285E-3</v>
      </c>
      <c r="J64" s="21">
        <v>7.1000000000000004E-3</v>
      </c>
      <c r="K64" s="25">
        <f>AVERAGE(J58:J64)</f>
        <v>7.5571428571428578E-3</v>
      </c>
      <c r="L64" s="21" t="s">
        <v>40</v>
      </c>
      <c r="M64" s="21" t="s">
        <v>40</v>
      </c>
      <c r="N64" s="23" t="s">
        <v>4</v>
      </c>
      <c r="O64" s="92" t="s">
        <v>4</v>
      </c>
      <c r="P64" s="14"/>
    </row>
    <row r="65" spans="1:16" s="13" customFormat="1" ht="12.75" x14ac:dyDescent="0.2">
      <c r="A65" s="10" t="s">
        <v>38</v>
      </c>
      <c r="B65" s="132"/>
      <c r="C65" s="8" t="s">
        <v>33</v>
      </c>
      <c r="D65" s="18">
        <v>9.74</v>
      </c>
      <c r="E65" s="24">
        <f>AVERAGE(D58:D65)</f>
        <v>9.9124999999999996</v>
      </c>
      <c r="F65" s="21">
        <v>2.9100000000000001E-2</v>
      </c>
      <c r="G65" s="25">
        <f>AVERAGE(F58:F65)</f>
        <v>2.4525000000000005E-2</v>
      </c>
      <c r="H65" s="21">
        <v>2.0999999999999999E-3</v>
      </c>
      <c r="I65" s="25">
        <f>AVERAGE(H58:H65)</f>
        <v>1.4249999999999998E-3</v>
      </c>
      <c r="J65" s="21">
        <v>8.3000000000000001E-3</v>
      </c>
      <c r="K65" s="25">
        <f>AVERAGE(J58:J65)</f>
        <v>7.6500000000000005E-3</v>
      </c>
      <c r="L65" s="21" t="s">
        <v>40</v>
      </c>
      <c r="M65" s="21" t="s">
        <v>40</v>
      </c>
      <c r="N65" s="23" t="s">
        <v>4</v>
      </c>
      <c r="O65" s="92" t="s">
        <v>4</v>
      </c>
      <c r="P65" s="14"/>
    </row>
    <row r="66" spans="1:16" s="13" customFormat="1" ht="12.75" x14ac:dyDescent="0.2">
      <c r="A66" s="10" t="s">
        <v>38</v>
      </c>
      <c r="B66" s="132"/>
      <c r="C66" s="8" t="s">
        <v>34</v>
      </c>
      <c r="D66" s="18">
        <v>9.4</v>
      </c>
      <c r="E66" s="24">
        <f>AVERAGE(D58:D66)</f>
        <v>9.8555555555555561</v>
      </c>
      <c r="F66" s="21">
        <v>2.5499999999999998E-2</v>
      </c>
      <c r="G66" s="25">
        <f>AVERAGE(F58:F66)</f>
        <v>2.4633333333333337E-2</v>
      </c>
      <c r="H66" s="21">
        <v>1.4E-3</v>
      </c>
      <c r="I66" s="25">
        <f>AVERAGE(H58:H66)</f>
        <v>1.4222222222222221E-3</v>
      </c>
      <c r="J66" s="21">
        <v>6.0000000000000001E-3</v>
      </c>
      <c r="K66" s="25">
        <f>AVERAGE(J58:J66)</f>
        <v>7.4666666666666675E-3</v>
      </c>
      <c r="L66" s="21" t="s">
        <v>40</v>
      </c>
      <c r="M66" s="21" t="s">
        <v>40</v>
      </c>
      <c r="N66" s="23" t="s">
        <v>4</v>
      </c>
      <c r="O66" s="92" t="s">
        <v>4</v>
      </c>
      <c r="P66" s="14"/>
    </row>
    <row r="67" spans="1:16" s="13" customFormat="1" ht="12.75" x14ac:dyDescent="0.2">
      <c r="A67" s="10" t="s">
        <v>38</v>
      </c>
      <c r="B67" s="132"/>
      <c r="C67" s="8" t="s">
        <v>35</v>
      </c>
      <c r="D67" s="18">
        <v>9.48</v>
      </c>
      <c r="E67" s="24">
        <f>AVERAGE(D58:D67)</f>
        <v>9.8180000000000014</v>
      </c>
      <c r="F67" s="21">
        <v>2.3900000000000001E-2</v>
      </c>
      <c r="G67" s="25">
        <f>AVERAGE(F58:F67)</f>
        <v>2.4560000000000005E-2</v>
      </c>
      <c r="H67" s="21">
        <v>1.4E-3</v>
      </c>
      <c r="I67" s="25">
        <f>AVERAGE(H58:H67)</f>
        <v>1.4199999999999998E-3</v>
      </c>
      <c r="J67" s="21">
        <v>6.4000000000000003E-3</v>
      </c>
      <c r="K67" s="25">
        <f>AVERAGE(J58:J67)</f>
        <v>7.3600000000000011E-3</v>
      </c>
      <c r="L67" s="21" t="s">
        <v>40</v>
      </c>
      <c r="M67" s="21" t="s">
        <v>40</v>
      </c>
      <c r="N67" s="23" t="s">
        <v>4</v>
      </c>
      <c r="O67" s="92" t="s">
        <v>4</v>
      </c>
      <c r="P67" s="14"/>
    </row>
    <row r="68" spans="1:16" s="13" customFormat="1" ht="12.75" x14ac:dyDescent="0.2">
      <c r="A68" s="10" t="s">
        <v>38</v>
      </c>
      <c r="B68" s="132"/>
      <c r="C68" s="8" t="s">
        <v>36</v>
      </c>
      <c r="D68" s="18">
        <v>9.7100000000000009</v>
      </c>
      <c r="E68" s="24">
        <f>AVERAGE(D58:D68)</f>
        <v>9.8081818181818203</v>
      </c>
      <c r="F68" s="21">
        <v>2.53E-2</v>
      </c>
      <c r="G68" s="25">
        <f>AVERAGE(F58:F68)</f>
        <v>2.462727272727273E-2</v>
      </c>
      <c r="H68" s="21">
        <v>1.5E-3</v>
      </c>
      <c r="I68" s="25">
        <f>AVERAGE(H58:H68)</f>
        <v>1.4272727272727271E-3</v>
      </c>
      <c r="J68" s="21">
        <v>8.0999999999999996E-3</v>
      </c>
      <c r="K68" s="25">
        <f>AVERAGE(J58:J68)</f>
        <v>7.4272727272727277E-3</v>
      </c>
      <c r="L68" s="21" t="s">
        <v>40</v>
      </c>
      <c r="M68" s="21" t="s">
        <v>40</v>
      </c>
      <c r="N68" s="23" t="s">
        <v>4</v>
      </c>
      <c r="O68" s="92" t="s">
        <v>4</v>
      </c>
      <c r="P68" s="14"/>
    </row>
    <row r="69" spans="1:16" s="13" customFormat="1" ht="12.75" x14ac:dyDescent="0.2">
      <c r="A69" s="10" t="s">
        <v>38</v>
      </c>
      <c r="B69" s="132"/>
      <c r="C69" s="84" t="s">
        <v>37</v>
      </c>
      <c r="D69" s="18">
        <v>8.2200000000000006</v>
      </c>
      <c r="E69" s="24">
        <f>AVERAGE(D58:D69)</f>
        <v>9.6758333333333351</v>
      </c>
      <c r="F69" s="21">
        <v>2.23E-2</v>
      </c>
      <c r="G69" s="25">
        <f>AVERAGE(F58:F69)</f>
        <v>2.4433333333333335E-2</v>
      </c>
      <c r="H69" s="21">
        <v>1E-3</v>
      </c>
      <c r="I69" s="25">
        <f>AVERAGE(H58:H69)</f>
        <v>1.3916666666666667E-3</v>
      </c>
      <c r="J69" s="21">
        <v>1.0999999999999999E-2</v>
      </c>
      <c r="K69" s="25">
        <f>AVERAGE(J58:J69)</f>
        <v>7.7250000000000001E-3</v>
      </c>
      <c r="L69" s="21" t="s">
        <v>40</v>
      </c>
      <c r="M69" s="21" t="s">
        <v>40</v>
      </c>
      <c r="N69" s="23" t="s">
        <v>4</v>
      </c>
      <c r="O69" s="92" t="s">
        <v>4</v>
      </c>
      <c r="P69" s="14"/>
    </row>
    <row r="70" spans="1:16" s="13" customFormat="1" ht="12.75" x14ac:dyDescent="0.2">
      <c r="A70" s="16" t="s">
        <v>38</v>
      </c>
      <c r="B70" s="16"/>
      <c r="C70" s="16"/>
      <c r="D70" s="48">
        <f>AVERAGE(D58:D69)</f>
        <v>9.6758333333333351</v>
      </c>
      <c r="E70" s="16"/>
      <c r="F70" s="49">
        <f>AVERAGE(F58:F69)</f>
        <v>2.4433333333333335E-2</v>
      </c>
      <c r="G70" s="16"/>
      <c r="H70" s="49">
        <f>AVERAGE(H58:H69)</f>
        <v>1.3916666666666667E-3</v>
      </c>
      <c r="I70" s="16"/>
      <c r="J70" s="49">
        <f>AVERAGE(J58:J69)</f>
        <v>7.7250000000000001E-3</v>
      </c>
      <c r="K70" s="16"/>
      <c r="L70" s="16"/>
      <c r="M70" s="16"/>
      <c r="N70" s="16"/>
      <c r="O70" s="16"/>
      <c r="P70" s="14"/>
    </row>
    <row r="71" spans="1:16" s="13" customFormat="1" ht="12.75" x14ac:dyDescent="0.2">
      <c r="A71" s="17" t="s">
        <v>41</v>
      </c>
      <c r="B71" s="132" t="s">
        <v>42</v>
      </c>
      <c r="C71" s="84" t="s">
        <v>24</v>
      </c>
      <c r="D71" s="26">
        <v>6.71</v>
      </c>
      <c r="E71" s="27"/>
      <c r="F71" s="26">
        <v>0.77</v>
      </c>
      <c r="G71" s="27"/>
      <c r="H71" s="26">
        <v>0</v>
      </c>
      <c r="I71" s="27"/>
      <c r="J71" s="26">
        <v>0.39</v>
      </c>
      <c r="K71" s="27"/>
      <c r="L71" s="28" t="s">
        <v>43</v>
      </c>
      <c r="M71" s="29"/>
      <c r="N71" s="23" t="s">
        <v>4</v>
      </c>
      <c r="O71" s="95" t="s">
        <v>4</v>
      </c>
      <c r="P71" s="14"/>
    </row>
    <row r="72" spans="1:16" s="13" customFormat="1" ht="12.75" x14ac:dyDescent="0.2">
      <c r="A72" s="10" t="s">
        <v>41</v>
      </c>
      <c r="B72" s="132"/>
      <c r="C72" s="8" t="s">
        <v>27</v>
      </c>
      <c r="D72" s="26">
        <v>6.42</v>
      </c>
      <c r="E72" s="26">
        <v>6.55</v>
      </c>
      <c r="F72" s="26">
        <v>0.48</v>
      </c>
      <c r="G72" s="26">
        <v>0.56000000000000005</v>
      </c>
      <c r="H72" s="26">
        <v>0</v>
      </c>
      <c r="I72" s="26">
        <v>0</v>
      </c>
      <c r="J72" s="26">
        <v>0.36</v>
      </c>
      <c r="K72" s="26">
        <v>0.42</v>
      </c>
      <c r="L72" s="28" t="s">
        <v>43</v>
      </c>
      <c r="M72" s="28"/>
      <c r="N72" s="23" t="s">
        <v>4</v>
      </c>
      <c r="O72" s="92" t="s">
        <v>4</v>
      </c>
      <c r="P72" s="14"/>
    </row>
    <row r="73" spans="1:16" s="13" customFormat="1" ht="12.75" x14ac:dyDescent="0.2">
      <c r="A73" s="10" t="s">
        <v>41</v>
      </c>
      <c r="B73" s="132"/>
      <c r="C73" s="8" t="s">
        <v>28</v>
      </c>
      <c r="D73" s="26">
        <v>5.52</v>
      </c>
      <c r="E73" s="26">
        <v>5.6</v>
      </c>
      <c r="F73" s="26">
        <v>0.68</v>
      </c>
      <c r="G73" s="26">
        <v>0.57999999999999996</v>
      </c>
      <c r="H73" s="26">
        <v>0</v>
      </c>
      <c r="I73" s="26">
        <v>0</v>
      </c>
      <c r="J73" s="26">
        <v>0.53</v>
      </c>
      <c r="K73" s="26">
        <v>0.49</v>
      </c>
      <c r="L73" s="28" t="s">
        <v>43</v>
      </c>
      <c r="M73" s="28"/>
      <c r="N73" s="23" t="s">
        <v>4</v>
      </c>
      <c r="O73" s="92" t="s">
        <v>4</v>
      </c>
      <c r="P73" s="14"/>
    </row>
    <row r="74" spans="1:16" s="13" customFormat="1" ht="12.75" x14ac:dyDescent="0.2">
      <c r="A74" s="10" t="s">
        <v>41</v>
      </c>
      <c r="B74" s="132"/>
      <c r="C74" s="8" t="s">
        <v>29</v>
      </c>
      <c r="D74" s="26">
        <v>6.02</v>
      </c>
      <c r="E74" s="26">
        <v>5.36</v>
      </c>
      <c r="F74" s="26">
        <v>0.5</v>
      </c>
      <c r="G74" s="26">
        <v>0.68</v>
      </c>
      <c r="H74" s="26">
        <v>0</v>
      </c>
      <c r="I74" s="26">
        <v>0</v>
      </c>
      <c r="J74" s="26">
        <v>0.63</v>
      </c>
      <c r="K74" s="26">
        <v>0.53</v>
      </c>
      <c r="L74" s="28" t="s">
        <v>43</v>
      </c>
      <c r="M74" s="28"/>
      <c r="N74" s="23" t="s">
        <v>4</v>
      </c>
      <c r="O74" s="92" t="s">
        <v>4</v>
      </c>
      <c r="P74" s="14"/>
    </row>
    <row r="75" spans="1:16" s="13" customFormat="1" ht="12.75" x14ac:dyDescent="0.2">
      <c r="A75" s="10" t="s">
        <v>41</v>
      </c>
      <c r="B75" s="132"/>
      <c r="C75" s="8" t="s">
        <v>30</v>
      </c>
      <c r="D75" s="26">
        <v>6.58</v>
      </c>
      <c r="E75" s="26">
        <v>6.39</v>
      </c>
      <c r="F75" s="26">
        <v>0.61</v>
      </c>
      <c r="G75" s="26">
        <v>0.55000000000000004</v>
      </c>
      <c r="H75" s="26">
        <v>0</v>
      </c>
      <c r="I75" s="26">
        <v>0</v>
      </c>
      <c r="J75" s="26">
        <v>0.5</v>
      </c>
      <c r="K75" s="26">
        <v>0.56000000000000005</v>
      </c>
      <c r="L75" s="28" t="s">
        <v>43</v>
      </c>
      <c r="M75" s="28"/>
      <c r="N75" s="23" t="s">
        <v>4</v>
      </c>
      <c r="O75" s="92" t="s">
        <v>4</v>
      </c>
      <c r="P75" s="14"/>
    </row>
    <row r="76" spans="1:16" s="13" customFormat="1" ht="12.75" x14ac:dyDescent="0.2">
      <c r="A76" s="10" t="s">
        <v>41</v>
      </c>
      <c r="B76" s="132"/>
      <c r="C76" s="8" t="s">
        <v>31</v>
      </c>
      <c r="D76" s="26">
        <v>5.91</v>
      </c>
      <c r="E76" s="26">
        <v>6.25</v>
      </c>
      <c r="F76" s="26">
        <v>0.41</v>
      </c>
      <c r="G76" s="26">
        <v>0.54</v>
      </c>
      <c r="H76" s="26">
        <v>0</v>
      </c>
      <c r="I76" s="26">
        <v>0</v>
      </c>
      <c r="J76" s="26">
        <v>0.38</v>
      </c>
      <c r="K76" s="26">
        <v>0.41</v>
      </c>
      <c r="L76" s="28" t="s">
        <v>43</v>
      </c>
      <c r="M76" s="28"/>
      <c r="N76" s="23" t="s">
        <v>4</v>
      </c>
      <c r="O76" s="92" t="s">
        <v>4</v>
      </c>
      <c r="P76" s="14"/>
    </row>
    <row r="77" spans="1:16" s="13" customFormat="1" ht="12.75" x14ac:dyDescent="0.2">
      <c r="A77" s="10" t="s">
        <v>41</v>
      </c>
      <c r="B77" s="132"/>
      <c r="C77" s="8" t="s">
        <v>32</v>
      </c>
      <c r="D77" s="26">
        <v>6.88</v>
      </c>
      <c r="E77" s="26">
        <v>5.91</v>
      </c>
      <c r="F77" s="26">
        <v>0.52</v>
      </c>
      <c r="G77" s="26">
        <v>0.38</v>
      </c>
      <c r="H77" s="26">
        <v>0</v>
      </c>
      <c r="I77" s="26">
        <v>0</v>
      </c>
      <c r="J77" s="26">
        <v>0.69</v>
      </c>
      <c r="K77" s="26">
        <v>0.54</v>
      </c>
      <c r="L77" s="28" t="s">
        <v>43</v>
      </c>
      <c r="M77" s="28"/>
      <c r="N77" s="23" t="s">
        <v>4</v>
      </c>
      <c r="O77" s="92" t="s">
        <v>4</v>
      </c>
      <c r="P77" s="14"/>
    </row>
    <row r="78" spans="1:16" s="13" customFormat="1" ht="12.75" x14ac:dyDescent="0.2">
      <c r="A78" s="10" t="s">
        <v>41</v>
      </c>
      <c r="B78" s="132"/>
      <c r="C78" s="8" t="s">
        <v>33</v>
      </c>
      <c r="D78" s="26">
        <v>7.52</v>
      </c>
      <c r="E78" s="26">
        <v>7.58</v>
      </c>
      <c r="F78" s="26">
        <v>0.74</v>
      </c>
      <c r="G78" s="26">
        <v>0.6</v>
      </c>
      <c r="H78" s="26">
        <v>0</v>
      </c>
      <c r="I78" s="26">
        <v>0</v>
      </c>
      <c r="J78" s="26">
        <v>0.68</v>
      </c>
      <c r="K78" s="26">
        <v>0.72</v>
      </c>
      <c r="L78" s="28" t="s">
        <v>43</v>
      </c>
      <c r="M78" s="28"/>
      <c r="N78" s="23" t="s">
        <v>4</v>
      </c>
      <c r="O78" s="92" t="s">
        <v>4</v>
      </c>
      <c r="P78" s="14"/>
    </row>
    <row r="79" spans="1:16" s="13" customFormat="1" ht="12.75" x14ac:dyDescent="0.2">
      <c r="A79" s="10" t="s">
        <v>41</v>
      </c>
      <c r="B79" s="132"/>
      <c r="C79" s="8" t="s">
        <v>34</v>
      </c>
      <c r="D79" s="26">
        <v>6.69</v>
      </c>
      <c r="E79" s="26">
        <v>6.88</v>
      </c>
      <c r="F79" s="26">
        <v>0.54</v>
      </c>
      <c r="G79" s="26">
        <v>0.8</v>
      </c>
      <c r="H79" s="26">
        <v>0</v>
      </c>
      <c r="I79" s="26">
        <v>0</v>
      </c>
      <c r="J79" s="26">
        <v>0.33</v>
      </c>
      <c r="K79" s="26">
        <v>0.5</v>
      </c>
      <c r="L79" s="28" t="s">
        <v>43</v>
      </c>
      <c r="M79" s="28"/>
      <c r="N79" s="23" t="s">
        <v>4</v>
      </c>
      <c r="O79" s="92" t="s">
        <v>4</v>
      </c>
      <c r="P79" s="14"/>
    </row>
    <row r="80" spans="1:16" s="13" customFormat="1" ht="12.75" x14ac:dyDescent="0.2">
      <c r="A80" s="10" t="s">
        <v>41</v>
      </c>
      <c r="B80" s="132"/>
      <c r="C80" s="8" t="s">
        <v>35</v>
      </c>
      <c r="D80" s="26">
        <v>6.14</v>
      </c>
      <c r="E80" s="26">
        <v>6.26</v>
      </c>
      <c r="F80" s="26">
        <v>0.17</v>
      </c>
      <c r="G80" s="26">
        <v>0.22</v>
      </c>
      <c r="H80" s="26">
        <v>0</v>
      </c>
      <c r="I80" s="26">
        <v>0</v>
      </c>
      <c r="J80" s="26">
        <v>0.36</v>
      </c>
      <c r="K80" s="26">
        <v>0.36</v>
      </c>
      <c r="L80" s="28" t="s">
        <v>43</v>
      </c>
      <c r="M80" s="28"/>
      <c r="N80" s="23" t="s">
        <v>4</v>
      </c>
      <c r="O80" s="92" t="s">
        <v>4</v>
      </c>
      <c r="P80" s="14"/>
    </row>
    <row r="81" spans="1:16" s="13" customFormat="1" ht="12.75" x14ac:dyDescent="0.2">
      <c r="A81" s="10" t="s">
        <v>41</v>
      </c>
      <c r="B81" s="132"/>
      <c r="C81" s="8" t="s">
        <v>36</v>
      </c>
      <c r="D81" s="26">
        <v>5.69</v>
      </c>
      <c r="E81" s="26">
        <v>5.66</v>
      </c>
      <c r="F81" s="26">
        <v>0.41</v>
      </c>
      <c r="G81" s="26">
        <v>0.34</v>
      </c>
      <c r="H81" s="26">
        <v>0</v>
      </c>
      <c r="I81" s="26">
        <v>0</v>
      </c>
      <c r="J81" s="26">
        <v>0.33</v>
      </c>
      <c r="K81" s="26">
        <v>0.25</v>
      </c>
      <c r="L81" s="28" t="s">
        <v>43</v>
      </c>
      <c r="M81" s="28"/>
      <c r="N81" s="23" t="s">
        <v>4</v>
      </c>
      <c r="O81" s="92" t="s">
        <v>4</v>
      </c>
      <c r="P81" s="14"/>
    </row>
    <row r="82" spans="1:16" s="13" customFormat="1" ht="12.75" x14ac:dyDescent="0.2">
      <c r="A82" s="10" t="s">
        <v>41</v>
      </c>
      <c r="B82" s="132"/>
      <c r="C82" s="84" t="s">
        <v>37</v>
      </c>
      <c r="D82" s="26">
        <v>5.89</v>
      </c>
      <c r="E82" s="26">
        <v>5.86</v>
      </c>
      <c r="F82" s="26">
        <v>0.89</v>
      </c>
      <c r="G82" s="26">
        <v>0.89</v>
      </c>
      <c r="H82" s="26">
        <v>0</v>
      </c>
      <c r="I82" s="26">
        <v>0</v>
      </c>
      <c r="J82" s="26">
        <v>0.6</v>
      </c>
      <c r="K82" s="26">
        <v>0.59</v>
      </c>
      <c r="L82" s="28" t="s">
        <v>43</v>
      </c>
      <c r="M82" s="28"/>
      <c r="N82" s="23" t="s">
        <v>4</v>
      </c>
      <c r="O82" s="92" t="s">
        <v>4</v>
      </c>
      <c r="P82" s="14"/>
    </row>
    <row r="83" spans="1:16" s="13" customFormat="1" ht="12.75" x14ac:dyDescent="0.2">
      <c r="A83" s="16" t="s">
        <v>41</v>
      </c>
      <c r="B83" s="16"/>
      <c r="C83" s="16"/>
      <c r="D83" s="48">
        <f>AVERAGE(D71:D82)</f>
        <v>6.3308333333333335</v>
      </c>
      <c r="E83" s="16"/>
      <c r="F83" s="50">
        <f>AVERAGE(F71:F82)</f>
        <v>0.55999999999999994</v>
      </c>
      <c r="G83" s="51"/>
      <c r="H83" s="50">
        <f>AVERAGE(H71:H82)</f>
        <v>0</v>
      </c>
      <c r="I83" s="51"/>
      <c r="J83" s="50">
        <f>AVERAGE(J71:J82)</f>
        <v>0.48166666666666669</v>
      </c>
      <c r="K83" s="16"/>
      <c r="L83" s="16"/>
      <c r="M83" s="16"/>
      <c r="N83" s="16"/>
      <c r="O83" s="16"/>
      <c r="P83" s="14"/>
    </row>
    <row r="84" spans="1:16" s="13" customFormat="1" ht="12.75" x14ac:dyDescent="0.2">
      <c r="A84" s="17" t="s">
        <v>41</v>
      </c>
      <c r="B84" s="132" t="s">
        <v>44</v>
      </c>
      <c r="C84" s="84" t="s">
        <v>24</v>
      </c>
      <c r="D84" s="26">
        <v>6.71</v>
      </c>
      <c r="E84" s="27"/>
      <c r="F84" s="26">
        <v>1.05</v>
      </c>
      <c r="G84" s="27"/>
      <c r="H84" s="26">
        <v>0</v>
      </c>
      <c r="I84" s="27"/>
      <c r="J84" s="26">
        <v>0.46</v>
      </c>
      <c r="K84" s="27"/>
      <c r="L84" s="28" t="s">
        <v>43</v>
      </c>
      <c r="M84" s="29"/>
      <c r="N84" s="23" t="s">
        <v>4</v>
      </c>
      <c r="O84" s="95" t="s">
        <v>4</v>
      </c>
      <c r="P84" s="14"/>
    </row>
    <row r="85" spans="1:16" s="13" customFormat="1" ht="12.75" x14ac:dyDescent="0.2">
      <c r="A85" s="10" t="s">
        <v>41</v>
      </c>
      <c r="B85" s="132"/>
      <c r="C85" s="8" t="s">
        <v>27</v>
      </c>
      <c r="D85" s="26">
        <v>6.42</v>
      </c>
      <c r="E85" s="26">
        <v>6.55</v>
      </c>
      <c r="F85" s="26">
        <v>0.85</v>
      </c>
      <c r="G85" s="26">
        <v>0.95</v>
      </c>
      <c r="H85" s="26">
        <v>0</v>
      </c>
      <c r="I85" s="26">
        <v>0</v>
      </c>
      <c r="J85" s="26">
        <v>0.11</v>
      </c>
      <c r="K85" s="26">
        <v>0.28000000000000003</v>
      </c>
      <c r="L85" s="28" t="s">
        <v>43</v>
      </c>
      <c r="M85" s="28"/>
      <c r="N85" s="23" t="s">
        <v>4</v>
      </c>
      <c r="O85" s="92" t="s">
        <v>4</v>
      </c>
      <c r="P85" s="14"/>
    </row>
    <row r="86" spans="1:16" s="13" customFormat="1" ht="12.75" x14ac:dyDescent="0.2">
      <c r="A86" s="10" t="s">
        <v>41</v>
      </c>
      <c r="B86" s="132"/>
      <c r="C86" s="8" t="s">
        <v>28</v>
      </c>
      <c r="D86" s="26">
        <v>5.52</v>
      </c>
      <c r="E86" s="26">
        <v>5.6</v>
      </c>
      <c r="F86" s="26">
        <v>1.1399999999999999</v>
      </c>
      <c r="G86" s="26">
        <v>1.07</v>
      </c>
      <c r="H86" s="26">
        <v>0</v>
      </c>
      <c r="I86" s="26">
        <v>0</v>
      </c>
      <c r="J86" s="26">
        <v>0.18</v>
      </c>
      <c r="K86" s="26">
        <v>0.21</v>
      </c>
      <c r="L86" s="28" t="s">
        <v>43</v>
      </c>
      <c r="M86" s="28"/>
      <c r="N86" s="23" t="s">
        <v>4</v>
      </c>
      <c r="O86" s="92" t="s">
        <v>4</v>
      </c>
      <c r="P86" s="14"/>
    </row>
    <row r="87" spans="1:16" s="13" customFormat="1" ht="12.75" x14ac:dyDescent="0.2">
      <c r="A87" s="10" t="s">
        <v>41</v>
      </c>
      <c r="B87" s="132"/>
      <c r="C87" s="8" t="s">
        <v>29</v>
      </c>
      <c r="D87" s="26">
        <v>6.02</v>
      </c>
      <c r="E87" s="26">
        <v>5.36</v>
      </c>
      <c r="F87" s="26">
        <v>1.32</v>
      </c>
      <c r="G87" s="26">
        <v>1.1200000000000001</v>
      </c>
      <c r="H87" s="26">
        <v>0</v>
      </c>
      <c r="I87" s="26">
        <v>0</v>
      </c>
      <c r="J87" s="26">
        <v>0.47</v>
      </c>
      <c r="K87" s="26">
        <v>0.18</v>
      </c>
      <c r="L87" s="28" t="s">
        <v>43</v>
      </c>
      <c r="M87" s="28"/>
      <c r="N87" s="23" t="s">
        <v>4</v>
      </c>
      <c r="O87" s="92" t="s">
        <v>4</v>
      </c>
      <c r="P87" s="14"/>
    </row>
    <row r="88" spans="1:16" s="13" customFormat="1" ht="12.75" x14ac:dyDescent="0.2">
      <c r="A88" s="10" t="s">
        <v>41</v>
      </c>
      <c r="B88" s="132"/>
      <c r="C88" s="8" t="s">
        <v>30</v>
      </c>
      <c r="D88" s="26">
        <v>6.58</v>
      </c>
      <c r="E88" s="26">
        <v>6.39</v>
      </c>
      <c r="F88" s="26">
        <v>1.61</v>
      </c>
      <c r="G88" s="26">
        <v>1.66</v>
      </c>
      <c r="H88" s="26">
        <v>0</v>
      </c>
      <c r="I88" s="26">
        <v>0</v>
      </c>
      <c r="J88" s="26">
        <v>0.56000000000000005</v>
      </c>
      <c r="K88" s="26">
        <v>0.59</v>
      </c>
      <c r="L88" s="28" t="s">
        <v>43</v>
      </c>
      <c r="M88" s="28"/>
      <c r="N88" s="23" t="s">
        <v>4</v>
      </c>
      <c r="O88" s="92" t="s">
        <v>4</v>
      </c>
      <c r="P88" s="14"/>
    </row>
    <row r="89" spans="1:16" s="13" customFormat="1" ht="12.75" x14ac:dyDescent="0.2">
      <c r="A89" s="10" t="s">
        <v>41</v>
      </c>
      <c r="B89" s="132"/>
      <c r="C89" s="8" t="s">
        <v>31</v>
      </c>
      <c r="D89" s="26">
        <v>5.91</v>
      </c>
      <c r="E89" s="26">
        <v>6.25</v>
      </c>
      <c r="F89" s="26">
        <v>0.96</v>
      </c>
      <c r="G89" s="26">
        <v>1.26</v>
      </c>
      <c r="H89" s="26">
        <v>0</v>
      </c>
      <c r="I89" s="26">
        <v>0</v>
      </c>
      <c r="J89" s="26">
        <v>0</v>
      </c>
      <c r="K89" s="26">
        <v>0.28999999999999998</v>
      </c>
      <c r="L89" s="28" t="s">
        <v>43</v>
      </c>
      <c r="M89" s="28"/>
      <c r="N89" s="23" t="s">
        <v>4</v>
      </c>
      <c r="O89" s="92" t="s">
        <v>4</v>
      </c>
      <c r="P89" s="14"/>
    </row>
    <row r="90" spans="1:16" s="13" customFormat="1" ht="12.75" x14ac:dyDescent="0.2">
      <c r="A90" s="10" t="s">
        <v>41</v>
      </c>
      <c r="B90" s="132"/>
      <c r="C90" s="8" t="s">
        <v>32</v>
      </c>
      <c r="D90" s="26">
        <v>6.88</v>
      </c>
      <c r="E90" s="26">
        <v>5.91</v>
      </c>
      <c r="F90" s="26">
        <v>0.93</v>
      </c>
      <c r="G90" s="26">
        <v>0.93</v>
      </c>
      <c r="H90" s="26">
        <v>0</v>
      </c>
      <c r="I90" s="26">
        <v>0</v>
      </c>
      <c r="J90" s="26">
        <v>0.09</v>
      </c>
      <c r="K90" s="26">
        <v>0.08</v>
      </c>
      <c r="L90" s="28" t="s">
        <v>43</v>
      </c>
      <c r="M90" s="28"/>
      <c r="N90" s="23" t="s">
        <v>4</v>
      </c>
      <c r="O90" s="92" t="s">
        <v>4</v>
      </c>
      <c r="P90" s="14"/>
    </row>
    <row r="91" spans="1:16" s="13" customFormat="1" ht="12.75" x14ac:dyDescent="0.2">
      <c r="A91" s="10" t="s">
        <v>41</v>
      </c>
      <c r="B91" s="132"/>
      <c r="C91" s="8" t="s">
        <v>33</v>
      </c>
      <c r="D91" s="26">
        <v>7.52</v>
      </c>
      <c r="E91" s="26">
        <v>7.58</v>
      </c>
      <c r="F91" s="26">
        <v>1.36</v>
      </c>
      <c r="G91" s="26">
        <v>1.1399999999999999</v>
      </c>
      <c r="H91" s="26">
        <v>0</v>
      </c>
      <c r="I91" s="26">
        <v>0</v>
      </c>
      <c r="J91" s="26">
        <v>0.09</v>
      </c>
      <c r="K91" s="26">
        <v>0.04</v>
      </c>
      <c r="L91" s="28" t="s">
        <v>43</v>
      </c>
      <c r="M91" s="28"/>
      <c r="N91" s="23" t="s">
        <v>4</v>
      </c>
      <c r="O91" s="92" t="s">
        <v>4</v>
      </c>
      <c r="P91" s="14"/>
    </row>
    <row r="92" spans="1:16" s="13" customFormat="1" ht="12.75" x14ac:dyDescent="0.2">
      <c r="A92" s="10" t="s">
        <v>41</v>
      </c>
      <c r="B92" s="132"/>
      <c r="C92" s="8" t="s">
        <v>34</v>
      </c>
      <c r="D92" s="26">
        <v>6.69</v>
      </c>
      <c r="E92" s="26">
        <v>6.88</v>
      </c>
      <c r="F92" s="26">
        <v>0.61</v>
      </c>
      <c r="G92" s="26">
        <v>1.03</v>
      </c>
      <c r="H92" s="26">
        <v>0</v>
      </c>
      <c r="I92" s="26">
        <v>0</v>
      </c>
      <c r="J92" s="26">
        <v>0.19</v>
      </c>
      <c r="K92" s="26">
        <v>0.2</v>
      </c>
      <c r="L92" s="28" t="s">
        <v>43</v>
      </c>
      <c r="M92" s="28"/>
      <c r="N92" s="23" t="s">
        <v>4</v>
      </c>
      <c r="O92" s="92" t="s">
        <v>4</v>
      </c>
      <c r="P92" s="14"/>
    </row>
    <row r="93" spans="1:16" s="13" customFormat="1" ht="12.75" x14ac:dyDescent="0.2">
      <c r="A93" s="10" t="s">
        <v>41</v>
      </c>
      <c r="B93" s="132"/>
      <c r="C93" s="8" t="s">
        <v>35</v>
      </c>
      <c r="D93" s="26">
        <v>6.14</v>
      </c>
      <c r="E93" s="26">
        <v>6.26</v>
      </c>
      <c r="F93" s="26">
        <v>0.25</v>
      </c>
      <c r="G93" s="26">
        <v>0.34</v>
      </c>
      <c r="H93" s="26">
        <v>0</v>
      </c>
      <c r="I93" s="26">
        <v>0</v>
      </c>
      <c r="J93" s="26">
        <v>0.08</v>
      </c>
      <c r="K93" s="26">
        <v>0.1</v>
      </c>
      <c r="L93" s="28" t="s">
        <v>43</v>
      </c>
      <c r="M93" s="28"/>
      <c r="N93" s="23" t="s">
        <v>4</v>
      </c>
      <c r="O93" s="92" t="s">
        <v>4</v>
      </c>
      <c r="P93" s="14"/>
    </row>
    <row r="94" spans="1:16" s="13" customFormat="1" ht="12.75" x14ac:dyDescent="0.2">
      <c r="A94" s="10" t="s">
        <v>41</v>
      </c>
      <c r="B94" s="132"/>
      <c r="C94" s="8" t="s">
        <v>36</v>
      </c>
      <c r="D94" s="26">
        <v>5.69</v>
      </c>
      <c r="E94" s="26">
        <v>5.66</v>
      </c>
      <c r="F94" s="26">
        <v>0.7</v>
      </c>
      <c r="G94" s="26">
        <v>0.44</v>
      </c>
      <c r="H94" s="26">
        <v>0</v>
      </c>
      <c r="I94" s="26">
        <v>0</v>
      </c>
      <c r="J94" s="26">
        <v>0.09</v>
      </c>
      <c r="K94" s="26">
        <v>0.14000000000000001</v>
      </c>
      <c r="L94" s="28" t="s">
        <v>43</v>
      </c>
      <c r="M94" s="28"/>
      <c r="N94" s="23" t="s">
        <v>4</v>
      </c>
      <c r="O94" s="92" t="s">
        <v>4</v>
      </c>
      <c r="P94" s="14"/>
    </row>
    <row r="95" spans="1:16" s="13" customFormat="1" ht="12.75" x14ac:dyDescent="0.2">
      <c r="A95" s="10" t="s">
        <v>41</v>
      </c>
      <c r="B95" s="132"/>
      <c r="C95" s="84" t="s">
        <v>37</v>
      </c>
      <c r="D95" s="26">
        <v>5.89</v>
      </c>
      <c r="E95" s="26">
        <v>5.86</v>
      </c>
      <c r="F95" s="26">
        <v>0.6</v>
      </c>
      <c r="G95" s="26">
        <v>0.7</v>
      </c>
      <c r="H95" s="26">
        <v>0</v>
      </c>
      <c r="I95" s="26">
        <v>0</v>
      </c>
      <c r="J95" s="26">
        <v>0.17</v>
      </c>
      <c r="K95" s="26">
        <v>0.16</v>
      </c>
      <c r="L95" s="28" t="s">
        <v>43</v>
      </c>
      <c r="M95" s="28"/>
      <c r="N95" s="23" t="s">
        <v>4</v>
      </c>
      <c r="O95" s="92" t="s">
        <v>4</v>
      </c>
      <c r="P95" s="14"/>
    </row>
    <row r="96" spans="1:16" s="13" customFormat="1" ht="12.75" x14ac:dyDescent="0.2">
      <c r="A96" s="16" t="s">
        <v>41</v>
      </c>
      <c r="B96" s="16"/>
      <c r="C96" s="16"/>
      <c r="D96" s="48">
        <f>AVERAGE(D84:D95)</f>
        <v>6.3308333333333335</v>
      </c>
      <c r="E96" s="16"/>
      <c r="F96" s="50">
        <f>AVERAGE(F84:F95)</f>
        <v>0.94833333333333325</v>
      </c>
      <c r="G96" s="51"/>
      <c r="H96" s="50">
        <f>AVERAGE(H84:H95)</f>
        <v>0</v>
      </c>
      <c r="I96" s="51"/>
      <c r="J96" s="50">
        <f>AVERAGE(J84:J95)</f>
        <v>0.20750000000000002</v>
      </c>
      <c r="K96" s="16"/>
      <c r="L96" s="16"/>
      <c r="M96" s="16"/>
      <c r="N96" s="16"/>
      <c r="O96" s="16"/>
      <c r="P96" s="14"/>
    </row>
    <row r="97" spans="1:16" s="13" customFormat="1" ht="12.75" x14ac:dyDescent="0.2">
      <c r="A97" s="17" t="s">
        <v>45</v>
      </c>
      <c r="B97" s="132" t="s">
        <v>46</v>
      </c>
      <c r="C97" s="84" t="s">
        <v>24</v>
      </c>
      <c r="D97" s="30">
        <v>2.2999999999999998</v>
      </c>
      <c r="E97" s="27"/>
      <c r="F97" s="25">
        <v>1.3253033415256991E-2</v>
      </c>
      <c r="G97" s="27"/>
      <c r="H97" s="25">
        <v>0</v>
      </c>
      <c r="I97" s="27"/>
      <c r="J97" s="25">
        <v>5.9291305657912623E-3</v>
      </c>
      <c r="K97" s="27"/>
      <c r="L97" s="10" t="s">
        <v>43</v>
      </c>
      <c r="M97" s="27"/>
      <c r="N97" s="23" t="s">
        <v>4</v>
      </c>
      <c r="O97" s="96" t="s">
        <v>4</v>
      </c>
      <c r="P97" s="14"/>
    </row>
    <row r="98" spans="1:16" s="13" customFormat="1" ht="12.75" x14ac:dyDescent="0.2">
      <c r="A98" s="10" t="s">
        <v>45</v>
      </c>
      <c r="B98" s="132"/>
      <c r="C98" s="8" t="s">
        <v>27</v>
      </c>
      <c r="D98" s="30">
        <v>2.0714285714285716</v>
      </c>
      <c r="E98" s="30">
        <v>2.0935714244842529</v>
      </c>
      <c r="F98" s="25">
        <v>2.0416145811784685E-2</v>
      </c>
      <c r="G98" s="25">
        <v>1.6575851689801586E-2</v>
      </c>
      <c r="H98" s="25">
        <v>1.6307893020221786E-4</v>
      </c>
      <c r="I98" s="25">
        <v>2.1743857360295716E-5</v>
      </c>
      <c r="J98" s="25">
        <v>3.8129106550159175E-3</v>
      </c>
      <c r="K98" s="25">
        <v>4.9538390701551168E-3</v>
      </c>
      <c r="L98" s="10" t="s">
        <v>43</v>
      </c>
      <c r="M98" s="10"/>
      <c r="N98" s="23" t="s">
        <v>4</v>
      </c>
      <c r="O98" s="92" t="s">
        <v>4</v>
      </c>
      <c r="P98" s="14"/>
    </row>
    <row r="99" spans="1:16" s="13" customFormat="1" ht="12.75" x14ac:dyDescent="0.2">
      <c r="A99" s="10" t="s">
        <v>45</v>
      </c>
      <c r="B99" s="132"/>
      <c r="C99" s="8" t="s">
        <v>28</v>
      </c>
      <c r="D99" s="30">
        <v>1.6516129032258067</v>
      </c>
      <c r="E99" s="30">
        <v>2.0016128901512391</v>
      </c>
      <c r="F99" s="25">
        <v>1.8690805077804712E-2</v>
      </c>
      <c r="G99" s="25">
        <v>2.0861223992780519E-2</v>
      </c>
      <c r="H99" s="25">
        <v>3.094458914935773E-4</v>
      </c>
      <c r="I99" s="25">
        <v>2.5648072742431632E-4</v>
      </c>
      <c r="J99" s="25">
        <v>4.1545769561677649E-3</v>
      </c>
      <c r="K99" s="25">
        <v>4.7120931631437334E-3</v>
      </c>
      <c r="L99" s="10" t="s">
        <v>43</v>
      </c>
      <c r="M99" s="10"/>
      <c r="N99" s="23" t="s">
        <v>4</v>
      </c>
      <c r="O99" s="92" t="s">
        <v>4</v>
      </c>
      <c r="P99" s="14"/>
    </row>
    <row r="100" spans="1:16" s="13" customFormat="1" ht="12.75" x14ac:dyDescent="0.2">
      <c r="A100" s="10" t="s">
        <v>45</v>
      </c>
      <c r="B100" s="132"/>
      <c r="C100" s="8" t="s">
        <v>29</v>
      </c>
      <c r="D100" s="30">
        <v>4.286666666666668</v>
      </c>
      <c r="E100" s="30">
        <v>2.5320000092188519</v>
      </c>
      <c r="F100" s="25">
        <v>1.5601662815634101E-2</v>
      </c>
      <c r="G100" s="25">
        <v>1.5946928652018723E-2</v>
      </c>
      <c r="H100" s="25">
        <v>1.4245014245014247E-4</v>
      </c>
      <c r="I100" s="25">
        <v>2.9678587649602142E-4</v>
      </c>
      <c r="J100" s="25">
        <v>9.1196890205541975E-3</v>
      </c>
      <c r="K100" s="25">
        <v>5.520895104384649E-3</v>
      </c>
      <c r="L100" s="10" t="s">
        <v>43</v>
      </c>
      <c r="M100" s="10"/>
      <c r="N100" s="23" t="s">
        <v>4</v>
      </c>
      <c r="O100" s="92" t="s">
        <v>4</v>
      </c>
      <c r="P100" s="14"/>
    </row>
    <row r="101" spans="1:16" s="13" customFormat="1" ht="12.75" x14ac:dyDescent="0.2">
      <c r="A101" s="10" t="s">
        <v>45</v>
      </c>
      <c r="B101" s="132"/>
      <c r="C101" s="8" t="s">
        <v>30</v>
      </c>
      <c r="D101" s="30">
        <v>3.6193548387096772</v>
      </c>
      <c r="E101" s="30">
        <v>4.4441935477718228</v>
      </c>
      <c r="F101" s="25">
        <v>1.9070780440359848E-2</v>
      </c>
      <c r="G101" s="25">
        <v>1.8109879979870125E-2</v>
      </c>
      <c r="H101" s="25">
        <v>5.6099979107560147E-4</v>
      </c>
      <c r="I101" s="25">
        <v>2.1744832396178982E-4</v>
      </c>
      <c r="J101" s="25">
        <v>5.8074551523811142E-3</v>
      </c>
      <c r="K101" s="25">
        <v>8.2052275683410052E-3</v>
      </c>
      <c r="L101" s="10" t="s">
        <v>43</v>
      </c>
      <c r="M101" s="10"/>
      <c r="N101" s="23" t="s">
        <v>4</v>
      </c>
      <c r="O101" s="92" t="s">
        <v>4</v>
      </c>
      <c r="P101" s="14"/>
    </row>
    <row r="102" spans="1:16" s="13" customFormat="1" ht="12.75" x14ac:dyDescent="0.2">
      <c r="A102" s="10" t="s">
        <v>45</v>
      </c>
      <c r="B102" s="132"/>
      <c r="C102" s="8" t="s">
        <v>31</v>
      </c>
      <c r="D102" s="30">
        <v>3.49</v>
      </c>
      <c r="E102" s="30">
        <v>3.846000011761983</v>
      </c>
      <c r="F102" s="25">
        <v>2.3994987795006223E-2</v>
      </c>
      <c r="G102" s="25">
        <v>2.2128358486384555E-2</v>
      </c>
      <c r="H102" s="25">
        <v>5.7169740714044508E-4</v>
      </c>
      <c r="I102" s="25">
        <v>7.443113784244052E-4</v>
      </c>
      <c r="J102" s="25">
        <v>9.0470023081615364E-3</v>
      </c>
      <c r="K102" s="25">
        <v>7.8764345921852035E-3</v>
      </c>
      <c r="L102" s="10" t="s">
        <v>43</v>
      </c>
      <c r="M102" s="10"/>
      <c r="N102" s="23" t="s">
        <v>4</v>
      </c>
      <c r="O102" s="92" t="s">
        <v>4</v>
      </c>
      <c r="P102" s="14"/>
    </row>
    <row r="103" spans="1:16" s="13" customFormat="1" ht="12.75" x14ac:dyDescent="0.2">
      <c r="A103" s="10" t="s">
        <v>45</v>
      </c>
      <c r="B103" s="132"/>
      <c r="C103" s="8" t="s">
        <v>32</v>
      </c>
      <c r="D103" s="30">
        <v>2.8096774193548391</v>
      </c>
      <c r="E103" s="30">
        <v>2.6264516153643207</v>
      </c>
      <c r="F103" s="25">
        <v>1.3822889833318254E-2</v>
      </c>
      <c r="G103" s="25">
        <v>1.6661822000025629E-2</v>
      </c>
      <c r="H103" s="25">
        <v>7.1520652165813446E-4</v>
      </c>
      <c r="I103" s="25">
        <v>6.2360943373601597E-4</v>
      </c>
      <c r="J103" s="25">
        <v>1.3258723190059291E-2</v>
      </c>
      <c r="K103" s="25">
        <v>9.9807945310705394E-3</v>
      </c>
      <c r="L103" s="10" t="s">
        <v>43</v>
      </c>
      <c r="M103" s="10"/>
      <c r="N103" s="23" t="s">
        <v>4</v>
      </c>
      <c r="O103" s="92" t="s">
        <v>4</v>
      </c>
      <c r="P103" s="14"/>
    </row>
    <row r="104" spans="1:16" s="13" customFormat="1" ht="12.75" x14ac:dyDescent="0.2">
      <c r="A104" s="10" t="s">
        <v>45</v>
      </c>
      <c r="B104" s="132"/>
      <c r="C104" s="8" t="s">
        <v>33</v>
      </c>
      <c r="D104" s="30">
        <v>3.8709677419354844</v>
      </c>
      <c r="E104" s="30">
        <v>3.5441935446954544</v>
      </c>
      <c r="F104" s="25">
        <v>1.9246358484972942E-2</v>
      </c>
      <c r="G104" s="25">
        <v>1.7824879379098449E-2</v>
      </c>
      <c r="H104" s="25">
        <v>5.6685777520952075E-4</v>
      </c>
      <c r="I104" s="25">
        <v>5.0566163408629153E-4</v>
      </c>
      <c r="J104" s="25">
        <v>1.0484293524469567E-2</v>
      </c>
      <c r="K104" s="25">
        <v>1.2640374032766752E-2</v>
      </c>
      <c r="L104" s="10" t="s">
        <v>43</v>
      </c>
      <c r="M104" s="10"/>
      <c r="N104" s="23" t="s">
        <v>4</v>
      </c>
      <c r="O104" s="92" t="s">
        <v>4</v>
      </c>
      <c r="P104" s="14"/>
    </row>
    <row r="105" spans="1:16" s="13" customFormat="1" ht="12.75" x14ac:dyDescent="0.2">
      <c r="A105" s="10" t="s">
        <v>45</v>
      </c>
      <c r="B105" s="132"/>
      <c r="C105" s="8" t="s">
        <v>34</v>
      </c>
      <c r="D105" s="30">
        <v>5.9366666666666674</v>
      </c>
      <c r="E105" s="30">
        <v>5.1020000298817951</v>
      </c>
      <c r="F105" s="25">
        <v>2.8218907000499227E-2</v>
      </c>
      <c r="G105" s="25">
        <v>2.3343639078154618E-2</v>
      </c>
      <c r="H105" s="25">
        <v>7.3742025496411452E-4</v>
      </c>
      <c r="I105" s="25">
        <v>8.802596242314262E-4</v>
      </c>
      <c r="J105" s="25">
        <v>1.1941886645383402E-2</v>
      </c>
      <c r="K105" s="25">
        <v>1.1229158158400801E-2</v>
      </c>
      <c r="L105" s="10" t="s">
        <v>43</v>
      </c>
      <c r="M105" s="10"/>
      <c r="N105" s="23" t="s">
        <v>4</v>
      </c>
      <c r="O105" s="92" t="s">
        <v>4</v>
      </c>
      <c r="P105" s="14"/>
    </row>
    <row r="106" spans="1:16" s="13" customFormat="1" ht="12.75" x14ac:dyDescent="0.2">
      <c r="A106" s="10" t="s">
        <v>45</v>
      </c>
      <c r="B106" s="132"/>
      <c r="C106" s="8" t="s">
        <v>35</v>
      </c>
      <c r="D106" s="30">
        <v>3.5903225806451613</v>
      </c>
      <c r="E106" s="30">
        <v>4.5596773701329383</v>
      </c>
      <c r="F106" s="25">
        <v>1.1184763277991132E-2</v>
      </c>
      <c r="G106" s="25">
        <v>2.0036199492532467E-2</v>
      </c>
      <c r="H106" s="25">
        <v>5.8326996904106937E-4</v>
      </c>
      <c r="I106" s="25">
        <v>6.3990943236574436E-4</v>
      </c>
      <c r="J106" s="25">
        <v>6.082277654630857E-3</v>
      </c>
      <c r="K106" s="25">
        <v>8.5069697674512498E-3</v>
      </c>
      <c r="L106" s="10" t="s">
        <v>43</v>
      </c>
      <c r="M106" s="10"/>
      <c r="N106" s="23" t="s">
        <v>4</v>
      </c>
      <c r="O106" s="92" t="s">
        <v>4</v>
      </c>
      <c r="P106" s="14"/>
    </row>
    <row r="107" spans="1:16" s="13" customFormat="1" ht="12.75" x14ac:dyDescent="0.2">
      <c r="A107" s="10" t="s">
        <v>45</v>
      </c>
      <c r="B107" s="132"/>
      <c r="C107" s="8" t="s">
        <v>36</v>
      </c>
      <c r="D107" s="30">
        <v>4.883333333333332</v>
      </c>
      <c r="E107" s="30">
        <v>3.9916666666666667</v>
      </c>
      <c r="F107" s="25">
        <v>8.6855641838861665E-3</v>
      </c>
      <c r="G107" s="25">
        <v>8.0879823270310382E-3</v>
      </c>
      <c r="H107" s="25">
        <v>2.9629629629629629E-4</v>
      </c>
      <c r="I107" s="25">
        <v>4.4728015686919796E-4</v>
      </c>
      <c r="J107" s="25">
        <v>8.9817083755439914E-3</v>
      </c>
      <c r="K107" s="25">
        <v>7.2612159605108841E-3</v>
      </c>
      <c r="L107" s="10" t="s">
        <v>43</v>
      </c>
      <c r="M107" s="10"/>
      <c r="N107" s="23" t="s">
        <v>4</v>
      </c>
      <c r="O107" s="92" t="s">
        <v>4</v>
      </c>
      <c r="P107" s="14"/>
    </row>
    <row r="108" spans="1:16" s="13" customFormat="1" ht="12.75" x14ac:dyDescent="0.2">
      <c r="A108" s="10" t="s">
        <v>45</v>
      </c>
      <c r="B108" s="132"/>
      <c r="C108" s="84" t="s">
        <v>37</v>
      </c>
      <c r="D108" s="30">
        <v>3.6709677419354834</v>
      </c>
      <c r="E108" s="30">
        <v>4.6238709342095161</v>
      </c>
      <c r="F108" s="25">
        <v>1.6450621734767652E-2</v>
      </c>
      <c r="G108" s="25">
        <v>1.4983628021789345E-2</v>
      </c>
      <c r="H108" s="25">
        <v>0</v>
      </c>
      <c r="I108" s="25">
        <v>0</v>
      </c>
      <c r="J108" s="25">
        <v>7.927903268275853E-3</v>
      </c>
      <c r="K108" s="25">
        <v>8.1428295662125082E-3</v>
      </c>
      <c r="L108" s="10" t="s">
        <v>43</v>
      </c>
      <c r="M108" s="10"/>
      <c r="N108" s="23" t="s">
        <v>4</v>
      </c>
      <c r="O108" s="92" t="s">
        <v>4</v>
      </c>
      <c r="P108" s="14"/>
    </row>
    <row r="109" spans="1:16" s="13" customFormat="1" ht="12.75" x14ac:dyDescent="0.2">
      <c r="A109" s="16" t="s">
        <v>45</v>
      </c>
      <c r="B109" s="16"/>
      <c r="C109" s="16"/>
      <c r="D109" s="48">
        <f>AVERAGE(D97:D108)</f>
        <v>3.5150832053251411</v>
      </c>
      <c r="E109" s="16"/>
      <c r="F109" s="49">
        <f>AVERAGE(F97:F108)</f>
        <v>1.7386376655940162E-2</v>
      </c>
      <c r="G109" s="16"/>
      <c r="H109" s="49">
        <f>AVERAGE(H97:H108)</f>
        <v>3.8722691496092659E-4</v>
      </c>
      <c r="I109" s="16"/>
      <c r="J109" s="49">
        <f>AVERAGE(J97:J108)</f>
        <v>8.0456297763695627E-3</v>
      </c>
      <c r="K109" s="16"/>
      <c r="L109" s="16"/>
      <c r="M109" s="16"/>
      <c r="N109" s="16"/>
      <c r="O109" s="16"/>
      <c r="P109" s="14"/>
    </row>
    <row r="110" spans="1:16" s="13" customFormat="1" ht="12.75" x14ac:dyDescent="0.2">
      <c r="A110" s="17" t="s">
        <v>50</v>
      </c>
      <c r="B110" s="132" t="s">
        <v>51</v>
      </c>
      <c r="C110" s="84" t="s">
        <v>24</v>
      </c>
      <c r="D110" s="10">
        <v>4.4000000000000004</v>
      </c>
      <c r="E110" s="19">
        <v>2.91</v>
      </c>
      <c r="F110" s="10">
        <v>0.25</v>
      </c>
      <c r="G110" s="19">
        <v>0.26</v>
      </c>
      <c r="H110" s="10">
        <v>0</v>
      </c>
      <c r="I110" s="19">
        <v>0</v>
      </c>
      <c r="J110" s="10">
        <v>0</v>
      </c>
      <c r="K110" s="19">
        <v>0</v>
      </c>
      <c r="L110" s="10">
        <v>0</v>
      </c>
      <c r="M110" s="19">
        <v>0</v>
      </c>
      <c r="N110" s="23" t="s">
        <v>4</v>
      </c>
      <c r="O110" s="91" t="s">
        <v>4</v>
      </c>
      <c r="P110" s="14"/>
    </row>
    <row r="111" spans="1:16" s="13" customFormat="1" ht="12.75" x14ac:dyDescent="0.2">
      <c r="A111" s="10" t="s">
        <v>50</v>
      </c>
      <c r="B111" s="132"/>
      <c r="C111" s="8" t="s">
        <v>27</v>
      </c>
      <c r="D111" s="10">
        <v>4.4000000000000004</v>
      </c>
      <c r="E111" s="10">
        <v>3.63</v>
      </c>
      <c r="F111" s="10">
        <v>0.72</v>
      </c>
      <c r="G111" s="10">
        <v>0.67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23" t="s">
        <v>4</v>
      </c>
      <c r="O111" s="92" t="s">
        <v>4</v>
      </c>
      <c r="P111" s="14"/>
    </row>
    <row r="112" spans="1:16" s="13" customFormat="1" ht="12.75" x14ac:dyDescent="0.2">
      <c r="A112" s="10" t="s">
        <v>50</v>
      </c>
      <c r="B112" s="132"/>
      <c r="C112" s="8" t="s">
        <v>28</v>
      </c>
      <c r="D112" s="10">
        <v>2.6</v>
      </c>
      <c r="E112" s="10">
        <v>2.38</v>
      </c>
      <c r="F112" s="10">
        <v>0.22</v>
      </c>
      <c r="G112" s="10">
        <v>0.24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23" t="s">
        <v>4</v>
      </c>
      <c r="O112" s="92" t="s">
        <v>4</v>
      </c>
      <c r="P112" s="14"/>
    </row>
    <row r="113" spans="1:16" s="13" customFormat="1" ht="12.75" x14ac:dyDescent="0.2">
      <c r="A113" s="10" t="s">
        <v>50</v>
      </c>
      <c r="B113" s="132"/>
      <c r="C113" s="8" t="s">
        <v>29</v>
      </c>
      <c r="D113" s="10">
        <v>2.7</v>
      </c>
      <c r="E113" s="10">
        <v>2.7</v>
      </c>
      <c r="F113" s="10">
        <v>0.19</v>
      </c>
      <c r="G113" s="10">
        <v>0.28999999999999998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23" t="s">
        <v>4</v>
      </c>
      <c r="O113" s="92" t="s">
        <v>4</v>
      </c>
      <c r="P113" s="14"/>
    </row>
    <row r="114" spans="1:16" s="13" customFormat="1" ht="12.75" x14ac:dyDescent="0.2">
      <c r="A114" s="10" t="s">
        <v>50</v>
      </c>
      <c r="B114" s="132"/>
      <c r="C114" s="8" t="s">
        <v>30</v>
      </c>
      <c r="D114" s="10">
        <v>3.3</v>
      </c>
      <c r="E114" s="10">
        <v>2.91</v>
      </c>
      <c r="F114" s="10">
        <v>0.78</v>
      </c>
      <c r="G114" s="10">
        <v>0.19</v>
      </c>
      <c r="H114" s="10">
        <v>0.14000000000000001</v>
      </c>
      <c r="I114" s="10">
        <v>0.14000000000000001</v>
      </c>
      <c r="J114" s="10">
        <v>0.25</v>
      </c>
      <c r="K114" s="10">
        <v>0.1</v>
      </c>
      <c r="L114" s="10">
        <v>0</v>
      </c>
      <c r="M114" s="10">
        <v>0</v>
      </c>
      <c r="N114" s="23" t="s">
        <v>4</v>
      </c>
      <c r="O114" s="92" t="s">
        <v>4</v>
      </c>
      <c r="P114" s="14"/>
    </row>
    <row r="115" spans="1:16" s="13" customFormat="1" ht="12.75" x14ac:dyDescent="0.2">
      <c r="A115" s="10" t="s">
        <v>50</v>
      </c>
      <c r="B115" s="132"/>
      <c r="C115" s="8" t="s">
        <v>31</v>
      </c>
      <c r="D115" s="10">
        <v>3.1</v>
      </c>
      <c r="E115" s="10">
        <v>2.84</v>
      </c>
      <c r="F115" s="10">
        <v>0.38</v>
      </c>
      <c r="G115" s="10">
        <v>0.14000000000000001</v>
      </c>
      <c r="H115" s="10">
        <v>0.03</v>
      </c>
      <c r="I115" s="10">
        <v>0.03</v>
      </c>
      <c r="J115" s="10">
        <v>0.17</v>
      </c>
      <c r="K115" s="10">
        <v>0.17</v>
      </c>
      <c r="L115" s="10">
        <v>0</v>
      </c>
      <c r="M115" s="10">
        <v>0</v>
      </c>
      <c r="N115" s="23" t="s">
        <v>4</v>
      </c>
      <c r="O115" s="92" t="s">
        <v>4</v>
      </c>
      <c r="P115" s="14"/>
    </row>
    <row r="116" spans="1:16" s="13" customFormat="1" ht="12.75" x14ac:dyDescent="0.2">
      <c r="A116" s="10" t="s">
        <v>50</v>
      </c>
      <c r="B116" s="132"/>
      <c r="C116" s="8" t="s">
        <v>32</v>
      </c>
      <c r="D116" s="10">
        <v>3.1</v>
      </c>
      <c r="E116" s="10">
        <v>2.88</v>
      </c>
      <c r="F116" s="10">
        <v>0.14000000000000001</v>
      </c>
      <c r="G116" s="10">
        <v>0.14000000000000001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23" t="s">
        <v>4</v>
      </c>
      <c r="O116" s="92" t="s">
        <v>4</v>
      </c>
      <c r="P116" s="14"/>
    </row>
    <row r="117" spans="1:16" s="13" customFormat="1" ht="12.75" x14ac:dyDescent="0.2">
      <c r="A117" s="10" t="s">
        <v>50</v>
      </c>
      <c r="B117" s="132"/>
      <c r="C117" s="8" t="s">
        <v>33</v>
      </c>
      <c r="D117" s="10">
        <v>3.2</v>
      </c>
      <c r="E117" s="10">
        <v>3.88</v>
      </c>
      <c r="F117" s="10">
        <v>0.21</v>
      </c>
      <c r="G117" s="10">
        <v>0.22</v>
      </c>
      <c r="H117" s="10">
        <v>0.03</v>
      </c>
      <c r="I117" s="10">
        <v>0.06</v>
      </c>
      <c r="J117" s="10">
        <v>0</v>
      </c>
      <c r="K117" s="10">
        <v>0</v>
      </c>
      <c r="L117" s="10">
        <v>0</v>
      </c>
      <c r="M117" s="10">
        <v>0</v>
      </c>
      <c r="N117" s="23" t="s">
        <v>4</v>
      </c>
      <c r="O117" s="92" t="s">
        <v>4</v>
      </c>
      <c r="P117" s="14"/>
    </row>
    <row r="118" spans="1:16" s="13" customFormat="1" ht="12.75" x14ac:dyDescent="0.2">
      <c r="A118" s="10" t="s">
        <v>50</v>
      </c>
      <c r="B118" s="132"/>
      <c r="C118" s="8" t="s">
        <v>34</v>
      </c>
      <c r="D118" s="10">
        <v>4.9000000000000004</v>
      </c>
      <c r="E118" s="10">
        <v>4.1500000000000004</v>
      </c>
      <c r="F118" s="10">
        <v>0.36</v>
      </c>
      <c r="G118" s="10">
        <v>0.36</v>
      </c>
      <c r="H118" s="10">
        <v>0.03</v>
      </c>
      <c r="I118" s="10">
        <v>0.03</v>
      </c>
      <c r="J118" s="10">
        <v>0</v>
      </c>
      <c r="K118" s="10">
        <v>0</v>
      </c>
      <c r="L118" s="10">
        <v>0</v>
      </c>
      <c r="M118" s="10">
        <v>0</v>
      </c>
      <c r="N118" s="23" t="s">
        <v>4</v>
      </c>
      <c r="O118" s="92" t="s">
        <v>4</v>
      </c>
      <c r="P118" s="14"/>
    </row>
    <row r="119" spans="1:16" s="13" customFormat="1" ht="12.75" x14ac:dyDescent="0.2">
      <c r="A119" s="10" t="s">
        <v>50</v>
      </c>
      <c r="B119" s="132"/>
      <c r="C119" s="8" t="s">
        <v>35</v>
      </c>
      <c r="D119" s="10">
        <v>4.9000000000000004</v>
      </c>
      <c r="E119" s="10">
        <v>4.4400000000000004</v>
      </c>
      <c r="F119" s="10">
        <v>0.42</v>
      </c>
      <c r="G119" s="10">
        <v>0.43</v>
      </c>
      <c r="H119" s="10">
        <v>0</v>
      </c>
      <c r="I119" s="10">
        <v>0</v>
      </c>
      <c r="J119" s="10">
        <v>0.15</v>
      </c>
      <c r="K119" s="10">
        <v>0.16</v>
      </c>
      <c r="L119" s="10">
        <v>0</v>
      </c>
      <c r="M119" s="10">
        <v>0</v>
      </c>
      <c r="N119" s="23" t="s">
        <v>4</v>
      </c>
      <c r="O119" s="92" t="s">
        <v>4</v>
      </c>
      <c r="P119" s="14"/>
    </row>
    <row r="120" spans="1:16" s="13" customFormat="1" ht="12.75" x14ac:dyDescent="0.2">
      <c r="A120" s="10" t="s">
        <v>50</v>
      </c>
      <c r="B120" s="132"/>
      <c r="C120" s="8" t="s">
        <v>36</v>
      </c>
      <c r="D120" s="10">
        <v>3.7</v>
      </c>
      <c r="E120" s="10">
        <v>3.92</v>
      </c>
      <c r="F120" s="10">
        <v>0.36</v>
      </c>
      <c r="G120" s="10">
        <v>0.43</v>
      </c>
      <c r="H120" s="10">
        <v>0.03</v>
      </c>
      <c r="I120" s="10">
        <v>0.03</v>
      </c>
      <c r="J120" s="10">
        <v>0.28999999999999998</v>
      </c>
      <c r="K120" s="10">
        <v>0.44</v>
      </c>
      <c r="L120" s="10">
        <v>0</v>
      </c>
      <c r="M120" s="10">
        <v>0</v>
      </c>
      <c r="N120" s="23" t="s">
        <v>4</v>
      </c>
      <c r="O120" s="92" t="s">
        <v>4</v>
      </c>
      <c r="P120" s="14"/>
    </row>
    <row r="121" spans="1:16" s="13" customFormat="1" ht="12.75" x14ac:dyDescent="0.2">
      <c r="A121" s="10" t="s">
        <v>50</v>
      </c>
      <c r="B121" s="132"/>
      <c r="C121" s="84" t="s">
        <v>37</v>
      </c>
      <c r="D121" s="10">
        <v>3.8</v>
      </c>
      <c r="E121" s="10">
        <v>3.54</v>
      </c>
      <c r="F121" s="10">
        <v>0.28000000000000003</v>
      </c>
      <c r="G121" s="10">
        <v>0.28999999999999998</v>
      </c>
      <c r="H121" s="10">
        <v>0</v>
      </c>
      <c r="I121" s="10">
        <v>0</v>
      </c>
      <c r="J121" s="10">
        <v>0.77</v>
      </c>
      <c r="K121" s="10">
        <v>0.79</v>
      </c>
      <c r="L121" s="10">
        <v>0</v>
      </c>
      <c r="M121" s="10">
        <v>0</v>
      </c>
      <c r="N121" s="23" t="s">
        <v>4</v>
      </c>
      <c r="O121" s="92" t="s">
        <v>4</v>
      </c>
      <c r="P121" s="14"/>
    </row>
    <row r="122" spans="1:16" s="13" customFormat="1" ht="12.75" x14ac:dyDescent="0.2">
      <c r="A122" s="16" t="s">
        <v>50</v>
      </c>
      <c r="B122" s="16"/>
      <c r="C122" s="16"/>
      <c r="D122" s="48">
        <f>AVERAGE(D110:D121)</f>
        <v>3.6750000000000003</v>
      </c>
      <c r="E122" s="16"/>
      <c r="F122" s="50">
        <f>AVERAGE(F110:F121)</f>
        <v>0.35916666666666669</v>
      </c>
      <c r="G122" s="51"/>
      <c r="H122" s="50">
        <f>AVERAGE(H110:H121)</f>
        <v>2.1666666666666667E-2</v>
      </c>
      <c r="I122" s="51"/>
      <c r="J122" s="50">
        <f>AVERAGE(J110:J121)</f>
        <v>0.13583333333333333</v>
      </c>
      <c r="K122" s="51"/>
      <c r="L122" s="16"/>
      <c r="M122" s="16"/>
      <c r="N122" s="16"/>
      <c r="O122" s="16"/>
      <c r="P122" s="14"/>
    </row>
    <row r="123" spans="1:16" s="13" customFormat="1" ht="12.75" x14ac:dyDescent="0.2">
      <c r="A123" s="17" t="s">
        <v>50</v>
      </c>
      <c r="B123" s="132" t="s">
        <v>52</v>
      </c>
      <c r="C123" s="84" t="s">
        <v>24</v>
      </c>
      <c r="D123" s="10">
        <v>4.4000000000000004</v>
      </c>
      <c r="E123" s="19">
        <v>2.91</v>
      </c>
      <c r="F123" s="10">
        <v>0.51</v>
      </c>
      <c r="G123" s="19">
        <v>0.53</v>
      </c>
      <c r="H123" s="10">
        <v>0</v>
      </c>
      <c r="I123" s="19">
        <v>0</v>
      </c>
      <c r="J123" s="10">
        <v>0.12</v>
      </c>
      <c r="K123" s="19">
        <v>0.12</v>
      </c>
      <c r="L123" s="10">
        <v>0</v>
      </c>
      <c r="M123" s="19">
        <v>0</v>
      </c>
      <c r="N123" s="23" t="s">
        <v>4</v>
      </c>
      <c r="O123" s="91" t="s">
        <v>4</v>
      </c>
      <c r="P123" s="14"/>
    </row>
    <row r="124" spans="1:16" s="13" customFormat="1" ht="12.75" x14ac:dyDescent="0.2">
      <c r="A124" s="10" t="s">
        <v>50</v>
      </c>
      <c r="B124" s="132"/>
      <c r="C124" s="8" t="s">
        <v>27</v>
      </c>
      <c r="D124" s="10">
        <v>4.4000000000000004</v>
      </c>
      <c r="E124" s="10">
        <v>3.63</v>
      </c>
      <c r="F124" s="10">
        <v>0.66</v>
      </c>
      <c r="G124" s="10">
        <v>0.67</v>
      </c>
      <c r="H124" s="10">
        <v>0</v>
      </c>
      <c r="I124" s="10">
        <v>0</v>
      </c>
      <c r="J124" s="10">
        <v>0</v>
      </c>
      <c r="K124" s="10">
        <v>0.12</v>
      </c>
      <c r="L124" s="10">
        <v>0</v>
      </c>
      <c r="M124" s="10">
        <v>0</v>
      </c>
      <c r="N124" s="23" t="s">
        <v>4</v>
      </c>
      <c r="O124" s="92" t="s">
        <v>4</v>
      </c>
      <c r="P124" s="14"/>
    </row>
    <row r="125" spans="1:16" s="13" customFormat="1" ht="12.75" x14ac:dyDescent="0.2">
      <c r="A125" s="10" t="s">
        <v>50</v>
      </c>
      <c r="B125" s="132"/>
      <c r="C125" s="8" t="s">
        <v>28</v>
      </c>
      <c r="D125" s="10">
        <v>2.6</v>
      </c>
      <c r="E125" s="10">
        <v>2.38</v>
      </c>
      <c r="F125" s="10">
        <v>0.22</v>
      </c>
      <c r="G125" s="10">
        <v>0.24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23" t="s">
        <v>4</v>
      </c>
      <c r="O125" s="92" t="s">
        <v>4</v>
      </c>
      <c r="P125" s="14"/>
    </row>
    <row r="126" spans="1:16" s="13" customFormat="1" ht="12.75" x14ac:dyDescent="0.2">
      <c r="A126" s="10" t="s">
        <v>50</v>
      </c>
      <c r="B126" s="132"/>
      <c r="C126" s="8" t="s">
        <v>29</v>
      </c>
      <c r="D126" s="10">
        <v>2.7</v>
      </c>
      <c r="E126" s="10">
        <v>2.7</v>
      </c>
      <c r="F126" s="10">
        <v>0.43</v>
      </c>
      <c r="G126" s="10">
        <v>0.43</v>
      </c>
      <c r="H126" s="10">
        <v>0</v>
      </c>
      <c r="I126" s="10">
        <v>0</v>
      </c>
      <c r="J126" s="10">
        <v>0.12</v>
      </c>
      <c r="K126" s="10">
        <v>0.11</v>
      </c>
      <c r="L126" s="10">
        <v>0</v>
      </c>
      <c r="M126" s="10">
        <v>0</v>
      </c>
      <c r="N126" s="23" t="s">
        <v>4</v>
      </c>
      <c r="O126" s="92" t="s">
        <v>4</v>
      </c>
      <c r="P126" s="14"/>
    </row>
    <row r="127" spans="1:16" s="13" customFormat="1" ht="12.75" x14ac:dyDescent="0.2">
      <c r="A127" s="10" t="s">
        <v>50</v>
      </c>
      <c r="B127" s="132"/>
      <c r="C127" s="8" t="s">
        <v>30</v>
      </c>
      <c r="D127" s="10">
        <v>3.3</v>
      </c>
      <c r="E127" s="10">
        <v>2.91</v>
      </c>
      <c r="F127" s="10">
        <v>0.78</v>
      </c>
      <c r="G127" s="10">
        <v>0.81</v>
      </c>
      <c r="H127" s="10">
        <v>0.14000000000000001</v>
      </c>
      <c r="I127" s="10">
        <v>0.14000000000000001</v>
      </c>
      <c r="J127" s="10">
        <v>0.09</v>
      </c>
      <c r="K127" s="10">
        <v>0.1</v>
      </c>
      <c r="L127" s="10">
        <v>0</v>
      </c>
      <c r="M127" s="10">
        <v>0</v>
      </c>
      <c r="N127" s="23" t="s">
        <v>4</v>
      </c>
      <c r="O127" s="92" t="s">
        <v>4</v>
      </c>
      <c r="P127" s="14"/>
    </row>
    <row r="128" spans="1:16" s="13" customFormat="1" ht="12.75" x14ac:dyDescent="0.2">
      <c r="A128" s="10" t="s">
        <v>50</v>
      </c>
      <c r="B128" s="132"/>
      <c r="C128" s="8" t="s">
        <v>31</v>
      </c>
      <c r="D128" s="10">
        <v>3.1</v>
      </c>
      <c r="E128" s="10">
        <v>2.84</v>
      </c>
      <c r="F128" s="10">
        <v>0.67</v>
      </c>
      <c r="G128" s="10">
        <v>0.67</v>
      </c>
      <c r="H128" s="10">
        <v>0</v>
      </c>
      <c r="I128" s="10">
        <v>0</v>
      </c>
      <c r="J128" s="10">
        <v>0.1</v>
      </c>
      <c r="K128" s="10">
        <v>0.1</v>
      </c>
      <c r="L128" s="10">
        <v>0</v>
      </c>
      <c r="M128" s="10">
        <v>0</v>
      </c>
      <c r="N128" s="23" t="s">
        <v>4</v>
      </c>
      <c r="O128" s="92" t="s">
        <v>4</v>
      </c>
      <c r="P128" s="14"/>
    </row>
    <row r="129" spans="1:16" s="13" customFormat="1" ht="12.75" x14ac:dyDescent="0.2">
      <c r="A129" s="10" t="s">
        <v>50</v>
      </c>
      <c r="B129" s="132"/>
      <c r="C129" s="8" t="s">
        <v>32</v>
      </c>
      <c r="D129" s="10">
        <v>3.1</v>
      </c>
      <c r="E129" s="10">
        <v>2.88</v>
      </c>
      <c r="F129" s="10">
        <v>0.28000000000000003</v>
      </c>
      <c r="G129" s="10">
        <v>0.28999999999999998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23" t="s">
        <v>4</v>
      </c>
      <c r="O129" s="92" t="s">
        <v>4</v>
      </c>
      <c r="P129" s="14"/>
    </row>
    <row r="130" spans="1:16" s="13" customFormat="1" ht="12.75" x14ac:dyDescent="0.2">
      <c r="A130" s="10" t="s">
        <v>50</v>
      </c>
      <c r="B130" s="132"/>
      <c r="C130" s="8" t="s">
        <v>33</v>
      </c>
      <c r="D130" s="10">
        <v>3.2</v>
      </c>
      <c r="E130" s="10">
        <v>3.88</v>
      </c>
      <c r="F130" s="10">
        <v>0.42</v>
      </c>
      <c r="G130" s="10">
        <v>0.52</v>
      </c>
      <c r="H130" s="10">
        <v>0.02</v>
      </c>
      <c r="I130" s="10">
        <v>0.02</v>
      </c>
      <c r="J130" s="10">
        <v>0.1</v>
      </c>
      <c r="K130" s="10">
        <v>0.1</v>
      </c>
      <c r="L130" s="10">
        <v>0</v>
      </c>
      <c r="M130" s="10">
        <v>0</v>
      </c>
      <c r="N130" s="23" t="s">
        <v>4</v>
      </c>
      <c r="O130" s="92" t="s">
        <v>4</v>
      </c>
      <c r="P130" s="14"/>
    </row>
    <row r="131" spans="1:16" s="13" customFormat="1" ht="12.75" x14ac:dyDescent="0.2">
      <c r="A131" s="10" t="s">
        <v>50</v>
      </c>
      <c r="B131" s="132"/>
      <c r="C131" s="8" t="s">
        <v>34</v>
      </c>
      <c r="D131" s="10">
        <v>4.9000000000000004</v>
      </c>
      <c r="E131" s="10">
        <v>4.1500000000000004</v>
      </c>
      <c r="F131" s="10">
        <v>0.48</v>
      </c>
      <c r="G131" s="10">
        <v>0.48</v>
      </c>
      <c r="H131" s="10">
        <v>0</v>
      </c>
      <c r="I131" s="10">
        <v>0</v>
      </c>
      <c r="J131" s="10">
        <v>0.11</v>
      </c>
      <c r="K131" s="10">
        <v>0.11</v>
      </c>
      <c r="L131" s="10">
        <v>0</v>
      </c>
      <c r="M131" s="10">
        <v>0</v>
      </c>
      <c r="N131" s="23" t="s">
        <v>4</v>
      </c>
      <c r="O131" s="92" t="s">
        <v>4</v>
      </c>
      <c r="P131" s="14"/>
    </row>
    <row r="132" spans="1:16" s="13" customFormat="1" ht="12.75" x14ac:dyDescent="0.2">
      <c r="A132" s="10" t="s">
        <v>50</v>
      </c>
      <c r="B132" s="132"/>
      <c r="C132" s="8" t="s">
        <v>35</v>
      </c>
      <c r="D132" s="10">
        <v>4.9000000000000004</v>
      </c>
      <c r="E132" s="10">
        <v>4.4400000000000004</v>
      </c>
      <c r="F132" s="10">
        <v>0.65</v>
      </c>
      <c r="G132" s="10">
        <v>0.67</v>
      </c>
      <c r="H132" s="10">
        <v>0</v>
      </c>
      <c r="I132" s="10">
        <v>0</v>
      </c>
      <c r="J132" s="10">
        <v>0.41</v>
      </c>
      <c r="K132" s="10">
        <v>0.42</v>
      </c>
      <c r="L132" s="10">
        <v>0</v>
      </c>
      <c r="M132" s="10">
        <v>0</v>
      </c>
      <c r="N132" s="23" t="s">
        <v>4</v>
      </c>
      <c r="O132" s="92" t="s">
        <v>4</v>
      </c>
      <c r="P132" s="14"/>
    </row>
    <row r="133" spans="1:16" s="13" customFormat="1" ht="12.75" x14ac:dyDescent="0.2">
      <c r="A133" s="10" t="s">
        <v>50</v>
      </c>
      <c r="B133" s="132"/>
      <c r="C133" s="8" t="s">
        <v>36</v>
      </c>
      <c r="D133" s="10">
        <v>3.7</v>
      </c>
      <c r="E133" s="10">
        <v>3.92</v>
      </c>
      <c r="F133" s="10">
        <v>0.62</v>
      </c>
      <c r="G133" s="10">
        <v>0.71</v>
      </c>
      <c r="H133" s="10">
        <v>0.04</v>
      </c>
      <c r="I133" s="10">
        <v>0.04</v>
      </c>
      <c r="J133" s="10">
        <v>0.43</v>
      </c>
      <c r="K133" s="10">
        <v>0.43</v>
      </c>
      <c r="L133" s="10">
        <v>0</v>
      </c>
      <c r="M133" s="10">
        <v>0</v>
      </c>
      <c r="N133" s="23" t="s">
        <v>4</v>
      </c>
      <c r="O133" s="92" t="s">
        <v>4</v>
      </c>
      <c r="P133" s="14"/>
    </row>
    <row r="134" spans="1:16" s="13" customFormat="1" ht="12.75" x14ac:dyDescent="0.2">
      <c r="A134" s="10" t="s">
        <v>50</v>
      </c>
      <c r="B134" s="132"/>
      <c r="C134" s="84" t="s">
        <v>37</v>
      </c>
      <c r="D134" s="10">
        <v>3.8</v>
      </c>
      <c r="E134" s="10">
        <v>3.54</v>
      </c>
      <c r="F134" s="10">
        <v>0.32</v>
      </c>
      <c r="G134" s="10">
        <v>0.33</v>
      </c>
      <c r="H134" s="10">
        <v>0</v>
      </c>
      <c r="I134" s="10">
        <v>0</v>
      </c>
      <c r="J134" s="10">
        <v>0.31</v>
      </c>
      <c r="K134" s="10">
        <v>0.32</v>
      </c>
      <c r="L134" s="10">
        <v>0</v>
      </c>
      <c r="M134" s="10">
        <v>0</v>
      </c>
      <c r="N134" s="23" t="s">
        <v>4</v>
      </c>
      <c r="O134" s="92" t="s">
        <v>4</v>
      </c>
      <c r="P134" s="14"/>
    </row>
    <row r="135" spans="1:16" s="13" customFormat="1" ht="12.75" x14ac:dyDescent="0.2">
      <c r="A135" s="16" t="s">
        <v>50</v>
      </c>
      <c r="B135" s="16"/>
      <c r="C135" s="16"/>
      <c r="D135" s="48">
        <f>AVERAGE(D123:D134)</f>
        <v>3.6750000000000003</v>
      </c>
      <c r="E135" s="16"/>
      <c r="F135" s="50">
        <f>AVERAGE(F123:F134)</f>
        <v>0.5033333333333333</v>
      </c>
      <c r="G135" s="51"/>
      <c r="H135" s="50">
        <f>AVERAGE(H123:H134)</f>
        <v>1.6666666666666666E-2</v>
      </c>
      <c r="I135" s="51"/>
      <c r="J135" s="50">
        <f>AVERAGE(J123:J134)</f>
        <v>0.14916666666666664</v>
      </c>
      <c r="K135" s="16"/>
      <c r="L135" s="16"/>
      <c r="M135" s="16"/>
      <c r="N135" s="16"/>
      <c r="O135" s="16"/>
      <c r="P135" s="14"/>
    </row>
    <row r="136" spans="1:16" s="13" customFormat="1" ht="12.75" x14ac:dyDescent="0.2">
      <c r="A136" s="17" t="s">
        <v>47</v>
      </c>
      <c r="B136" s="132" t="s">
        <v>48</v>
      </c>
      <c r="C136" s="84" t="s">
        <v>24</v>
      </c>
      <c r="D136" s="10">
        <v>1.18</v>
      </c>
      <c r="E136" s="19">
        <v>2.08</v>
      </c>
      <c r="F136" s="10">
        <v>0.02</v>
      </c>
      <c r="G136" s="19">
        <v>0.06</v>
      </c>
      <c r="H136" s="10">
        <v>0</v>
      </c>
      <c r="I136" s="19">
        <v>0</v>
      </c>
      <c r="J136" s="10">
        <v>0</v>
      </c>
      <c r="K136" s="19">
        <v>0.01</v>
      </c>
      <c r="L136" s="10">
        <v>0</v>
      </c>
      <c r="M136" s="19">
        <v>0</v>
      </c>
      <c r="N136" s="10" t="s">
        <v>49</v>
      </c>
      <c r="O136" s="91" t="s">
        <v>49</v>
      </c>
      <c r="P136" s="14"/>
    </row>
    <row r="137" spans="1:16" s="13" customFormat="1" ht="12.75" x14ac:dyDescent="0.2">
      <c r="A137" s="10" t="s">
        <v>47</v>
      </c>
      <c r="B137" s="132"/>
      <c r="C137" s="8" t="s">
        <v>27</v>
      </c>
      <c r="D137" s="10">
        <v>0.98</v>
      </c>
      <c r="E137" s="10">
        <v>1.96</v>
      </c>
      <c r="F137" s="10">
        <v>0</v>
      </c>
      <c r="G137" s="10">
        <v>0.05</v>
      </c>
      <c r="H137" s="10">
        <v>0</v>
      </c>
      <c r="I137" s="10">
        <v>0</v>
      </c>
      <c r="J137" s="10">
        <v>0</v>
      </c>
      <c r="K137" s="10">
        <v>0.01</v>
      </c>
      <c r="L137" s="10">
        <v>0</v>
      </c>
      <c r="M137" s="10">
        <v>0</v>
      </c>
      <c r="N137" s="10" t="s">
        <v>49</v>
      </c>
      <c r="O137" s="94" t="s">
        <v>49</v>
      </c>
      <c r="P137" s="14"/>
    </row>
    <row r="138" spans="1:16" s="13" customFormat="1" ht="12.75" x14ac:dyDescent="0.2">
      <c r="A138" s="10" t="s">
        <v>47</v>
      </c>
      <c r="B138" s="132"/>
      <c r="C138" s="8" t="s">
        <v>28</v>
      </c>
      <c r="D138" s="10">
        <v>1.32</v>
      </c>
      <c r="E138" s="10">
        <v>1.9</v>
      </c>
      <c r="F138" s="10">
        <v>0.04</v>
      </c>
      <c r="G138" s="10">
        <v>0.05</v>
      </c>
      <c r="H138" s="10">
        <v>0</v>
      </c>
      <c r="I138" s="10">
        <v>0</v>
      </c>
      <c r="J138" s="10">
        <v>0</v>
      </c>
      <c r="K138" s="10">
        <v>0.01</v>
      </c>
      <c r="L138" s="10">
        <v>0</v>
      </c>
      <c r="M138" s="10">
        <v>0</v>
      </c>
      <c r="N138" s="10" t="s">
        <v>49</v>
      </c>
      <c r="O138" s="94" t="s">
        <v>49</v>
      </c>
      <c r="P138" s="14"/>
    </row>
    <row r="139" spans="1:16" s="13" customFormat="1" ht="12.75" x14ac:dyDescent="0.2">
      <c r="A139" s="10" t="s">
        <v>47</v>
      </c>
      <c r="B139" s="132"/>
      <c r="C139" s="8" t="s">
        <v>29</v>
      </c>
      <c r="D139" s="10">
        <v>1.25</v>
      </c>
      <c r="E139" s="10">
        <v>1.86</v>
      </c>
      <c r="F139" s="10">
        <v>0</v>
      </c>
      <c r="G139" s="10">
        <v>0.04</v>
      </c>
      <c r="H139" s="10">
        <v>0</v>
      </c>
      <c r="I139" s="10">
        <v>0</v>
      </c>
      <c r="J139" s="10">
        <v>0.02</v>
      </c>
      <c r="K139" s="10">
        <v>0.01</v>
      </c>
      <c r="L139" s="10">
        <v>0</v>
      </c>
      <c r="M139" s="10">
        <v>0</v>
      </c>
      <c r="N139" s="10" t="s">
        <v>49</v>
      </c>
      <c r="O139" s="94" t="s">
        <v>49</v>
      </c>
      <c r="P139" s="14"/>
    </row>
    <row r="140" spans="1:16" s="13" customFormat="1" ht="12.75" x14ac:dyDescent="0.2">
      <c r="A140" s="10" t="s">
        <v>47</v>
      </c>
      <c r="B140" s="132"/>
      <c r="C140" s="8" t="s">
        <v>30</v>
      </c>
      <c r="D140" s="10">
        <v>1.1000000000000001</v>
      </c>
      <c r="E140" s="10">
        <v>1.82</v>
      </c>
      <c r="F140" s="10">
        <v>0</v>
      </c>
      <c r="G140" s="10">
        <v>0.02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 t="s">
        <v>49</v>
      </c>
      <c r="O140" s="94" t="s">
        <v>49</v>
      </c>
      <c r="P140" s="14"/>
    </row>
    <row r="141" spans="1:16" s="13" customFormat="1" ht="12.75" x14ac:dyDescent="0.2">
      <c r="A141" s="10" t="s">
        <v>47</v>
      </c>
      <c r="B141" s="132"/>
      <c r="C141" s="8" t="s">
        <v>31</v>
      </c>
      <c r="D141" s="10">
        <v>1.5</v>
      </c>
      <c r="E141" s="10">
        <v>1.74</v>
      </c>
      <c r="F141" s="10">
        <v>0.02</v>
      </c>
      <c r="G141" s="10">
        <v>0.02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 t="s">
        <v>49</v>
      </c>
      <c r="O141" s="94" t="s">
        <v>49</v>
      </c>
      <c r="P141" s="14"/>
    </row>
    <row r="142" spans="1:16" s="13" customFormat="1" ht="12.75" x14ac:dyDescent="0.2">
      <c r="A142" s="10" t="s">
        <v>47</v>
      </c>
      <c r="B142" s="132"/>
      <c r="C142" s="8" t="s">
        <v>32</v>
      </c>
      <c r="D142" s="10">
        <v>1.7</v>
      </c>
      <c r="E142" s="10">
        <v>1.64</v>
      </c>
      <c r="F142" s="10">
        <v>0</v>
      </c>
      <c r="G142" s="10">
        <v>0.02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 t="s">
        <v>49</v>
      </c>
      <c r="O142" s="94" t="s">
        <v>49</v>
      </c>
      <c r="P142" s="14"/>
    </row>
    <row r="143" spans="1:16" s="13" customFormat="1" ht="12.75" x14ac:dyDescent="0.2">
      <c r="A143" s="10" t="s">
        <v>47</v>
      </c>
      <c r="B143" s="132"/>
      <c r="C143" s="8" t="s">
        <v>33</v>
      </c>
      <c r="D143" s="10">
        <v>1.64</v>
      </c>
      <c r="E143" s="10">
        <v>1.49</v>
      </c>
      <c r="F143" s="10">
        <v>0</v>
      </c>
      <c r="G143" s="10">
        <v>0.02</v>
      </c>
      <c r="H143" s="10">
        <v>0</v>
      </c>
      <c r="I143" s="10">
        <v>0</v>
      </c>
      <c r="J143" s="10">
        <v>0.02</v>
      </c>
      <c r="K143" s="10">
        <v>0</v>
      </c>
      <c r="L143" s="10">
        <v>0</v>
      </c>
      <c r="M143" s="10">
        <v>0</v>
      </c>
      <c r="N143" s="10" t="s">
        <v>49</v>
      </c>
      <c r="O143" s="94" t="s">
        <v>49</v>
      </c>
      <c r="P143" s="14"/>
    </row>
    <row r="144" spans="1:16" s="13" customFormat="1" ht="12.75" x14ac:dyDescent="0.2">
      <c r="A144" s="10" t="s">
        <v>47</v>
      </c>
      <c r="B144" s="132"/>
      <c r="C144" s="8" t="s">
        <v>34</v>
      </c>
      <c r="D144" s="10">
        <v>1.84</v>
      </c>
      <c r="E144" s="10">
        <v>1.45</v>
      </c>
      <c r="F144" s="10">
        <v>0.05</v>
      </c>
      <c r="G144" s="10">
        <v>0.02</v>
      </c>
      <c r="H144" s="10">
        <v>0</v>
      </c>
      <c r="I144" s="10">
        <v>0</v>
      </c>
      <c r="J144" s="10">
        <v>0.04</v>
      </c>
      <c r="K144" s="10">
        <v>0.01</v>
      </c>
      <c r="L144" s="10">
        <v>0</v>
      </c>
      <c r="M144" s="10">
        <v>0</v>
      </c>
      <c r="N144" s="10" t="s">
        <v>49</v>
      </c>
      <c r="O144" s="94" t="s">
        <v>49</v>
      </c>
      <c r="P144" s="14"/>
    </row>
    <row r="145" spans="1:16" s="13" customFormat="1" ht="12.75" x14ac:dyDescent="0.2">
      <c r="A145" s="10" t="s">
        <v>47</v>
      </c>
      <c r="B145" s="132"/>
      <c r="C145" s="8" t="s">
        <v>35</v>
      </c>
      <c r="D145" s="10">
        <v>1.3</v>
      </c>
      <c r="E145" s="10">
        <v>1.39</v>
      </c>
      <c r="F145" s="10">
        <v>0.02</v>
      </c>
      <c r="G145" s="10">
        <v>0.02</v>
      </c>
      <c r="H145" s="10">
        <v>0</v>
      </c>
      <c r="I145" s="10">
        <v>0</v>
      </c>
      <c r="J145" s="10">
        <v>0.1</v>
      </c>
      <c r="K145" s="10">
        <v>0.02</v>
      </c>
      <c r="L145" s="10">
        <v>0</v>
      </c>
      <c r="M145" s="10">
        <v>0</v>
      </c>
      <c r="N145" s="10" t="s">
        <v>49</v>
      </c>
      <c r="O145" s="94" t="s">
        <v>49</v>
      </c>
      <c r="P145" s="14"/>
    </row>
    <row r="146" spans="1:16" s="13" customFormat="1" ht="12.75" x14ac:dyDescent="0.2">
      <c r="A146" s="10" t="s">
        <v>47</v>
      </c>
      <c r="B146" s="132"/>
      <c r="C146" s="8" t="s">
        <v>36</v>
      </c>
      <c r="D146" s="10">
        <v>1.0900000000000001</v>
      </c>
      <c r="E146" s="10">
        <v>1.35</v>
      </c>
      <c r="F146" s="10">
        <v>0.05</v>
      </c>
      <c r="G146" s="10">
        <v>0.02</v>
      </c>
      <c r="H146" s="10">
        <v>0</v>
      </c>
      <c r="I146" s="10">
        <v>0</v>
      </c>
      <c r="J146" s="10">
        <v>0</v>
      </c>
      <c r="K146" s="10">
        <v>0.02</v>
      </c>
      <c r="L146" s="10">
        <v>0</v>
      </c>
      <c r="M146" s="10">
        <v>0</v>
      </c>
      <c r="N146" s="10" t="s">
        <v>49</v>
      </c>
      <c r="O146" s="94" t="s">
        <v>49</v>
      </c>
      <c r="P146" s="14"/>
    </row>
    <row r="147" spans="1:16" s="13" customFormat="1" ht="12.75" x14ac:dyDescent="0.2">
      <c r="A147" s="10" t="s">
        <v>47</v>
      </c>
      <c r="B147" s="132"/>
      <c r="C147" s="84" t="s">
        <v>37</v>
      </c>
      <c r="D147" s="10">
        <v>0.8</v>
      </c>
      <c r="E147" s="10">
        <v>1.31</v>
      </c>
      <c r="F147" s="10">
        <v>0.02</v>
      </c>
      <c r="G147" s="10">
        <v>0.02</v>
      </c>
      <c r="H147" s="10">
        <v>0.01</v>
      </c>
      <c r="I147" s="10">
        <v>0</v>
      </c>
      <c r="J147" s="10">
        <v>0</v>
      </c>
      <c r="K147" s="10">
        <v>0.02</v>
      </c>
      <c r="L147" s="10">
        <v>0</v>
      </c>
      <c r="M147" s="10">
        <v>0</v>
      </c>
      <c r="N147" s="10" t="s">
        <v>49</v>
      </c>
      <c r="O147" s="94" t="s">
        <v>49</v>
      </c>
      <c r="P147" s="14"/>
    </row>
    <row r="148" spans="1:16" s="13" customFormat="1" ht="12.75" x14ac:dyDescent="0.2">
      <c r="A148" s="16" t="s">
        <v>47</v>
      </c>
      <c r="B148" s="16"/>
      <c r="C148" s="16"/>
      <c r="D148" s="48">
        <f>AVERAGE(D136:D147)</f>
        <v>1.3083333333333333</v>
      </c>
      <c r="E148" s="16"/>
      <c r="F148" s="50">
        <f>AVERAGE(F136:F147)</f>
        <v>1.8333333333333333E-2</v>
      </c>
      <c r="G148" s="51"/>
      <c r="H148" s="50">
        <f>AVERAGE(H136:H147)</f>
        <v>8.3333333333333339E-4</v>
      </c>
      <c r="I148" s="51"/>
      <c r="J148" s="50">
        <f>AVERAGE(J136:J147)</f>
        <v>1.4999999999999999E-2</v>
      </c>
      <c r="K148" s="51"/>
      <c r="L148" s="16"/>
      <c r="M148" s="16"/>
      <c r="N148" s="16"/>
      <c r="O148" s="16"/>
      <c r="P148" s="14"/>
    </row>
    <row r="149" spans="1:16" s="13" customFormat="1" ht="12.75" x14ac:dyDescent="0.2">
      <c r="A149" s="10" t="s">
        <v>58</v>
      </c>
      <c r="B149" s="145" t="s">
        <v>59</v>
      </c>
      <c r="C149" s="84" t="s">
        <v>24</v>
      </c>
      <c r="D149" s="10" t="s">
        <v>4</v>
      </c>
      <c r="E149" s="19"/>
      <c r="F149" s="10" t="s">
        <v>4</v>
      </c>
      <c r="G149" s="19"/>
      <c r="H149" s="10" t="s">
        <v>4</v>
      </c>
      <c r="I149" s="19"/>
      <c r="J149" s="10" t="s">
        <v>4</v>
      </c>
      <c r="K149" s="19"/>
      <c r="L149" s="10" t="s">
        <v>4</v>
      </c>
      <c r="M149" s="19"/>
      <c r="N149" s="23" t="s">
        <v>4</v>
      </c>
      <c r="O149" s="91" t="s">
        <v>4</v>
      </c>
      <c r="P149" s="14"/>
    </row>
    <row r="150" spans="1:16" s="13" customFormat="1" ht="12.75" x14ac:dyDescent="0.2">
      <c r="A150" s="10" t="s">
        <v>58</v>
      </c>
      <c r="B150" s="145"/>
      <c r="C150" s="8" t="s">
        <v>27</v>
      </c>
      <c r="D150" s="10" t="s">
        <v>4</v>
      </c>
      <c r="E150" s="10" t="s">
        <v>4</v>
      </c>
      <c r="F150" s="10" t="s">
        <v>4</v>
      </c>
      <c r="G150" s="10" t="s">
        <v>4</v>
      </c>
      <c r="H150" s="10" t="s">
        <v>4</v>
      </c>
      <c r="I150" s="10" t="s">
        <v>4</v>
      </c>
      <c r="J150" s="10" t="s">
        <v>4</v>
      </c>
      <c r="K150" s="10" t="s">
        <v>4</v>
      </c>
      <c r="L150" s="10" t="s">
        <v>4</v>
      </c>
      <c r="M150" s="10" t="s">
        <v>4</v>
      </c>
      <c r="N150" s="23" t="s">
        <v>4</v>
      </c>
      <c r="O150" s="92" t="s">
        <v>4</v>
      </c>
      <c r="P150" s="14"/>
    </row>
    <row r="151" spans="1:16" s="13" customFormat="1" ht="12.75" x14ac:dyDescent="0.2">
      <c r="A151" s="10" t="s">
        <v>58</v>
      </c>
      <c r="B151" s="145"/>
      <c r="C151" s="8" t="s">
        <v>28</v>
      </c>
      <c r="D151" s="10" t="s">
        <v>4</v>
      </c>
      <c r="E151" s="10" t="s">
        <v>4</v>
      </c>
      <c r="F151" s="10" t="s">
        <v>4</v>
      </c>
      <c r="G151" s="10" t="s">
        <v>4</v>
      </c>
      <c r="H151" s="10" t="s">
        <v>4</v>
      </c>
      <c r="I151" s="10" t="s">
        <v>4</v>
      </c>
      <c r="J151" s="10" t="s">
        <v>4</v>
      </c>
      <c r="K151" s="10" t="s">
        <v>4</v>
      </c>
      <c r="L151" s="10" t="s">
        <v>4</v>
      </c>
      <c r="M151" s="10" t="s">
        <v>4</v>
      </c>
      <c r="N151" s="23" t="s">
        <v>4</v>
      </c>
      <c r="O151" s="92" t="s">
        <v>4</v>
      </c>
      <c r="P151" s="14"/>
    </row>
    <row r="152" spans="1:16" s="13" customFormat="1" ht="12.75" x14ac:dyDescent="0.2">
      <c r="A152" s="10" t="s">
        <v>58</v>
      </c>
      <c r="B152" s="145"/>
      <c r="C152" s="8" t="s">
        <v>29</v>
      </c>
      <c r="D152" s="10" t="s">
        <v>4</v>
      </c>
      <c r="E152" s="10" t="s">
        <v>4</v>
      </c>
      <c r="F152" s="10" t="s">
        <v>4</v>
      </c>
      <c r="G152" s="10" t="s">
        <v>4</v>
      </c>
      <c r="H152" s="10" t="s">
        <v>4</v>
      </c>
      <c r="I152" s="10" t="s">
        <v>4</v>
      </c>
      <c r="J152" s="10" t="s">
        <v>4</v>
      </c>
      <c r="K152" s="10" t="s">
        <v>4</v>
      </c>
      <c r="L152" s="10" t="s">
        <v>4</v>
      </c>
      <c r="M152" s="10" t="s">
        <v>4</v>
      </c>
      <c r="N152" s="23" t="s">
        <v>4</v>
      </c>
      <c r="O152" s="92" t="s">
        <v>4</v>
      </c>
      <c r="P152" s="14"/>
    </row>
    <row r="153" spans="1:16" s="13" customFormat="1" ht="12.75" x14ac:dyDescent="0.2">
      <c r="A153" s="10" t="s">
        <v>58</v>
      </c>
      <c r="B153" s="145"/>
      <c r="C153" s="8" t="s">
        <v>30</v>
      </c>
      <c r="D153" s="10" t="s">
        <v>4</v>
      </c>
      <c r="E153" s="10" t="s">
        <v>4</v>
      </c>
      <c r="F153" s="10" t="s">
        <v>4</v>
      </c>
      <c r="G153" s="10" t="s">
        <v>4</v>
      </c>
      <c r="H153" s="10" t="s">
        <v>4</v>
      </c>
      <c r="I153" s="10" t="s">
        <v>4</v>
      </c>
      <c r="J153" s="10" t="s">
        <v>4</v>
      </c>
      <c r="K153" s="10" t="s">
        <v>4</v>
      </c>
      <c r="L153" s="10" t="s">
        <v>4</v>
      </c>
      <c r="M153" s="10" t="s">
        <v>4</v>
      </c>
      <c r="N153" s="23" t="s">
        <v>4</v>
      </c>
      <c r="O153" s="92" t="s">
        <v>4</v>
      </c>
      <c r="P153" s="14"/>
    </row>
    <row r="154" spans="1:16" s="13" customFormat="1" ht="12.75" x14ac:dyDescent="0.2">
      <c r="A154" s="10" t="s">
        <v>58</v>
      </c>
      <c r="B154" s="145"/>
      <c r="C154" s="8" t="s">
        <v>31</v>
      </c>
      <c r="D154" s="10" t="s">
        <v>4</v>
      </c>
      <c r="E154" s="10" t="s">
        <v>4</v>
      </c>
      <c r="F154" s="10" t="s">
        <v>4</v>
      </c>
      <c r="G154" s="10" t="s">
        <v>4</v>
      </c>
      <c r="H154" s="10" t="s">
        <v>4</v>
      </c>
      <c r="I154" s="10" t="s">
        <v>4</v>
      </c>
      <c r="J154" s="10" t="s">
        <v>4</v>
      </c>
      <c r="K154" s="10" t="s">
        <v>4</v>
      </c>
      <c r="L154" s="10" t="s">
        <v>4</v>
      </c>
      <c r="M154" s="10" t="s">
        <v>4</v>
      </c>
      <c r="N154" s="23" t="s">
        <v>4</v>
      </c>
      <c r="O154" s="92" t="s">
        <v>4</v>
      </c>
      <c r="P154" s="14"/>
    </row>
    <row r="155" spans="1:16" s="13" customFormat="1" ht="12.75" x14ac:dyDescent="0.2">
      <c r="A155" s="10" t="s">
        <v>58</v>
      </c>
      <c r="B155" s="145"/>
      <c r="C155" s="8" t="s">
        <v>32</v>
      </c>
      <c r="D155" s="10" t="s">
        <v>4</v>
      </c>
      <c r="E155" s="10" t="s">
        <v>4</v>
      </c>
      <c r="F155" s="10" t="s">
        <v>4</v>
      </c>
      <c r="G155" s="10" t="s">
        <v>4</v>
      </c>
      <c r="H155" s="10" t="s">
        <v>4</v>
      </c>
      <c r="I155" s="10" t="s">
        <v>4</v>
      </c>
      <c r="J155" s="10" t="s">
        <v>4</v>
      </c>
      <c r="K155" s="10" t="s">
        <v>4</v>
      </c>
      <c r="L155" s="10" t="s">
        <v>4</v>
      </c>
      <c r="M155" s="10" t="s">
        <v>4</v>
      </c>
      <c r="N155" s="23" t="s">
        <v>4</v>
      </c>
      <c r="O155" s="92" t="s">
        <v>4</v>
      </c>
      <c r="P155" s="14"/>
    </row>
    <row r="156" spans="1:16" s="13" customFormat="1" ht="12.75" x14ac:dyDescent="0.2">
      <c r="A156" s="10" t="s">
        <v>58</v>
      </c>
      <c r="B156" s="145"/>
      <c r="C156" s="8" t="s">
        <v>33</v>
      </c>
      <c r="D156" s="10" t="s">
        <v>4</v>
      </c>
      <c r="E156" s="10" t="s">
        <v>4</v>
      </c>
      <c r="F156" s="10" t="s">
        <v>4</v>
      </c>
      <c r="G156" s="10" t="s">
        <v>4</v>
      </c>
      <c r="H156" s="10" t="s">
        <v>4</v>
      </c>
      <c r="I156" s="10" t="s">
        <v>4</v>
      </c>
      <c r="J156" s="10" t="s">
        <v>4</v>
      </c>
      <c r="K156" s="10" t="s">
        <v>4</v>
      </c>
      <c r="L156" s="10" t="s">
        <v>4</v>
      </c>
      <c r="M156" s="10" t="s">
        <v>4</v>
      </c>
      <c r="N156" s="23" t="s">
        <v>4</v>
      </c>
      <c r="O156" s="92" t="s">
        <v>4</v>
      </c>
      <c r="P156" s="14"/>
    </row>
    <row r="157" spans="1:16" s="13" customFormat="1" ht="12.75" x14ac:dyDescent="0.2">
      <c r="A157" s="10" t="s">
        <v>58</v>
      </c>
      <c r="B157" s="145"/>
      <c r="C157" s="8" t="s">
        <v>34</v>
      </c>
      <c r="D157" s="10" t="s">
        <v>4</v>
      </c>
      <c r="E157" s="10" t="s">
        <v>4</v>
      </c>
      <c r="F157" s="10" t="s">
        <v>4</v>
      </c>
      <c r="G157" s="10" t="s">
        <v>4</v>
      </c>
      <c r="H157" s="10" t="s">
        <v>4</v>
      </c>
      <c r="I157" s="10" t="s">
        <v>4</v>
      </c>
      <c r="J157" s="10" t="s">
        <v>4</v>
      </c>
      <c r="K157" s="10" t="s">
        <v>4</v>
      </c>
      <c r="L157" s="10" t="s">
        <v>4</v>
      </c>
      <c r="M157" s="10" t="s">
        <v>4</v>
      </c>
      <c r="N157" s="23" t="s">
        <v>4</v>
      </c>
      <c r="O157" s="92" t="s">
        <v>4</v>
      </c>
      <c r="P157" s="14"/>
    </row>
    <row r="158" spans="1:16" s="13" customFormat="1" ht="12.75" x14ac:dyDescent="0.2">
      <c r="A158" s="10" t="s">
        <v>58</v>
      </c>
      <c r="B158" s="145"/>
      <c r="C158" s="8" t="s">
        <v>35</v>
      </c>
      <c r="D158" s="10" t="s">
        <v>4</v>
      </c>
      <c r="E158" s="10" t="s">
        <v>4</v>
      </c>
      <c r="F158" s="10" t="s">
        <v>4</v>
      </c>
      <c r="G158" s="10" t="s">
        <v>4</v>
      </c>
      <c r="H158" s="10" t="s">
        <v>4</v>
      </c>
      <c r="I158" s="10" t="s">
        <v>4</v>
      </c>
      <c r="J158" s="10" t="s">
        <v>4</v>
      </c>
      <c r="K158" s="10" t="s">
        <v>4</v>
      </c>
      <c r="L158" s="10" t="s">
        <v>4</v>
      </c>
      <c r="M158" s="10" t="s">
        <v>4</v>
      </c>
      <c r="N158" s="23" t="s">
        <v>4</v>
      </c>
      <c r="O158" s="92" t="s">
        <v>4</v>
      </c>
      <c r="P158" s="14"/>
    </row>
    <row r="159" spans="1:16" s="13" customFormat="1" ht="12.75" x14ac:dyDescent="0.2">
      <c r="A159" s="10" t="s">
        <v>58</v>
      </c>
      <c r="B159" s="145"/>
      <c r="C159" s="8" t="s">
        <v>36</v>
      </c>
      <c r="D159" s="10" t="s">
        <v>4</v>
      </c>
      <c r="E159" s="10" t="s">
        <v>4</v>
      </c>
      <c r="F159" s="10" t="s">
        <v>4</v>
      </c>
      <c r="G159" s="10" t="s">
        <v>4</v>
      </c>
      <c r="H159" s="10" t="s">
        <v>4</v>
      </c>
      <c r="I159" s="10" t="s">
        <v>4</v>
      </c>
      <c r="J159" s="10" t="s">
        <v>4</v>
      </c>
      <c r="K159" s="10" t="s">
        <v>4</v>
      </c>
      <c r="L159" s="10" t="s">
        <v>4</v>
      </c>
      <c r="M159" s="10" t="s">
        <v>4</v>
      </c>
      <c r="N159" s="23" t="s">
        <v>4</v>
      </c>
      <c r="O159" s="92" t="s">
        <v>4</v>
      </c>
      <c r="P159" s="14"/>
    </row>
    <row r="160" spans="1:16" s="13" customFormat="1" ht="12.75" x14ac:dyDescent="0.2">
      <c r="A160" s="10" t="s">
        <v>58</v>
      </c>
      <c r="B160" s="145"/>
      <c r="C160" s="84" t="s">
        <v>37</v>
      </c>
      <c r="D160" s="10" t="s">
        <v>4</v>
      </c>
      <c r="E160" s="10" t="s">
        <v>4</v>
      </c>
      <c r="F160" s="10" t="s">
        <v>4</v>
      </c>
      <c r="G160" s="10" t="s">
        <v>4</v>
      </c>
      <c r="H160" s="10" t="s">
        <v>4</v>
      </c>
      <c r="I160" s="10" t="s">
        <v>4</v>
      </c>
      <c r="J160" s="10" t="s">
        <v>4</v>
      </c>
      <c r="K160" s="10" t="s">
        <v>4</v>
      </c>
      <c r="L160" s="10" t="s">
        <v>4</v>
      </c>
      <c r="M160" s="10" t="s">
        <v>4</v>
      </c>
      <c r="N160" s="23" t="s">
        <v>4</v>
      </c>
      <c r="O160" s="92" t="s">
        <v>4</v>
      </c>
      <c r="P160" s="14"/>
    </row>
    <row r="161" spans="1:16" s="13" customFormat="1" ht="12.75" x14ac:dyDescent="0.2">
      <c r="A161" s="16" t="s">
        <v>58</v>
      </c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4"/>
    </row>
    <row r="162" spans="1:16" s="13" customFormat="1" ht="12.75" x14ac:dyDescent="0.2">
      <c r="A162" s="10" t="s">
        <v>60</v>
      </c>
      <c r="B162" s="145" t="s">
        <v>61</v>
      </c>
      <c r="C162" s="84" t="s">
        <v>24</v>
      </c>
      <c r="D162" s="10" t="s">
        <v>4</v>
      </c>
      <c r="E162" s="19"/>
      <c r="F162" s="10" t="s">
        <v>4</v>
      </c>
      <c r="G162" s="19"/>
      <c r="H162" s="10" t="s">
        <v>4</v>
      </c>
      <c r="I162" s="19"/>
      <c r="J162" s="10" t="s">
        <v>4</v>
      </c>
      <c r="K162" s="19"/>
      <c r="L162" s="10" t="s">
        <v>4</v>
      </c>
      <c r="M162" s="19"/>
      <c r="N162" s="23" t="s">
        <v>4</v>
      </c>
      <c r="O162" s="91" t="s">
        <v>4</v>
      </c>
      <c r="P162" s="14"/>
    </row>
    <row r="163" spans="1:16" s="13" customFormat="1" ht="12.75" x14ac:dyDescent="0.2">
      <c r="A163" s="10" t="s">
        <v>60</v>
      </c>
      <c r="B163" s="145"/>
      <c r="C163" s="8" t="s">
        <v>27</v>
      </c>
      <c r="D163" s="10" t="s">
        <v>4</v>
      </c>
      <c r="E163" s="10" t="s">
        <v>4</v>
      </c>
      <c r="F163" s="10" t="s">
        <v>4</v>
      </c>
      <c r="G163" s="10" t="s">
        <v>4</v>
      </c>
      <c r="H163" s="10" t="s">
        <v>4</v>
      </c>
      <c r="I163" s="10" t="s">
        <v>4</v>
      </c>
      <c r="J163" s="10" t="s">
        <v>4</v>
      </c>
      <c r="K163" s="10" t="s">
        <v>4</v>
      </c>
      <c r="L163" s="10" t="s">
        <v>4</v>
      </c>
      <c r="M163" s="10" t="s">
        <v>4</v>
      </c>
      <c r="N163" s="23" t="s">
        <v>4</v>
      </c>
      <c r="O163" s="92" t="s">
        <v>4</v>
      </c>
      <c r="P163" s="14"/>
    </row>
    <row r="164" spans="1:16" s="13" customFormat="1" ht="12.75" x14ac:dyDescent="0.2">
      <c r="A164" s="10" t="s">
        <v>60</v>
      </c>
      <c r="B164" s="145"/>
      <c r="C164" s="8" t="s">
        <v>28</v>
      </c>
      <c r="D164" s="10" t="s">
        <v>4</v>
      </c>
      <c r="E164" s="10" t="s">
        <v>4</v>
      </c>
      <c r="F164" s="10" t="s">
        <v>4</v>
      </c>
      <c r="G164" s="10" t="s">
        <v>4</v>
      </c>
      <c r="H164" s="10" t="s">
        <v>4</v>
      </c>
      <c r="I164" s="10" t="s">
        <v>4</v>
      </c>
      <c r="J164" s="10" t="s">
        <v>4</v>
      </c>
      <c r="K164" s="10" t="s">
        <v>4</v>
      </c>
      <c r="L164" s="10" t="s">
        <v>4</v>
      </c>
      <c r="M164" s="10" t="s">
        <v>4</v>
      </c>
      <c r="N164" s="23" t="s">
        <v>4</v>
      </c>
      <c r="O164" s="92" t="s">
        <v>4</v>
      </c>
      <c r="P164" s="14"/>
    </row>
    <row r="165" spans="1:16" s="13" customFormat="1" ht="12.75" x14ac:dyDescent="0.2">
      <c r="A165" s="10" t="s">
        <v>60</v>
      </c>
      <c r="B165" s="145"/>
      <c r="C165" s="8" t="s">
        <v>29</v>
      </c>
      <c r="D165" s="10" t="s">
        <v>4</v>
      </c>
      <c r="E165" s="10" t="s">
        <v>4</v>
      </c>
      <c r="F165" s="10" t="s">
        <v>4</v>
      </c>
      <c r="G165" s="10" t="s">
        <v>4</v>
      </c>
      <c r="H165" s="10" t="s">
        <v>4</v>
      </c>
      <c r="I165" s="10" t="s">
        <v>4</v>
      </c>
      <c r="J165" s="10" t="s">
        <v>4</v>
      </c>
      <c r="K165" s="10" t="s">
        <v>4</v>
      </c>
      <c r="L165" s="10" t="s">
        <v>4</v>
      </c>
      <c r="M165" s="10" t="s">
        <v>4</v>
      </c>
      <c r="N165" s="23" t="s">
        <v>4</v>
      </c>
      <c r="O165" s="92" t="s">
        <v>4</v>
      </c>
      <c r="P165" s="14"/>
    </row>
    <row r="166" spans="1:16" s="13" customFormat="1" ht="12.75" x14ac:dyDescent="0.2">
      <c r="A166" s="10" t="s">
        <v>60</v>
      </c>
      <c r="B166" s="145"/>
      <c r="C166" s="8" t="s">
        <v>30</v>
      </c>
      <c r="D166" s="10" t="s">
        <v>4</v>
      </c>
      <c r="E166" s="10" t="s">
        <v>4</v>
      </c>
      <c r="F166" s="10" t="s">
        <v>4</v>
      </c>
      <c r="G166" s="10" t="s">
        <v>4</v>
      </c>
      <c r="H166" s="10" t="s">
        <v>4</v>
      </c>
      <c r="I166" s="10" t="s">
        <v>4</v>
      </c>
      <c r="J166" s="10" t="s">
        <v>4</v>
      </c>
      <c r="K166" s="10" t="s">
        <v>4</v>
      </c>
      <c r="L166" s="10" t="s">
        <v>4</v>
      </c>
      <c r="M166" s="10" t="s">
        <v>4</v>
      </c>
      <c r="N166" s="23" t="s">
        <v>4</v>
      </c>
      <c r="O166" s="92" t="s">
        <v>4</v>
      </c>
      <c r="P166" s="14"/>
    </row>
    <row r="167" spans="1:16" s="13" customFormat="1" ht="12.75" x14ac:dyDescent="0.2">
      <c r="A167" s="10" t="s">
        <v>60</v>
      </c>
      <c r="B167" s="145"/>
      <c r="C167" s="8" t="s">
        <v>31</v>
      </c>
      <c r="D167" s="10" t="s">
        <v>4</v>
      </c>
      <c r="E167" s="10" t="s">
        <v>4</v>
      </c>
      <c r="F167" s="10" t="s">
        <v>4</v>
      </c>
      <c r="G167" s="10" t="s">
        <v>4</v>
      </c>
      <c r="H167" s="10" t="s">
        <v>4</v>
      </c>
      <c r="I167" s="10" t="s">
        <v>4</v>
      </c>
      <c r="J167" s="10" t="s">
        <v>4</v>
      </c>
      <c r="K167" s="10" t="s">
        <v>4</v>
      </c>
      <c r="L167" s="10" t="s">
        <v>4</v>
      </c>
      <c r="M167" s="10" t="s">
        <v>4</v>
      </c>
      <c r="N167" s="23" t="s">
        <v>4</v>
      </c>
      <c r="O167" s="92" t="s">
        <v>4</v>
      </c>
      <c r="P167" s="14"/>
    </row>
    <row r="168" spans="1:16" s="13" customFormat="1" ht="12.75" x14ac:dyDescent="0.2">
      <c r="A168" s="10" t="s">
        <v>60</v>
      </c>
      <c r="B168" s="145"/>
      <c r="C168" s="8" t="s">
        <v>32</v>
      </c>
      <c r="D168" s="10" t="s">
        <v>4</v>
      </c>
      <c r="E168" s="10" t="s">
        <v>4</v>
      </c>
      <c r="F168" s="10" t="s">
        <v>4</v>
      </c>
      <c r="G168" s="10" t="s">
        <v>4</v>
      </c>
      <c r="H168" s="10" t="s">
        <v>4</v>
      </c>
      <c r="I168" s="10" t="s">
        <v>4</v>
      </c>
      <c r="J168" s="10" t="s">
        <v>4</v>
      </c>
      <c r="K168" s="10" t="s">
        <v>4</v>
      </c>
      <c r="L168" s="10" t="s">
        <v>4</v>
      </c>
      <c r="M168" s="10" t="s">
        <v>4</v>
      </c>
      <c r="N168" s="23" t="s">
        <v>4</v>
      </c>
      <c r="O168" s="92" t="s">
        <v>4</v>
      </c>
      <c r="P168" s="14"/>
    </row>
    <row r="169" spans="1:16" s="13" customFormat="1" ht="12.75" x14ac:dyDescent="0.2">
      <c r="A169" s="10" t="s">
        <v>60</v>
      </c>
      <c r="B169" s="145"/>
      <c r="C169" s="8" t="s">
        <v>33</v>
      </c>
      <c r="D169" s="10" t="s">
        <v>4</v>
      </c>
      <c r="E169" s="10" t="s">
        <v>4</v>
      </c>
      <c r="F169" s="10" t="s">
        <v>4</v>
      </c>
      <c r="G169" s="10" t="s">
        <v>4</v>
      </c>
      <c r="H169" s="10" t="s">
        <v>4</v>
      </c>
      <c r="I169" s="10" t="s">
        <v>4</v>
      </c>
      <c r="J169" s="10" t="s">
        <v>4</v>
      </c>
      <c r="K169" s="10" t="s">
        <v>4</v>
      </c>
      <c r="L169" s="10" t="s">
        <v>4</v>
      </c>
      <c r="M169" s="10" t="s">
        <v>4</v>
      </c>
      <c r="N169" s="23" t="s">
        <v>4</v>
      </c>
      <c r="O169" s="92" t="s">
        <v>4</v>
      </c>
      <c r="P169" s="14"/>
    </row>
    <row r="170" spans="1:16" s="13" customFormat="1" ht="12.75" x14ac:dyDescent="0.2">
      <c r="A170" s="10" t="s">
        <v>60</v>
      </c>
      <c r="B170" s="145"/>
      <c r="C170" s="8" t="s">
        <v>34</v>
      </c>
      <c r="D170" s="10" t="s">
        <v>4</v>
      </c>
      <c r="E170" s="10" t="s">
        <v>4</v>
      </c>
      <c r="F170" s="10" t="s">
        <v>4</v>
      </c>
      <c r="G170" s="10" t="s">
        <v>4</v>
      </c>
      <c r="H170" s="10" t="s">
        <v>4</v>
      </c>
      <c r="I170" s="10" t="s">
        <v>4</v>
      </c>
      <c r="J170" s="10" t="s">
        <v>4</v>
      </c>
      <c r="K170" s="10" t="s">
        <v>4</v>
      </c>
      <c r="L170" s="10" t="s">
        <v>4</v>
      </c>
      <c r="M170" s="10" t="s">
        <v>4</v>
      </c>
      <c r="N170" s="23" t="s">
        <v>4</v>
      </c>
      <c r="O170" s="92" t="s">
        <v>4</v>
      </c>
      <c r="P170" s="14"/>
    </row>
    <row r="171" spans="1:16" s="13" customFormat="1" ht="12.75" x14ac:dyDescent="0.2">
      <c r="A171" s="10" t="s">
        <v>60</v>
      </c>
      <c r="B171" s="145"/>
      <c r="C171" s="8" t="s">
        <v>35</v>
      </c>
      <c r="D171" s="10" t="s">
        <v>4</v>
      </c>
      <c r="E171" s="10" t="s">
        <v>4</v>
      </c>
      <c r="F171" s="10" t="s">
        <v>4</v>
      </c>
      <c r="G171" s="10" t="s">
        <v>4</v>
      </c>
      <c r="H171" s="10" t="s">
        <v>4</v>
      </c>
      <c r="I171" s="10" t="s">
        <v>4</v>
      </c>
      <c r="J171" s="10" t="s">
        <v>4</v>
      </c>
      <c r="K171" s="10" t="s">
        <v>4</v>
      </c>
      <c r="L171" s="10" t="s">
        <v>4</v>
      </c>
      <c r="M171" s="10" t="s">
        <v>4</v>
      </c>
      <c r="N171" s="23" t="s">
        <v>4</v>
      </c>
      <c r="O171" s="92" t="s">
        <v>4</v>
      </c>
      <c r="P171" s="14"/>
    </row>
    <row r="172" spans="1:16" s="13" customFormat="1" ht="12.75" x14ac:dyDescent="0.2">
      <c r="A172" s="10" t="s">
        <v>60</v>
      </c>
      <c r="B172" s="145"/>
      <c r="C172" s="8" t="s">
        <v>36</v>
      </c>
      <c r="D172" s="10" t="s">
        <v>4</v>
      </c>
      <c r="E172" s="10" t="s">
        <v>4</v>
      </c>
      <c r="F172" s="10" t="s">
        <v>4</v>
      </c>
      <c r="G172" s="10" t="s">
        <v>4</v>
      </c>
      <c r="H172" s="10" t="s">
        <v>4</v>
      </c>
      <c r="I172" s="10" t="s">
        <v>4</v>
      </c>
      <c r="J172" s="10" t="s">
        <v>4</v>
      </c>
      <c r="K172" s="10" t="s">
        <v>4</v>
      </c>
      <c r="L172" s="10" t="s">
        <v>4</v>
      </c>
      <c r="M172" s="10" t="s">
        <v>4</v>
      </c>
      <c r="N172" s="23" t="s">
        <v>4</v>
      </c>
      <c r="O172" s="92" t="s">
        <v>4</v>
      </c>
      <c r="P172" s="14"/>
    </row>
    <row r="173" spans="1:16" s="13" customFormat="1" ht="12.75" x14ac:dyDescent="0.2">
      <c r="A173" s="10" t="s">
        <v>60</v>
      </c>
      <c r="B173" s="145"/>
      <c r="C173" s="8" t="s">
        <v>37</v>
      </c>
      <c r="D173" s="10" t="s">
        <v>4</v>
      </c>
      <c r="E173" s="10" t="s">
        <v>4</v>
      </c>
      <c r="F173" s="10" t="s">
        <v>4</v>
      </c>
      <c r="G173" s="10" t="s">
        <v>4</v>
      </c>
      <c r="H173" s="10" t="s">
        <v>4</v>
      </c>
      <c r="I173" s="10" t="s">
        <v>4</v>
      </c>
      <c r="J173" s="10" t="s">
        <v>4</v>
      </c>
      <c r="K173" s="10" t="s">
        <v>4</v>
      </c>
      <c r="L173" s="10" t="s">
        <v>4</v>
      </c>
      <c r="M173" s="10" t="s">
        <v>4</v>
      </c>
      <c r="N173" s="23" t="s">
        <v>4</v>
      </c>
      <c r="O173" s="92" t="s">
        <v>4</v>
      </c>
      <c r="P173" s="14"/>
    </row>
    <row r="174" spans="1:16" s="13" customFormat="1" ht="12.75" x14ac:dyDescent="0.2">
      <c r="A174" s="16" t="s">
        <v>60</v>
      </c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4"/>
    </row>
    <row r="175" spans="1:16" s="13" customFormat="1" ht="12.75" x14ac:dyDescent="0.2">
      <c r="A175" s="10" t="s">
        <v>60</v>
      </c>
      <c r="B175" s="145" t="s">
        <v>62</v>
      </c>
      <c r="C175" s="8" t="s">
        <v>24</v>
      </c>
      <c r="D175" s="10" t="s">
        <v>4</v>
      </c>
      <c r="E175" s="19"/>
      <c r="F175" s="10" t="s">
        <v>4</v>
      </c>
      <c r="G175" s="19"/>
      <c r="H175" s="10" t="s">
        <v>4</v>
      </c>
      <c r="I175" s="19"/>
      <c r="J175" s="10" t="s">
        <v>4</v>
      </c>
      <c r="K175" s="19"/>
      <c r="L175" s="10" t="s">
        <v>4</v>
      </c>
      <c r="M175" s="19"/>
      <c r="N175" s="23" t="s">
        <v>4</v>
      </c>
      <c r="O175" s="91" t="s">
        <v>4</v>
      </c>
      <c r="P175" s="14"/>
    </row>
    <row r="176" spans="1:16" s="13" customFormat="1" ht="12.75" x14ac:dyDescent="0.2">
      <c r="A176" s="10" t="s">
        <v>60</v>
      </c>
      <c r="B176" s="145"/>
      <c r="C176" s="8" t="s">
        <v>27</v>
      </c>
      <c r="D176" s="10" t="s">
        <v>4</v>
      </c>
      <c r="E176" s="10" t="s">
        <v>4</v>
      </c>
      <c r="F176" s="10" t="s">
        <v>4</v>
      </c>
      <c r="G176" s="10" t="s">
        <v>4</v>
      </c>
      <c r="H176" s="10" t="s">
        <v>4</v>
      </c>
      <c r="I176" s="10" t="s">
        <v>4</v>
      </c>
      <c r="J176" s="10" t="s">
        <v>4</v>
      </c>
      <c r="K176" s="10" t="s">
        <v>4</v>
      </c>
      <c r="L176" s="10" t="s">
        <v>4</v>
      </c>
      <c r="M176" s="10" t="s">
        <v>4</v>
      </c>
      <c r="N176" s="23" t="s">
        <v>4</v>
      </c>
      <c r="O176" s="92" t="s">
        <v>4</v>
      </c>
      <c r="P176" s="14"/>
    </row>
    <row r="177" spans="1:16" s="13" customFormat="1" ht="12.75" x14ac:dyDescent="0.2">
      <c r="A177" s="10" t="s">
        <v>60</v>
      </c>
      <c r="B177" s="145"/>
      <c r="C177" s="8" t="s">
        <v>28</v>
      </c>
      <c r="D177" s="10" t="s">
        <v>4</v>
      </c>
      <c r="E177" s="10" t="s">
        <v>4</v>
      </c>
      <c r="F177" s="10" t="s">
        <v>4</v>
      </c>
      <c r="G177" s="10" t="s">
        <v>4</v>
      </c>
      <c r="H177" s="10" t="s">
        <v>4</v>
      </c>
      <c r="I177" s="10" t="s">
        <v>4</v>
      </c>
      <c r="J177" s="10" t="s">
        <v>4</v>
      </c>
      <c r="K177" s="10" t="s">
        <v>4</v>
      </c>
      <c r="L177" s="10" t="s">
        <v>4</v>
      </c>
      <c r="M177" s="10" t="s">
        <v>4</v>
      </c>
      <c r="N177" s="23" t="s">
        <v>4</v>
      </c>
      <c r="O177" s="92" t="s">
        <v>4</v>
      </c>
      <c r="P177" s="14"/>
    </row>
    <row r="178" spans="1:16" s="13" customFormat="1" ht="12.75" x14ac:dyDescent="0.2">
      <c r="A178" s="10" t="s">
        <v>60</v>
      </c>
      <c r="B178" s="145"/>
      <c r="C178" s="8" t="s">
        <v>29</v>
      </c>
      <c r="D178" s="10" t="s">
        <v>4</v>
      </c>
      <c r="E178" s="10" t="s">
        <v>4</v>
      </c>
      <c r="F178" s="10" t="s">
        <v>4</v>
      </c>
      <c r="G178" s="10" t="s">
        <v>4</v>
      </c>
      <c r="H178" s="10" t="s">
        <v>4</v>
      </c>
      <c r="I178" s="10" t="s">
        <v>4</v>
      </c>
      <c r="J178" s="10" t="s">
        <v>4</v>
      </c>
      <c r="K178" s="10" t="s">
        <v>4</v>
      </c>
      <c r="L178" s="10" t="s">
        <v>4</v>
      </c>
      <c r="M178" s="10" t="s">
        <v>4</v>
      </c>
      <c r="N178" s="23" t="s">
        <v>4</v>
      </c>
      <c r="O178" s="92" t="s">
        <v>4</v>
      </c>
      <c r="P178" s="14"/>
    </row>
    <row r="179" spans="1:16" s="13" customFormat="1" ht="12.75" x14ac:dyDescent="0.2">
      <c r="A179" s="10" t="s">
        <v>60</v>
      </c>
      <c r="B179" s="145"/>
      <c r="C179" s="8" t="s">
        <v>30</v>
      </c>
      <c r="D179" s="10" t="s">
        <v>4</v>
      </c>
      <c r="E179" s="10" t="s">
        <v>4</v>
      </c>
      <c r="F179" s="10" t="s">
        <v>4</v>
      </c>
      <c r="G179" s="10" t="s">
        <v>4</v>
      </c>
      <c r="H179" s="10" t="s">
        <v>4</v>
      </c>
      <c r="I179" s="10" t="s">
        <v>4</v>
      </c>
      <c r="J179" s="10" t="s">
        <v>4</v>
      </c>
      <c r="K179" s="10" t="s">
        <v>4</v>
      </c>
      <c r="L179" s="10" t="s">
        <v>4</v>
      </c>
      <c r="M179" s="10" t="s">
        <v>4</v>
      </c>
      <c r="N179" s="23" t="s">
        <v>4</v>
      </c>
      <c r="O179" s="92" t="s">
        <v>4</v>
      </c>
      <c r="P179" s="14"/>
    </row>
    <row r="180" spans="1:16" s="13" customFormat="1" ht="12.75" x14ac:dyDescent="0.2">
      <c r="A180" s="10" t="s">
        <v>60</v>
      </c>
      <c r="B180" s="145"/>
      <c r="C180" s="8" t="s">
        <v>31</v>
      </c>
      <c r="D180" s="10" t="s">
        <v>4</v>
      </c>
      <c r="E180" s="10" t="s">
        <v>4</v>
      </c>
      <c r="F180" s="10" t="s">
        <v>4</v>
      </c>
      <c r="G180" s="10" t="s">
        <v>4</v>
      </c>
      <c r="H180" s="10" t="s">
        <v>4</v>
      </c>
      <c r="I180" s="10" t="s">
        <v>4</v>
      </c>
      <c r="J180" s="10" t="s">
        <v>4</v>
      </c>
      <c r="K180" s="10" t="s">
        <v>4</v>
      </c>
      <c r="L180" s="10" t="s">
        <v>4</v>
      </c>
      <c r="M180" s="10" t="s">
        <v>4</v>
      </c>
      <c r="N180" s="23" t="s">
        <v>4</v>
      </c>
      <c r="O180" s="92" t="s">
        <v>4</v>
      </c>
      <c r="P180" s="14"/>
    </row>
    <row r="181" spans="1:16" s="13" customFormat="1" ht="12.75" x14ac:dyDescent="0.2">
      <c r="A181" s="10" t="s">
        <v>60</v>
      </c>
      <c r="B181" s="145"/>
      <c r="C181" s="8" t="s">
        <v>32</v>
      </c>
      <c r="D181" s="10" t="s">
        <v>4</v>
      </c>
      <c r="E181" s="10" t="s">
        <v>4</v>
      </c>
      <c r="F181" s="10" t="s">
        <v>4</v>
      </c>
      <c r="G181" s="10" t="s">
        <v>4</v>
      </c>
      <c r="H181" s="10" t="s">
        <v>4</v>
      </c>
      <c r="I181" s="10" t="s">
        <v>4</v>
      </c>
      <c r="J181" s="10" t="s">
        <v>4</v>
      </c>
      <c r="K181" s="10" t="s">
        <v>4</v>
      </c>
      <c r="L181" s="10" t="s">
        <v>4</v>
      </c>
      <c r="M181" s="10" t="s">
        <v>4</v>
      </c>
      <c r="N181" s="23" t="s">
        <v>4</v>
      </c>
      <c r="O181" s="92" t="s">
        <v>4</v>
      </c>
      <c r="P181" s="14"/>
    </row>
    <row r="182" spans="1:16" s="13" customFormat="1" ht="12.75" x14ac:dyDescent="0.2">
      <c r="A182" s="10" t="s">
        <v>60</v>
      </c>
      <c r="B182" s="145"/>
      <c r="C182" s="8" t="s">
        <v>33</v>
      </c>
      <c r="D182" s="10" t="s">
        <v>4</v>
      </c>
      <c r="E182" s="10" t="s">
        <v>4</v>
      </c>
      <c r="F182" s="10" t="s">
        <v>4</v>
      </c>
      <c r="G182" s="10" t="s">
        <v>4</v>
      </c>
      <c r="H182" s="10" t="s">
        <v>4</v>
      </c>
      <c r="I182" s="10" t="s">
        <v>4</v>
      </c>
      <c r="J182" s="10" t="s">
        <v>4</v>
      </c>
      <c r="K182" s="10" t="s">
        <v>4</v>
      </c>
      <c r="L182" s="10" t="s">
        <v>4</v>
      </c>
      <c r="M182" s="10" t="s">
        <v>4</v>
      </c>
      <c r="N182" s="23" t="s">
        <v>4</v>
      </c>
      <c r="O182" s="92" t="s">
        <v>4</v>
      </c>
      <c r="P182" s="14"/>
    </row>
    <row r="183" spans="1:16" s="13" customFormat="1" ht="12.75" x14ac:dyDescent="0.2">
      <c r="A183" s="10" t="s">
        <v>60</v>
      </c>
      <c r="B183" s="145"/>
      <c r="C183" s="8" t="s">
        <v>34</v>
      </c>
      <c r="D183" s="10" t="s">
        <v>4</v>
      </c>
      <c r="E183" s="10" t="s">
        <v>4</v>
      </c>
      <c r="F183" s="10" t="s">
        <v>4</v>
      </c>
      <c r="G183" s="10" t="s">
        <v>4</v>
      </c>
      <c r="H183" s="10" t="s">
        <v>4</v>
      </c>
      <c r="I183" s="10" t="s">
        <v>4</v>
      </c>
      <c r="J183" s="10" t="s">
        <v>4</v>
      </c>
      <c r="K183" s="10" t="s">
        <v>4</v>
      </c>
      <c r="L183" s="10" t="s">
        <v>4</v>
      </c>
      <c r="M183" s="10" t="s">
        <v>4</v>
      </c>
      <c r="N183" s="23" t="s">
        <v>4</v>
      </c>
      <c r="O183" s="92" t="s">
        <v>4</v>
      </c>
      <c r="P183" s="14"/>
    </row>
    <row r="184" spans="1:16" s="13" customFormat="1" ht="12.75" x14ac:dyDescent="0.2">
      <c r="A184" s="10" t="s">
        <v>60</v>
      </c>
      <c r="B184" s="145"/>
      <c r="C184" s="8" t="s">
        <v>35</v>
      </c>
      <c r="D184" s="10" t="s">
        <v>4</v>
      </c>
      <c r="E184" s="10" t="s">
        <v>4</v>
      </c>
      <c r="F184" s="10" t="s">
        <v>4</v>
      </c>
      <c r="G184" s="10" t="s">
        <v>4</v>
      </c>
      <c r="H184" s="10" t="s">
        <v>4</v>
      </c>
      <c r="I184" s="10" t="s">
        <v>4</v>
      </c>
      <c r="J184" s="10" t="s">
        <v>4</v>
      </c>
      <c r="K184" s="10" t="s">
        <v>4</v>
      </c>
      <c r="L184" s="10" t="s">
        <v>4</v>
      </c>
      <c r="M184" s="10" t="s">
        <v>4</v>
      </c>
      <c r="N184" s="23" t="s">
        <v>4</v>
      </c>
      <c r="O184" s="92" t="s">
        <v>4</v>
      </c>
      <c r="P184" s="14"/>
    </row>
    <row r="185" spans="1:16" s="13" customFormat="1" ht="12.75" x14ac:dyDescent="0.2">
      <c r="A185" s="10" t="s">
        <v>60</v>
      </c>
      <c r="B185" s="145"/>
      <c r="C185" s="8" t="s">
        <v>36</v>
      </c>
      <c r="D185" s="10" t="s">
        <v>4</v>
      </c>
      <c r="E185" s="10" t="s">
        <v>4</v>
      </c>
      <c r="F185" s="10" t="s">
        <v>4</v>
      </c>
      <c r="G185" s="10" t="s">
        <v>4</v>
      </c>
      <c r="H185" s="10" t="s">
        <v>4</v>
      </c>
      <c r="I185" s="10" t="s">
        <v>4</v>
      </c>
      <c r="J185" s="10" t="s">
        <v>4</v>
      </c>
      <c r="K185" s="10" t="s">
        <v>4</v>
      </c>
      <c r="L185" s="10" t="s">
        <v>4</v>
      </c>
      <c r="M185" s="10" t="s">
        <v>4</v>
      </c>
      <c r="N185" s="23" t="s">
        <v>4</v>
      </c>
      <c r="O185" s="92" t="s">
        <v>4</v>
      </c>
      <c r="P185" s="14"/>
    </row>
    <row r="186" spans="1:16" s="13" customFormat="1" ht="12.75" x14ac:dyDescent="0.2">
      <c r="A186" s="10" t="s">
        <v>60</v>
      </c>
      <c r="B186" s="145"/>
      <c r="C186" s="8" t="s">
        <v>37</v>
      </c>
      <c r="D186" s="10" t="s">
        <v>4</v>
      </c>
      <c r="E186" s="10" t="s">
        <v>4</v>
      </c>
      <c r="F186" s="10" t="s">
        <v>4</v>
      </c>
      <c r="G186" s="10" t="s">
        <v>4</v>
      </c>
      <c r="H186" s="10" t="s">
        <v>4</v>
      </c>
      <c r="I186" s="10" t="s">
        <v>4</v>
      </c>
      <c r="J186" s="10" t="s">
        <v>4</v>
      </c>
      <c r="K186" s="10" t="s">
        <v>4</v>
      </c>
      <c r="L186" s="10" t="s">
        <v>4</v>
      </c>
      <c r="M186" s="10" t="s">
        <v>4</v>
      </c>
      <c r="N186" s="23" t="s">
        <v>4</v>
      </c>
      <c r="O186" s="92" t="s">
        <v>4</v>
      </c>
      <c r="P186" s="14"/>
    </row>
    <row r="187" spans="1:16" s="13" customFormat="1" ht="12.75" x14ac:dyDescent="0.2">
      <c r="A187" s="16" t="s">
        <v>60</v>
      </c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4"/>
    </row>
    <row r="188" spans="1:16" s="13" customFormat="1" ht="12.75" x14ac:dyDescent="0.2">
      <c r="A188" s="10" t="s">
        <v>63</v>
      </c>
      <c r="B188" s="145" t="s">
        <v>64</v>
      </c>
      <c r="C188" s="8" t="s">
        <v>24</v>
      </c>
      <c r="D188" s="10" t="s">
        <v>4</v>
      </c>
      <c r="E188" s="19"/>
      <c r="F188" s="10" t="s">
        <v>4</v>
      </c>
      <c r="G188" s="19"/>
      <c r="H188" s="10" t="s">
        <v>4</v>
      </c>
      <c r="I188" s="19"/>
      <c r="J188" s="10" t="s">
        <v>4</v>
      </c>
      <c r="K188" s="19"/>
      <c r="L188" s="10" t="s">
        <v>4</v>
      </c>
      <c r="M188" s="19"/>
      <c r="N188" s="10" t="s">
        <v>4</v>
      </c>
      <c r="O188" s="91"/>
      <c r="P188" s="14"/>
    </row>
    <row r="189" spans="1:16" s="13" customFormat="1" ht="12.75" x14ac:dyDescent="0.2">
      <c r="A189" s="10" t="s">
        <v>63</v>
      </c>
      <c r="B189" s="145"/>
      <c r="C189" s="8" t="s">
        <v>27</v>
      </c>
      <c r="D189" s="10" t="s">
        <v>4</v>
      </c>
      <c r="E189" s="10" t="s">
        <v>4</v>
      </c>
      <c r="F189" s="10" t="s">
        <v>4</v>
      </c>
      <c r="G189" s="10" t="s">
        <v>4</v>
      </c>
      <c r="H189" s="10" t="s">
        <v>4</v>
      </c>
      <c r="I189" s="10" t="s">
        <v>4</v>
      </c>
      <c r="J189" s="10" t="s">
        <v>4</v>
      </c>
      <c r="K189" s="10" t="s">
        <v>4</v>
      </c>
      <c r="L189" s="10" t="s">
        <v>4</v>
      </c>
      <c r="M189" s="10" t="s">
        <v>4</v>
      </c>
      <c r="N189" s="10" t="s">
        <v>4</v>
      </c>
      <c r="O189" s="94" t="s">
        <v>4</v>
      </c>
      <c r="P189" s="14"/>
    </row>
    <row r="190" spans="1:16" s="13" customFormat="1" ht="12.75" x14ac:dyDescent="0.2">
      <c r="A190" s="10" t="s">
        <v>63</v>
      </c>
      <c r="B190" s="145"/>
      <c r="C190" s="8" t="s">
        <v>28</v>
      </c>
      <c r="D190" s="10" t="s">
        <v>4</v>
      </c>
      <c r="E190" s="10" t="s">
        <v>4</v>
      </c>
      <c r="F190" s="10" t="s">
        <v>4</v>
      </c>
      <c r="G190" s="10" t="s">
        <v>4</v>
      </c>
      <c r="H190" s="10" t="s">
        <v>4</v>
      </c>
      <c r="I190" s="10" t="s">
        <v>4</v>
      </c>
      <c r="J190" s="10" t="s">
        <v>4</v>
      </c>
      <c r="K190" s="10" t="s">
        <v>4</v>
      </c>
      <c r="L190" s="10" t="s">
        <v>4</v>
      </c>
      <c r="M190" s="10" t="s">
        <v>4</v>
      </c>
      <c r="N190" s="10" t="s">
        <v>4</v>
      </c>
      <c r="O190" s="94" t="s">
        <v>4</v>
      </c>
      <c r="P190" s="14"/>
    </row>
    <row r="191" spans="1:16" s="13" customFormat="1" ht="12.75" x14ac:dyDescent="0.2">
      <c r="A191" s="10" t="s">
        <v>63</v>
      </c>
      <c r="B191" s="145"/>
      <c r="C191" s="8" t="s">
        <v>29</v>
      </c>
      <c r="D191" s="10" t="s">
        <v>4</v>
      </c>
      <c r="E191" s="10" t="s">
        <v>4</v>
      </c>
      <c r="F191" s="10" t="s">
        <v>4</v>
      </c>
      <c r="G191" s="10" t="s">
        <v>4</v>
      </c>
      <c r="H191" s="10" t="s">
        <v>4</v>
      </c>
      <c r="I191" s="10" t="s">
        <v>4</v>
      </c>
      <c r="J191" s="10" t="s">
        <v>4</v>
      </c>
      <c r="K191" s="10" t="s">
        <v>4</v>
      </c>
      <c r="L191" s="10" t="s">
        <v>4</v>
      </c>
      <c r="M191" s="10" t="s">
        <v>4</v>
      </c>
      <c r="N191" s="10" t="s">
        <v>4</v>
      </c>
      <c r="O191" s="94" t="s">
        <v>4</v>
      </c>
      <c r="P191" s="14"/>
    </row>
    <row r="192" spans="1:16" s="13" customFormat="1" ht="12.75" x14ac:dyDescent="0.2">
      <c r="A192" s="10" t="s">
        <v>63</v>
      </c>
      <c r="B192" s="145"/>
      <c r="C192" s="8" t="s">
        <v>30</v>
      </c>
      <c r="D192" s="10" t="s">
        <v>4</v>
      </c>
      <c r="E192" s="10" t="s">
        <v>4</v>
      </c>
      <c r="F192" s="10" t="s">
        <v>4</v>
      </c>
      <c r="G192" s="10" t="s">
        <v>4</v>
      </c>
      <c r="H192" s="10" t="s">
        <v>4</v>
      </c>
      <c r="I192" s="10" t="s">
        <v>4</v>
      </c>
      <c r="J192" s="10" t="s">
        <v>4</v>
      </c>
      <c r="K192" s="10" t="s">
        <v>4</v>
      </c>
      <c r="L192" s="10" t="s">
        <v>4</v>
      </c>
      <c r="M192" s="10" t="s">
        <v>4</v>
      </c>
      <c r="N192" s="10" t="s">
        <v>4</v>
      </c>
      <c r="O192" s="94" t="s">
        <v>4</v>
      </c>
      <c r="P192" s="14"/>
    </row>
    <row r="193" spans="1:16" s="13" customFormat="1" ht="12.75" x14ac:dyDescent="0.2">
      <c r="A193" s="10" t="s">
        <v>63</v>
      </c>
      <c r="B193" s="145"/>
      <c r="C193" s="8" t="s">
        <v>31</v>
      </c>
      <c r="D193" s="10" t="s">
        <v>4</v>
      </c>
      <c r="E193" s="10" t="s">
        <v>4</v>
      </c>
      <c r="F193" s="10" t="s">
        <v>4</v>
      </c>
      <c r="G193" s="10" t="s">
        <v>4</v>
      </c>
      <c r="H193" s="10" t="s">
        <v>4</v>
      </c>
      <c r="I193" s="10" t="s">
        <v>4</v>
      </c>
      <c r="J193" s="10" t="s">
        <v>4</v>
      </c>
      <c r="K193" s="10" t="s">
        <v>4</v>
      </c>
      <c r="L193" s="10" t="s">
        <v>4</v>
      </c>
      <c r="M193" s="10" t="s">
        <v>4</v>
      </c>
      <c r="N193" s="10" t="s">
        <v>4</v>
      </c>
      <c r="O193" s="94" t="s">
        <v>4</v>
      </c>
      <c r="P193" s="14"/>
    </row>
    <row r="194" spans="1:16" s="13" customFormat="1" ht="12.75" x14ac:dyDescent="0.2">
      <c r="A194" s="10" t="s">
        <v>63</v>
      </c>
      <c r="B194" s="145"/>
      <c r="C194" s="8" t="s">
        <v>32</v>
      </c>
      <c r="D194" s="10" t="s">
        <v>4</v>
      </c>
      <c r="E194" s="10" t="s">
        <v>4</v>
      </c>
      <c r="F194" s="10" t="s">
        <v>4</v>
      </c>
      <c r="G194" s="10" t="s">
        <v>4</v>
      </c>
      <c r="H194" s="10" t="s">
        <v>4</v>
      </c>
      <c r="I194" s="10" t="s">
        <v>4</v>
      </c>
      <c r="J194" s="10" t="s">
        <v>4</v>
      </c>
      <c r="K194" s="10" t="s">
        <v>4</v>
      </c>
      <c r="L194" s="10" t="s">
        <v>4</v>
      </c>
      <c r="M194" s="10" t="s">
        <v>4</v>
      </c>
      <c r="N194" s="10" t="s">
        <v>4</v>
      </c>
      <c r="O194" s="94" t="s">
        <v>4</v>
      </c>
      <c r="P194" s="14"/>
    </row>
    <row r="195" spans="1:16" s="13" customFormat="1" ht="12.75" x14ac:dyDescent="0.2">
      <c r="A195" s="10" t="s">
        <v>63</v>
      </c>
      <c r="B195" s="145"/>
      <c r="C195" s="8" t="s">
        <v>33</v>
      </c>
      <c r="D195" s="10" t="s">
        <v>4</v>
      </c>
      <c r="E195" s="10" t="s">
        <v>4</v>
      </c>
      <c r="F195" s="10" t="s">
        <v>4</v>
      </c>
      <c r="G195" s="10" t="s">
        <v>4</v>
      </c>
      <c r="H195" s="10" t="s">
        <v>4</v>
      </c>
      <c r="I195" s="10" t="s">
        <v>4</v>
      </c>
      <c r="J195" s="10" t="s">
        <v>4</v>
      </c>
      <c r="K195" s="10" t="s">
        <v>4</v>
      </c>
      <c r="L195" s="10" t="s">
        <v>4</v>
      </c>
      <c r="M195" s="10" t="s">
        <v>4</v>
      </c>
      <c r="N195" s="10" t="s">
        <v>4</v>
      </c>
      <c r="O195" s="94" t="s">
        <v>4</v>
      </c>
      <c r="P195" s="14"/>
    </row>
    <row r="196" spans="1:16" s="13" customFormat="1" ht="12.75" x14ac:dyDescent="0.2">
      <c r="A196" s="10" t="s">
        <v>63</v>
      </c>
      <c r="B196" s="145"/>
      <c r="C196" s="8" t="s">
        <v>34</v>
      </c>
      <c r="D196" s="10" t="s">
        <v>4</v>
      </c>
      <c r="E196" s="10" t="s">
        <v>4</v>
      </c>
      <c r="F196" s="10" t="s">
        <v>4</v>
      </c>
      <c r="G196" s="10" t="s">
        <v>4</v>
      </c>
      <c r="H196" s="10" t="s">
        <v>4</v>
      </c>
      <c r="I196" s="10" t="s">
        <v>4</v>
      </c>
      <c r="J196" s="10" t="s">
        <v>4</v>
      </c>
      <c r="K196" s="10" t="s">
        <v>4</v>
      </c>
      <c r="L196" s="10" t="s">
        <v>4</v>
      </c>
      <c r="M196" s="10" t="s">
        <v>4</v>
      </c>
      <c r="N196" s="10" t="s">
        <v>4</v>
      </c>
      <c r="O196" s="94" t="s">
        <v>4</v>
      </c>
      <c r="P196" s="14"/>
    </row>
    <row r="197" spans="1:16" s="13" customFormat="1" ht="12.75" x14ac:dyDescent="0.2">
      <c r="A197" s="10" t="s">
        <v>63</v>
      </c>
      <c r="B197" s="145"/>
      <c r="C197" s="8" t="s">
        <v>35</v>
      </c>
      <c r="D197" s="10" t="s">
        <v>4</v>
      </c>
      <c r="E197" s="10" t="s">
        <v>4</v>
      </c>
      <c r="F197" s="10" t="s">
        <v>4</v>
      </c>
      <c r="G197" s="10" t="s">
        <v>4</v>
      </c>
      <c r="H197" s="10" t="s">
        <v>4</v>
      </c>
      <c r="I197" s="10" t="s">
        <v>4</v>
      </c>
      <c r="J197" s="10" t="s">
        <v>4</v>
      </c>
      <c r="K197" s="10" t="s">
        <v>4</v>
      </c>
      <c r="L197" s="10" t="s">
        <v>4</v>
      </c>
      <c r="M197" s="10" t="s">
        <v>4</v>
      </c>
      <c r="N197" s="10" t="s">
        <v>4</v>
      </c>
      <c r="O197" s="94" t="s">
        <v>4</v>
      </c>
      <c r="P197" s="14"/>
    </row>
    <row r="198" spans="1:16" s="13" customFormat="1" ht="12.75" x14ac:dyDescent="0.2">
      <c r="A198" s="10" t="s">
        <v>63</v>
      </c>
      <c r="B198" s="145"/>
      <c r="C198" s="8" t="s">
        <v>36</v>
      </c>
      <c r="D198" s="10" t="s">
        <v>4</v>
      </c>
      <c r="E198" s="10" t="s">
        <v>4</v>
      </c>
      <c r="F198" s="10" t="s">
        <v>4</v>
      </c>
      <c r="G198" s="10" t="s">
        <v>4</v>
      </c>
      <c r="H198" s="10" t="s">
        <v>4</v>
      </c>
      <c r="I198" s="10" t="s">
        <v>4</v>
      </c>
      <c r="J198" s="10" t="s">
        <v>4</v>
      </c>
      <c r="K198" s="10" t="s">
        <v>4</v>
      </c>
      <c r="L198" s="10" t="s">
        <v>4</v>
      </c>
      <c r="M198" s="10" t="s">
        <v>4</v>
      </c>
      <c r="N198" s="10" t="s">
        <v>4</v>
      </c>
      <c r="O198" s="94" t="s">
        <v>4</v>
      </c>
      <c r="P198" s="14"/>
    </row>
    <row r="199" spans="1:16" s="13" customFormat="1" ht="12.75" x14ac:dyDescent="0.2">
      <c r="A199" s="10" t="s">
        <v>63</v>
      </c>
      <c r="B199" s="145"/>
      <c r="C199" s="8" t="s">
        <v>37</v>
      </c>
      <c r="D199" s="10" t="s">
        <v>4</v>
      </c>
      <c r="E199" s="10" t="s">
        <v>4</v>
      </c>
      <c r="F199" s="10" t="s">
        <v>4</v>
      </c>
      <c r="G199" s="10" t="s">
        <v>4</v>
      </c>
      <c r="H199" s="10" t="s">
        <v>4</v>
      </c>
      <c r="I199" s="10" t="s">
        <v>4</v>
      </c>
      <c r="J199" s="10" t="s">
        <v>4</v>
      </c>
      <c r="K199" s="10" t="s">
        <v>4</v>
      </c>
      <c r="L199" s="10" t="s">
        <v>4</v>
      </c>
      <c r="M199" s="10" t="s">
        <v>4</v>
      </c>
      <c r="N199" s="10" t="s">
        <v>4</v>
      </c>
      <c r="O199" s="94" t="s">
        <v>4</v>
      </c>
      <c r="P199" s="14"/>
    </row>
    <row r="200" spans="1:16" s="13" customFormat="1" ht="12.75" x14ac:dyDescent="0.2">
      <c r="A200" s="16" t="s">
        <v>63</v>
      </c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4"/>
    </row>
    <row r="201" spans="1:16" s="13" customFormat="1" ht="12.75" x14ac:dyDescent="0.2">
      <c r="A201" s="44" t="s">
        <v>7</v>
      </c>
      <c r="B201" s="145" t="s">
        <v>65</v>
      </c>
      <c r="C201" s="8" t="s">
        <v>24</v>
      </c>
      <c r="D201" s="10"/>
      <c r="E201" s="19"/>
      <c r="F201" s="10"/>
      <c r="G201" s="19"/>
      <c r="H201" s="10"/>
      <c r="I201" s="19"/>
      <c r="J201" s="10"/>
      <c r="K201" s="19"/>
      <c r="L201" s="10"/>
      <c r="M201" s="19"/>
      <c r="N201" s="14"/>
      <c r="O201" s="91"/>
      <c r="P201" s="14"/>
    </row>
    <row r="202" spans="1:16" s="13" customFormat="1" ht="12.75" x14ac:dyDescent="0.2">
      <c r="A202" s="44" t="s">
        <v>7</v>
      </c>
      <c r="B202" s="145"/>
      <c r="C202" s="8" t="s">
        <v>27</v>
      </c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4"/>
      <c r="O202" s="97"/>
      <c r="P202" s="14"/>
    </row>
    <row r="203" spans="1:16" s="13" customFormat="1" ht="12.75" x14ac:dyDescent="0.2">
      <c r="A203" s="44" t="s">
        <v>7</v>
      </c>
      <c r="B203" s="145"/>
      <c r="C203" s="8" t="s">
        <v>28</v>
      </c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4"/>
      <c r="O203" s="97"/>
      <c r="P203" s="14"/>
    </row>
    <row r="204" spans="1:16" s="13" customFormat="1" ht="12.75" x14ac:dyDescent="0.2">
      <c r="A204" s="44" t="s">
        <v>7</v>
      </c>
      <c r="B204" s="145"/>
      <c r="C204" s="8" t="s">
        <v>29</v>
      </c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4"/>
      <c r="O204" s="97"/>
      <c r="P204" s="14"/>
    </row>
    <row r="205" spans="1:16" s="13" customFormat="1" ht="12.75" x14ac:dyDescent="0.2">
      <c r="A205" s="44" t="s">
        <v>7</v>
      </c>
      <c r="B205" s="145"/>
      <c r="C205" s="8" t="s">
        <v>30</v>
      </c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4"/>
      <c r="O205" s="97"/>
      <c r="P205" s="14"/>
    </row>
    <row r="206" spans="1:16" s="13" customFormat="1" ht="12.75" x14ac:dyDescent="0.2">
      <c r="A206" s="44" t="s">
        <v>7</v>
      </c>
      <c r="B206" s="145"/>
      <c r="C206" s="8" t="s">
        <v>31</v>
      </c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4"/>
      <c r="O206" s="97"/>
      <c r="P206" s="14"/>
    </row>
    <row r="207" spans="1:16" s="13" customFormat="1" ht="12.75" x14ac:dyDescent="0.2">
      <c r="A207" s="44" t="s">
        <v>7</v>
      </c>
      <c r="B207" s="145"/>
      <c r="C207" s="8" t="s">
        <v>32</v>
      </c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4"/>
      <c r="O207" s="97"/>
      <c r="P207" s="14"/>
    </row>
    <row r="208" spans="1:16" s="13" customFormat="1" ht="12.75" x14ac:dyDescent="0.2">
      <c r="A208" s="44" t="s">
        <v>7</v>
      </c>
      <c r="B208" s="145"/>
      <c r="C208" s="8" t="s">
        <v>33</v>
      </c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4"/>
      <c r="O208" s="97"/>
      <c r="P208" s="14"/>
    </row>
    <row r="209" spans="1:16" s="13" customFormat="1" ht="12.75" x14ac:dyDescent="0.2">
      <c r="A209" s="44" t="s">
        <v>7</v>
      </c>
      <c r="B209" s="145"/>
      <c r="C209" s="8" t="s">
        <v>34</v>
      </c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4"/>
      <c r="O209" s="97"/>
      <c r="P209" s="14"/>
    </row>
    <row r="210" spans="1:16" s="13" customFormat="1" ht="12.75" x14ac:dyDescent="0.2">
      <c r="A210" s="44" t="s">
        <v>7</v>
      </c>
      <c r="B210" s="145"/>
      <c r="C210" s="8" t="s">
        <v>35</v>
      </c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4"/>
      <c r="O210" s="97"/>
      <c r="P210" s="14"/>
    </row>
    <row r="211" spans="1:16" s="13" customFormat="1" ht="12.75" x14ac:dyDescent="0.2">
      <c r="A211" s="44" t="s">
        <v>7</v>
      </c>
      <c r="B211" s="145"/>
      <c r="C211" s="8" t="s">
        <v>36</v>
      </c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4"/>
      <c r="O211" s="97"/>
      <c r="P211" s="14"/>
    </row>
    <row r="212" spans="1:16" s="13" customFormat="1" ht="12.75" x14ac:dyDescent="0.2">
      <c r="A212" s="44" t="s">
        <v>7</v>
      </c>
      <c r="B212" s="145"/>
      <c r="C212" s="8" t="s">
        <v>37</v>
      </c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4"/>
      <c r="O212" s="97"/>
      <c r="P212" s="14"/>
    </row>
    <row r="213" spans="1:16" s="13" customFormat="1" ht="12.75" x14ac:dyDescent="0.2">
      <c r="A213" s="16" t="s">
        <v>7</v>
      </c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4"/>
    </row>
  </sheetData>
  <mergeCells count="29">
    <mergeCell ref="B201:B212"/>
    <mergeCell ref="B84:B95"/>
    <mergeCell ref="B97:B108"/>
    <mergeCell ref="B136:B147"/>
    <mergeCell ref="B110:B121"/>
    <mergeCell ref="B123:B134"/>
    <mergeCell ref="B149:B160"/>
    <mergeCell ref="B162:B173"/>
    <mergeCell ref="B175:B186"/>
    <mergeCell ref="B188:B199"/>
    <mergeCell ref="B71:B82"/>
    <mergeCell ref="A2:A5"/>
    <mergeCell ref="B2:G2"/>
    <mergeCell ref="B3:B5"/>
    <mergeCell ref="C3:C5"/>
    <mergeCell ref="D3:M3"/>
    <mergeCell ref="L4:M4"/>
    <mergeCell ref="B32:B43"/>
    <mergeCell ref="B45:B56"/>
    <mergeCell ref="B58:B69"/>
    <mergeCell ref="B6:B17"/>
    <mergeCell ref="B19:B30"/>
    <mergeCell ref="P2:P5"/>
    <mergeCell ref="N3:O3"/>
    <mergeCell ref="D4:E4"/>
    <mergeCell ref="F4:G4"/>
    <mergeCell ref="H4:I4"/>
    <mergeCell ref="J4:K4"/>
    <mergeCell ref="N4:O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28D08-2F16-4437-BB75-3F7692C1B873}">
  <dimension ref="A1:P29"/>
  <sheetViews>
    <sheetView workbookViewId="0">
      <pane xSplit="2" ySplit="3" topLeftCell="C4" activePane="bottomRight" state="frozen"/>
      <selection pane="topRight" activeCell="B1" sqref="B1"/>
      <selection pane="bottomLeft" activeCell="A4" sqref="A4"/>
      <selection pane="bottomRight"/>
    </sheetView>
  </sheetViews>
  <sheetFormatPr defaultColWidth="9.140625" defaultRowHeight="12.75" x14ac:dyDescent="0.2"/>
  <cols>
    <col min="1" max="1" width="25.42578125" style="46" customWidth="1"/>
    <col min="2" max="2" width="26.140625" style="46" bestFit="1" customWidth="1"/>
    <col min="3" max="3" width="15.5703125" style="46" customWidth="1"/>
    <col min="4" max="5" width="15.5703125" style="63" hidden="1" customWidth="1"/>
    <col min="6" max="10" width="15.5703125" style="46" hidden="1" customWidth="1"/>
    <col min="11" max="11" width="15.5703125" style="46" customWidth="1"/>
    <col min="12" max="12" width="23.42578125" style="46" customWidth="1"/>
    <col min="13" max="14" width="23.5703125" style="46" customWidth="1"/>
    <col min="15" max="15" width="23.42578125" style="46" customWidth="1"/>
    <col min="16" max="16" width="44.7109375" style="46" customWidth="1"/>
    <col min="17" max="16384" width="9.140625" style="46"/>
  </cols>
  <sheetData>
    <row r="1" spans="1:16" ht="13.5" thickBot="1" x14ac:dyDescent="0.25">
      <c r="A1" s="4" t="s">
        <v>103</v>
      </c>
    </row>
    <row r="2" spans="1:16" s="13" customFormat="1" ht="50.1" customHeight="1" x14ac:dyDescent="0.2">
      <c r="A2" s="146" t="s">
        <v>11</v>
      </c>
      <c r="B2" s="148" t="s">
        <v>0</v>
      </c>
      <c r="C2" s="135" t="s">
        <v>104</v>
      </c>
      <c r="D2" s="136"/>
      <c r="E2" s="136"/>
      <c r="F2" s="136"/>
      <c r="G2" s="136"/>
      <c r="H2" s="136"/>
      <c r="I2" s="136"/>
      <c r="J2" s="136"/>
      <c r="K2" s="150"/>
      <c r="L2" s="135" t="s">
        <v>105</v>
      </c>
      <c r="M2" s="136"/>
      <c r="N2" s="136"/>
      <c r="O2" s="150"/>
      <c r="P2" s="151" t="s">
        <v>1</v>
      </c>
    </row>
    <row r="3" spans="1:16" s="13" customFormat="1" ht="132" customHeight="1" thickBot="1" x14ac:dyDescent="0.25">
      <c r="A3" s="147"/>
      <c r="B3" s="149"/>
      <c r="C3" s="53" t="s">
        <v>106</v>
      </c>
      <c r="D3" s="64" t="s">
        <v>107</v>
      </c>
      <c r="E3" s="64" t="s">
        <v>108</v>
      </c>
      <c r="F3" s="54" t="s">
        <v>109</v>
      </c>
      <c r="G3" s="54" t="s">
        <v>110</v>
      </c>
      <c r="H3" s="54" t="s">
        <v>111</v>
      </c>
      <c r="I3" s="54" t="s">
        <v>112</v>
      </c>
      <c r="J3" s="54" t="s">
        <v>113</v>
      </c>
      <c r="K3" s="53" t="s">
        <v>114</v>
      </c>
      <c r="L3" s="53" t="s">
        <v>115</v>
      </c>
      <c r="M3" s="54" t="s">
        <v>116</v>
      </c>
      <c r="N3" s="54" t="s">
        <v>117</v>
      </c>
      <c r="O3" s="55" t="s">
        <v>118</v>
      </c>
      <c r="P3" s="152"/>
    </row>
    <row r="4" spans="1:16" x14ac:dyDescent="0.2">
      <c r="A4" s="14" t="s">
        <v>2</v>
      </c>
      <c r="B4" s="14" t="s">
        <v>119</v>
      </c>
      <c r="C4" s="10" t="s">
        <v>3</v>
      </c>
      <c r="D4" s="65">
        <v>3</v>
      </c>
      <c r="E4" s="65">
        <v>2</v>
      </c>
      <c r="F4" s="10">
        <v>152</v>
      </c>
      <c r="G4" s="10">
        <v>228</v>
      </c>
      <c r="H4" s="10">
        <v>152</v>
      </c>
      <c r="I4" s="10" t="s">
        <v>120</v>
      </c>
      <c r="J4" s="56">
        <v>32864</v>
      </c>
      <c r="K4" s="10" t="s">
        <v>121</v>
      </c>
      <c r="L4" s="10" t="s">
        <v>3</v>
      </c>
      <c r="M4" s="10" t="s">
        <v>4</v>
      </c>
      <c r="N4" s="10" t="s">
        <v>122</v>
      </c>
      <c r="O4" s="10" t="s">
        <v>4</v>
      </c>
      <c r="P4" s="89"/>
    </row>
    <row r="5" spans="1:16" x14ac:dyDescent="0.2">
      <c r="A5" s="39" t="s">
        <v>38</v>
      </c>
      <c r="B5" s="28" t="s">
        <v>123</v>
      </c>
      <c r="C5" s="39"/>
      <c r="D5" s="47">
        <v>4</v>
      </c>
      <c r="E5" s="47">
        <v>1</v>
      </c>
      <c r="F5" s="39" t="s">
        <v>124</v>
      </c>
      <c r="G5" s="39" t="s">
        <v>125</v>
      </c>
      <c r="H5" s="39" t="s">
        <v>126</v>
      </c>
      <c r="I5" s="39">
        <v>467.4</v>
      </c>
      <c r="J5" s="39">
        <v>38330</v>
      </c>
      <c r="K5" s="39" t="s">
        <v>127</v>
      </c>
      <c r="L5" s="39" t="s">
        <v>39</v>
      </c>
      <c r="M5" s="39" t="s">
        <v>128</v>
      </c>
      <c r="N5" s="39" t="s">
        <v>129</v>
      </c>
      <c r="O5" s="39" t="s">
        <v>129</v>
      </c>
      <c r="P5" s="39"/>
    </row>
    <row r="6" spans="1:16" x14ac:dyDescent="0.2">
      <c r="A6" s="39" t="s">
        <v>38</v>
      </c>
      <c r="B6" s="39" t="s">
        <v>130</v>
      </c>
      <c r="C6" s="39"/>
      <c r="D6" s="47">
        <v>4</v>
      </c>
      <c r="E6" s="47">
        <v>1</v>
      </c>
      <c r="F6" s="39" t="s">
        <v>124</v>
      </c>
      <c r="G6" s="39" t="s">
        <v>125</v>
      </c>
      <c r="H6" s="39" t="s">
        <v>126</v>
      </c>
      <c r="I6" s="39">
        <v>468.6</v>
      </c>
      <c r="J6" s="39">
        <v>38426</v>
      </c>
      <c r="K6" s="39" t="s">
        <v>127</v>
      </c>
      <c r="L6" s="39" t="s">
        <v>5</v>
      </c>
      <c r="M6" s="39" t="s">
        <v>128</v>
      </c>
      <c r="N6" s="39" t="s">
        <v>129</v>
      </c>
      <c r="O6" s="39" t="s">
        <v>129</v>
      </c>
      <c r="P6" s="39"/>
    </row>
    <row r="7" spans="1:16" x14ac:dyDescent="0.2">
      <c r="A7" s="10" t="s">
        <v>41</v>
      </c>
      <c r="B7" s="57" t="s">
        <v>131</v>
      </c>
      <c r="C7" s="57" t="s">
        <v>132</v>
      </c>
      <c r="D7" s="66" t="s">
        <v>133</v>
      </c>
      <c r="E7" s="66" t="s">
        <v>134</v>
      </c>
      <c r="F7" s="57" t="s">
        <v>135</v>
      </c>
      <c r="G7" s="57" t="s">
        <v>136</v>
      </c>
      <c r="H7" s="57" t="s">
        <v>137</v>
      </c>
      <c r="I7" s="58">
        <v>471.96428571428572</v>
      </c>
      <c r="J7" s="58">
        <f>17463+8967</f>
        <v>26430</v>
      </c>
      <c r="K7" s="28" t="s">
        <v>138</v>
      </c>
      <c r="L7" s="28" t="s">
        <v>132</v>
      </c>
      <c r="M7" s="57" t="s">
        <v>139</v>
      </c>
      <c r="N7" s="57" t="s">
        <v>129</v>
      </c>
      <c r="O7" s="57" t="s">
        <v>139</v>
      </c>
      <c r="P7" s="39"/>
    </row>
    <row r="8" spans="1:16" x14ac:dyDescent="0.2">
      <c r="A8" s="10" t="s">
        <v>45</v>
      </c>
      <c r="B8" s="10" t="s">
        <v>140</v>
      </c>
      <c r="C8" s="10" t="s">
        <v>46</v>
      </c>
      <c r="D8" s="65">
        <v>3</v>
      </c>
      <c r="E8" s="65">
        <v>2</v>
      </c>
      <c r="F8" s="10">
        <v>170</v>
      </c>
      <c r="G8" s="10" t="s">
        <v>141</v>
      </c>
      <c r="H8" s="10" t="s">
        <v>142</v>
      </c>
      <c r="I8" s="28">
        <v>424</v>
      </c>
      <c r="J8" s="56">
        <v>30078</v>
      </c>
      <c r="K8" s="10" t="s">
        <v>138</v>
      </c>
      <c r="L8" s="10" t="s">
        <v>143</v>
      </c>
      <c r="M8" s="10" t="s">
        <v>6</v>
      </c>
      <c r="N8" s="10" t="s">
        <v>129</v>
      </c>
      <c r="O8" s="10" t="s">
        <v>6</v>
      </c>
      <c r="P8" s="39"/>
    </row>
    <row r="9" spans="1:16" x14ac:dyDescent="0.2">
      <c r="A9" s="10" t="s">
        <v>47</v>
      </c>
      <c r="B9" s="14" t="s">
        <v>144</v>
      </c>
      <c r="C9" s="10" t="s">
        <v>145</v>
      </c>
      <c r="D9" s="65">
        <v>4</v>
      </c>
      <c r="E9" s="65">
        <v>2</v>
      </c>
      <c r="F9" s="10">
        <v>170</v>
      </c>
      <c r="G9" s="10">
        <v>340</v>
      </c>
      <c r="H9" s="10">
        <v>170</v>
      </c>
      <c r="I9" s="10" t="s">
        <v>146</v>
      </c>
      <c r="J9" s="59" t="s">
        <v>147</v>
      </c>
      <c r="K9" s="10" t="s">
        <v>148</v>
      </c>
      <c r="L9" s="10" t="s">
        <v>145</v>
      </c>
      <c r="M9" s="10" t="s">
        <v>149</v>
      </c>
      <c r="N9" s="10" t="s">
        <v>150</v>
      </c>
      <c r="O9" s="10" t="s">
        <v>151</v>
      </c>
      <c r="P9" s="39"/>
    </row>
    <row r="10" spans="1:16" x14ac:dyDescent="0.2">
      <c r="A10" s="10" t="s">
        <v>50</v>
      </c>
      <c r="B10" s="14" t="s">
        <v>80</v>
      </c>
      <c r="C10" s="10" t="s">
        <v>51</v>
      </c>
      <c r="D10" s="65">
        <v>5</v>
      </c>
      <c r="E10" s="65">
        <v>1</v>
      </c>
      <c r="F10" s="10">
        <v>23</v>
      </c>
      <c r="G10" s="10">
        <v>115</v>
      </c>
      <c r="H10" s="10">
        <v>23</v>
      </c>
      <c r="I10" s="10"/>
      <c r="J10" s="10">
        <v>4001</v>
      </c>
      <c r="K10" s="10"/>
      <c r="L10" s="10" t="s">
        <v>51</v>
      </c>
      <c r="M10" s="10" t="s">
        <v>152</v>
      </c>
      <c r="N10" s="10" t="s">
        <v>153</v>
      </c>
      <c r="O10" s="10" t="s">
        <v>154</v>
      </c>
      <c r="P10" s="39"/>
    </row>
    <row r="11" spans="1:16" x14ac:dyDescent="0.2">
      <c r="A11" s="10" t="s">
        <v>50</v>
      </c>
      <c r="B11" s="14" t="s">
        <v>80</v>
      </c>
      <c r="C11" s="14" t="s">
        <v>52</v>
      </c>
      <c r="D11" s="47">
        <v>5</v>
      </c>
      <c r="E11" s="47">
        <v>1</v>
      </c>
      <c r="F11" s="14">
        <v>35</v>
      </c>
      <c r="G11" s="14">
        <v>175</v>
      </c>
      <c r="H11" s="14">
        <v>35</v>
      </c>
      <c r="I11" s="14"/>
      <c r="J11" s="14">
        <v>6088</v>
      </c>
      <c r="K11" s="14"/>
      <c r="L11" s="14" t="s">
        <v>52</v>
      </c>
      <c r="M11" s="14" t="s">
        <v>152</v>
      </c>
      <c r="N11" s="14" t="s">
        <v>153</v>
      </c>
      <c r="O11" s="14" t="s">
        <v>155</v>
      </c>
      <c r="P11" s="39"/>
    </row>
    <row r="12" spans="1:16" x14ac:dyDescent="0.2">
      <c r="A12" s="35" t="s">
        <v>53</v>
      </c>
      <c r="B12" s="14" t="s">
        <v>156</v>
      </c>
      <c r="C12" s="23" t="s">
        <v>70</v>
      </c>
      <c r="D12" s="67">
        <v>4</v>
      </c>
      <c r="E12" s="67">
        <v>1</v>
      </c>
      <c r="F12" s="23">
        <f>47*2</f>
        <v>94</v>
      </c>
      <c r="G12" s="23">
        <f>47*4</f>
        <v>188</v>
      </c>
      <c r="H12" s="23">
        <v>47</v>
      </c>
      <c r="I12" s="23" t="s">
        <v>157</v>
      </c>
      <c r="J12" s="60">
        <v>2978</v>
      </c>
      <c r="K12" s="23" t="s">
        <v>158</v>
      </c>
      <c r="L12" s="23" t="s">
        <v>70</v>
      </c>
      <c r="M12" s="23" t="s">
        <v>4</v>
      </c>
      <c r="N12" s="23" t="s">
        <v>159</v>
      </c>
      <c r="O12" s="23" t="s">
        <v>4</v>
      </c>
      <c r="P12" s="39"/>
    </row>
    <row r="13" spans="1:16" x14ac:dyDescent="0.2">
      <c r="A13" s="35" t="s">
        <v>53</v>
      </c>
      <c r="B13" s="14" t="s">
        <v>156</v>
      </c>
      <c r="C13" s="14" t="s">
        <v>72</v>
      </c>
      <c r="D13" s="47">
        <v>4</v>
      </c>
      <c r="E13" s="47">
        <v>1</v>
      </c>
      <c r="F13" s="14">
        <v>94</v>
      </c>
      <c r="G13" s="14">
        <v>188</v>
      </c>
      <c r="H13" s="14">
        <v>47</v>
      </c>
      <c r="I13" s="14">
        <v>0</v>
      </c>
      <c r="J13" s="59">
        <v>0</v>
      </c>
      <c r="K13" s="14" t="s">
        <v>4</v>
      </c>
      <c r="L13" s="14" t="s">
        <v>72</v>
      </c>
      <c r="M13" s="14" t="s">
        <v>4</v>
      </c>
      <c r="N13" s="14" t="s">
        <v>159</v>
      </c>
      <c r="O13" s="14" t="s">
        <v>4</v>
      </c>
      <c r="P13" s="39"/>
    </row>
    <row r="14" spans="1:16" x14ac:dyDescent="0.2">
      <c r="A14" s="35" t="s">
        <v>53</v>
      </c>
      <c r="B14" s="14" t="s">
        <v>156</v>
      </c>
      <c r="C14" s="14" t="s">
        <v>73</v>
      </c>
      <c r="D14" s="47">
        <v>4</v>
      </c>
      <c r="E14" s="47">
        <v>1</v>
      </c>
      <c r="F14" s="14">
        <v>102</v>
      </c>
      <c r="G14" s="14">
        <f>51*4</f>
        <v>204</v>
      </c>
      <c r="H14" s="14">
        <v>51</v>
      </c>
      <c r="I14" s="14">
        <v>0</v>
      </c>
      <c r="J14" s="59">
        <v>0</v>
      </c>
      <c r="K14" s="14" t="s">
        <v>4</v>
      </c>
      <c r="L14" s="14" t="s">
        <v>73</v>
      </c>
      <c r="M14" s="14" t="s">
        <v>4</v>
      </c>
      <c r="N14" s="14" t="s">
        <v>159</v>
      </c>
      <c r="O14" s="14" t="s">
        <v>4</v>
      </c>
      <c r="P14" s="39"/>
    </row>
    <row r="15" spans="1:16" x14ac:dyDescent="0.2">
      <c r="A15" s="35" t="s">
        <v>53</v>
      </c>
      <c r="B15" s="14" t="s">
        <v>156</v>
      </c>
      <c r="C15" s="14" t="s">
        <v>75</v>
      </c>
      <c r="D15" s="47">
        <v>4</v>
      </c>
      <c r="E15" s="47">
        <v>2</v>
      </c>
      <c r="F15" s="14">
        <f>79*2</f>
        <v>158</v>
      </c>
      <c r="G15" s="14">
        <f>79*4</f>
        <v>316</v>
      </c>
      <c r="H15" s="14">
        <v>158</v>
      </c>
      <c r="I15" s="14">
        <v>248</v>
      </c>
      <c r="J15" s="59">
        <v>19623</v>
      </c>
      <c r="K15" s="23" t="s">
        <v>160</v>
      </c>
      <c r="L15" s="14" t="s">
        <v>75</v>
      </c>
      <c r="M15" s="14" t="s">
        <v>4</v>
      </c>
      <c r="N15" s="14" t="s">
        <v>159</v>
      </c>
      <c r="O15" s="14" t="s">
        <v>4</v>
      </c>
      <c r="P15" s="39"/>
    </row>
    <row r="16" spans="1:16" x14ac:dyDescent="0.2">
      <c r="A16" s="10" t="s">
        <v>58</v>
      </c>
      <c r="B16" s="14" t="s">
        <v>161</v>
      </c>
      <c r="C16" s="14" t="s">
        <v>59</v>
      </c>
      <c r="D16" s="47" t="s">
        <v>4</v>
      </c>
      <c r="E16" s="47" t="s">
        <v>4</v>
      </c>
      <c r="F16" s="14" t="s">
        <v>162</v>
      </c>
      <c r="G16" s="14" t="s">
        <v>4</v>
      </c>
      <c r="H16" s="14" t="s">
        <v>4</v>
      </c>
      <c r="I16" s="14">
        <v>182.5</v>
      </c>
      <c r="J16" s="14" t="s">
        <v>163</v>
      </c>
      <c r="K16" s="14">
        <v>48</v>
      </c>
      <c r="L16" s="14" t="s">
        <v>59</v>
      </c>
      <c r="M16" s="14" t="s">
        <v>4</v>
      </c>
      <c r="N16" s="14" t="s">
        <v>150</v>
      </c>
      <c r="O16" s="14" t="s">
        <v>4</v>
      </c>
      <c r="P16" s="39"/>
    </row>
    <row r="17" spans="1:16" ht="12.75" customHeight="1" x14ac:dyDescent="0.2">
      <c r="A17" s="10" t="s">
        <v>60</v>
      </c>
      <c r="B17" s="14" t="s">
        <v>164</v>
      </c>
      <c r="C17" s="14" t="s">
        <v>165</v>
      </c>
      <c r="D17" s="47" t="s">
        <v>4</v>
      </c>
      <c r="E17" s="47" t="s">
        <v>4</v>
      </c>
      <c r="F17" s="14" t="s">
        <v>166</v>
      </c>
      <c r="G17" s="14" t="s">
        <v>4</v>
      </c>
      <c r="H17" s="14" t="s">
        <v>4</v>
      </c>
      <c r="I17" s="14">
        <v>182.5</v>
      </c>
      <c r="J17" s="14" t="s">
        <v>167</v>
      </c>
      <c r="K17" s="14">
        <v>48</v>
      </c>
      <c r="L17" s="14" t="s">
        <v>61</v>
      </c>
      <c r="M17" s="14" t="s">
        <v>4</v>
      </c>
      <c r="N17" s="14" t="s">
        <v>150</v>
      </c>
      <c r="O17" s="14" t="s">
        <v>4</v>
      </c>
      <c r="P17" s="39"/>
    </row>
    <row r="18" spans="1:16" x14ac:dyDescent="0.2">
      <c r="A18" s="10" t="s">
        <v>60</v>
      </c>
      <c r="B18" s="14" t="s">
        <v>164</v>
      </c>
      <c r="C18" s="14" t="s">
        <v>168</v>
      </c>
      <c r="D18" s="47" t="s">
        <v>4</v>
      </c>
      <c r="E18" s="47" t="s">
        <v>4</v>
      </c>
      <c r="F18" s="14" t="s">
        <v>169</v>
      </c>
      <c r="G18" s="14" t="s">
        <v>4</v>
      </c>
      <c r="H18" s="14" t="s">
        <v>4</v>
      </c>
      <c r="I18" s="14">
        <v>182.5</v>
      </c>
      <c r="J18" s="14" t="s">
        <v>167</v>
      </c>
      <c r="K18" s="14">
        <v>48</v>
      </c>
      <c r="L18" s="14" t="s">
        <v>62</v>
      </c>
      <c r="M18" s="14" t="s">
        <v>4</v>
      </c>
      <c r="N18" s="14" t="s">
        <v>150</v>
      </c>
      <c r="O18" s="14" t="s">
        <v>4</v>
      </c>
      <c r="P18" s="39"/>
    </row>
    <row r="19" spans="1:16" x14ac:dyDescent="0.2">
      <c r="A19" s="10" t="s">
        <v>63</v>
      </c>
      <c r="B19" s="14" t="s">
        <v>170</v>
      </c>
      <c r="C19" s="14" t="s">
        <v>64</v>
      </c>
      <c r="D19" s="47" t="s">
        <v>4</v>
      </c>
      <c r="E19" s="47" t="s">
        <v>4</v>
      </c>
      <c r="F19" s="14" t="s">
        <v>171</v>
      </c>
      <c r="G19" s="14" t="s">
        <v>4</v>
      </c>
      <c r="H19" s="14" t="s">
        <v>4</v>
      </c>
      <c r="I19" s="14">
        <v>182.5</v>
      </c>
      <c r="J19" s="14" t="s">
        <v>167</v>
      </c>
      <c r="K19" s="14">
        <v>48</v>
      </c>
      <c r="L19" s="14" t="s">
        <v>64</v>
      </c>
      <c r="M19" s="14" t="s">
        <v>4</v>
      </c>
      <c r="N19" s="14" t="s">
        <v>150</v>
      </c>
      <c r="O19" s="14" t="s">
        <v>4</v>
      </c>
      <c r="P19" s="39"/>
    </row>
    <row r="20" spans="1:16" x14ac:dyDescent="0.2">
      <c r="A20" s="44" t="s">
        <v>7</v>
      </c>
      <c r="B20" s="10" t="s">
        <v>172</v>
      </c>
      <c r="C20" s="10" t="s">
        <v>173</v>
      </c>
      <c r="D20" s="65">
        <v>4</v>
      </c>
      <c r="E20" s="65">
        <v>2</v>
      </c>
      <c r="F20" s="10">
        <f>64*2</f>
        <v>128</v>
      </c>
      <c r="G20" s="10">
        <f>4*64</f>
        <v>256</v>
      </c>
      <c r="H20" s="10">
        <f>2*64</f>
        <v>128</v>
      </c>
      <c r="I20" s="61">
        <f>J20/64</f>
        <v>332.515625</v>
      </c>
      <c r="J20" s="56">
        <v>21281</v>
      </c>
      <c r="K20" s="14" t="s">
        <v>174</v>
      </c>
      <c r="L20" s="10" t="s">
        <v>173</v>
      </c>
      <c r="M20" s="10" t="s">
        <v>149</v>
      </c>
      <c r="N20" s="10" t="s">
        <v>153</v>
      </c>
      <c r="O20" s="62" t="s">
        <v>175</v>
      </c>
      <c r="P20" s="39"/>
    </row>
    <row r="21" spans="1:16" x14ac:dyDescent="0.2">
      <c r="A21" s="44" t="s">
        <v>7</v>
      </c>
      <c r="B21" s="10" t="s">
        <v>172</v>
      </c>
      <c r="C21" s="14" t="s">
        <v>176</v>
      </c>
      <c r="D21" s="65">
        <v>4</v>
      </c>
      <c r="E21" s="65">
        <v>2</v>
      </c>
      <c r="F21" s="14">
        <f>64*2</f>
        <v>128</v>
      </c>
      <c r="G21" s="10">
        <f t="shared" ref="G21:G22" si="0">4*64</f>
        <v>256</v>
      </c>
      <c r="H21" s="10">
        <f t="shared" ref="H21:H22" si="1">2*64</f>
        <v>128</v>
      </c>
      <c r="I21" s="61">
        <f t="shared" ref="I21:I22" si="2">J21/64</f>
        <v>332.515625</v>
      </c>
      <c r="J21" s="56">
        <v>21281</v>
      </c>
      <c r="K21" s="14"/>
      <c r="L21" s="14" t="s">
        <v>176</v>
      </c>
      <c r="M21" s="10" t="s">
        <v>149</v>
      </c>
      <c r="N21" s="10" t="s">
        <v>153</v>
      </c>
      <c r="O21" s="62" t="s">
        <v>175</v>
      </c>
      <c r="P21" s="39"/>
    </row>
    <row r="22" spans="1:16" x14ac:dyDescent="0.2">
      <c r="A22" s="44" t="s">
        <v>7</v>
      </c>
      <c r="B22" s="10" t="s">
        <v>172</v>
      </c>
      <c r="C22" s="14" t="s">
        <v>177</v>
      </c>
      <c r="D22" s="65">
        <v>4</v>
      </c>
      <c r="E22" s="65">
        <v>2</v>
      </c>
      <c r="F22" s="14">
        <f>64*2</f>
        <v>128</v>
      </c>
      <c r="G22" s="10">
        <f t="shared" si="0"/>
        <v>256</v>
      </c>
      <c r="H22" s="10">
        <f t="shared" si="1"/>
        <v>128</v>
      </c>
      <c r="I22" s="61">
        <f t="shared" si="2"/>
        <v>332.515625</v>
      </c>
      <c r="J22" s="56">
        <v>21281</v>
      </c>
      <c r="K22" s="14"/>
      <c r="L22" s="14" t="s">
        <v>177</v>
      </c>
      <c r="M22" s="10" t="s">
        <v>149</v>
      </c>
      <c r="N22" s="10" t="s">
        <v>153</v>
      </c>
      <c r="O22" s="62" t="s">
        <v>175</v>
      </c>
      <c r="P22" s="39"/>
    </row>
    <row r="23" spans="1:16" x14ac:dyDescent="0.2">
      <c r="A23" s="44" t="s">
        <v>7</v>
      </c>
      <c r="B23" s="10" t="s">
        <v>172</v>
      </c>
      <c r="C23" s="14" t="s">
        <v>178</v>
      </c>
      <c r="D23" s="65">
        <v>4</v>
      </c>
      <c r="E23" s="65">
        <v>2</v>
      </c>
      <c r="F23" s="14">
        <f>61*2</f>
        <v>122</v>
      </c>
      <c r="G23" s="14">
        <f>4*61</f>
        <v>244</v>
      </c>
      <c r="H23" s="14">
        <f>2*61</f>
        <v>122</v>
      </c>
      <c r="I23" s="61">
        <f>J23/61</f>
        <v>335.22950819672133</v>
      </c>
      <c r="J23" s="59">
        <v>20449</v>
      </c>
      <c r="K23" s="14"/>
      <c r="L23" s="14" t="s">
        <v>178</v>
      </c>
      <c r="M23" s="10" t="s">
        <v>149</v>
      </c>
      <c r="N23" s="10" t="s">
        <v>153</v>
      </c>
      <c r="O23" s="62" t="s">
        <v>175</v>
      </c>
      <c r="P23" s="39"/>
    </row>
    <row r="24" spans="1:16" x14ac:dyDescent="0.2">
      <c r="A24" s="44" t="s">
        <v>7</v>
      </c>
      <c r="B24" s="10" t="s">
        <v>172</v>
      </c>
      <c r="C24" s="14" t="s">
        <v>179</v>
      </c>
      <c r="D24" s="65">
        <v>4</v>
      </c>
      <c r="E24" s="65">
        <v>2</v>
      </c>
      <c r="F24" s="14">
        <f>61*2</f>
        <v>122</v>
      </c>
      <c r="G24" s="14">
        <f t="shared" ref="G24:G25" si="3">4*61</f>
        <v>244</v>
      </c>
      <c r="H24" s="14">
        <f t="shared" ref="H24:H25" si="4">2*61</f>
        <v>122</v>
      </c>
      <c r="I24" s="61">
        <f t="shared" ref="I24:I25" si="5">J24/61</f>
        <v>335.22950819672133</v>
      </c>
      <c r="J24" s="59">
        <v>20449</v>
      </c>
      <c r="K24" s="14"/>
      <c r="L24" s="14" t="s">
        <v>179</v>
      </c>
      <c r="M24" s="10" t="s">
        <v>149</v>
      </c>
      <c r="N24" s="10" t="s">
        <v>153</v>
      </c>
      <c r="O24" s="62" t="s">
        <v>175</v>
      </c>
      <c r="P24" s="39"/>
    </row>
    <row r="25" spans="1:16" x14ac:dyDescent="0.2">
      <c r="A25" s="44" t="s">
        <v>7</v>
      </c>
      <c r="B25" s="10" t="s">
        <v>172</v>
      </c>
      <c r="C25" s="14" t="s">
        <v>180</v>
      </c>
      <c r="D25" s="65">
        <v>4</v>
      </c>
      <c r="E25" s="65">
        <v>2</v>
      </c>
      <c r="F25" s="14">
        <f>61*2</f>
        <v>122</v>
      </c>
      <c r="G25" s="14">
        <f t="shared" si="3"/>
        <v>244</v>
      </c>
      <c r="H25" s="14">
        <f t="shared" si="4"/>
        <v>122</v>
      </c>
      <c r="I25" s="61">
        <f t="shared" si="5"/>
        <v>335.22950819672133</v>
      </c>
      <c r="J25" s="59">
        <v>20449</v>
      </c>
      <c r="K25" s="14"/>
      <c r="L25" s="14" t="s">
        <v>180</v>
      </c>
      <c r="M25" s="10" t="s">
        <v>149</v>
      </c>
      <c r="N25" s="10" t="s">
        <v>153</v>
      </c>
      <c r="O25" s="62" t="s">
        <v>175</v>
      </c>
      <c r="P25" s="39"/>
    </row>
    <row r="26" spans="1:16" x14ac:dyDescent="0.2">
      <c r="A26" s="44" t="s">
        <v>7</v>
      </c>
      <c r="B26" s="10" t="s">
        <v>172</v>
      </c>
      <c r="C26" s="14" t="s">
        <v>181</v>
      </c>
      <c r="D26" s="65">
        <v>4</v>
      </c>
      <c r="E26" s="65">
        <v>2</v>
      </c>
      <c r="F26" s="14">
        <f>87*2</f>
        <v>174</v>
      </c>
      <c r="G26" s="14">
        <f>4*87</f>
        <v>348</v>
      </c>
      <c r="H26" s="14">
        <f>2*87</f>
        <v>174</v>
      </c>
      <c r="I26" s="61">
        <f>J26/87</f>
        <v>348.32183908045977</v>
      </c>
      <c r="J26" s="59">
        <v>30304</v>
      </c>
      <c r="K26" s="14"/>
      <c r="L26" s="14" t="s">
        <v>181</v>
      </c>
      <c r="M26" s="10" t="s">
        <v>149</v>
      </c>
      <c r="N26" s="10" t="s">
        <v>153</v>
      </c>
      <c r="O26" s="62" t="s">
        <v>175</v>
      </c>
      <c r="P26" s="39"/>
    </row>
    <row r="27" spans="1:16" x14ac:dyDescent="0.2">
      <c r="A27" s="44" t="s">
        <v>7</v>
      </c>
      <c r="B27" s="10" t="s">
        <v>172</v>
      </c>
      <c r="C27" s="14" t="s">
        <v>182</v>
      </c>
      <c r="D27" s="65">
        <v>4</v>
      </c>
      <c r="E27" s="65">
        <v>2</v>
      </c>
      <c r="F27" s="14">
        <f>87*2</f>
        <v>174</v>
      </c>
      <c r="G27" s="14">
        <f>4*87</f>
        <v>348</v>
      </c>
      <c r="H27" s="14">
        <f>2*87</f>
        <v>174</v>
      </c>
      <c r="I27" s="61">
        <f t="shared" ref="I27" si="6">J27/87</f>
        <v>348.32183908045977</v>
      </c>
      <c r="J27" s="59">
        <v>30304</v>
      </c>
      <c r="K27" s="14"/>
      <c r="L27" s="14" t="s">
        <v>182</v>
      </c>
      <c r="M27" s="10" t="s">
        <v>149</v>
      </c>
      <c r="N27" s="10" t="s">
        <v>153</v>
      </c>
      <c r="O27" s="62" t="s">
        <v>175</v>
      </c>
      <c r="P27" s="39"/>
    </row>
    <row r="28" spans="1:16" x14ac:dyDescent="0.2">
      <c r="A28" s="44" t="s">
        <v>7</v>
      </c>
      <c r="B28" s="10" t="s">
        <v>172</v>
      </c>
      <c r="C28" s="14" t="s">
        <v>183</v>
      </c>
      <c r="D28" s="65">
        <v>4</v>
      </c>
      <c r="E28" s="65">
        <v>2</v>
      </c>
      <c r="F28" s="14">
        <f>75*2</f>
        <v>150</v>
      </c>
      <c r="G28" s="14">
        <f>4*75</f>
        <v>300</v>
      </c>
      <c r="H28" s="14">
        <f>2*75</f>
        <v>150</v>
      </c>
      <c r="I28" s="61">
        <f>J28/75</f>
        <v>377.04</v>
      </c>
      <c r="J28" s="59">
        <v>28278</v>
      </c>
      <c r="K28" s="14"/>
      <c r="L28" s="14" t="s">
        <v>183</v>
      </c>
      <c r="M28" s="10" t="s">
        <v>149</v>
      </c>
      <c r="N28" s="10" t="s">
        <v>153</v>
      </c>
      <c r="O28" s="62" t="s">
        <v>175</v>
      </c>
      <c r="P28" s="39"/>
    </row>
    <row r="29" spans="1:16" x14ac:dyDescent="0.2">
      <c r="A29" s="44" t="s">
        <v>7</v>
      </c>
      <c r="B29" s="10" t="s">
        <v>172</v>
      </c>
      <c r="C29" s="14" t="s">
        <v>184</v>
      </c>
      <c r="D29" s="65">
        <v>5</v>
      </c>
      <c r="E29" s="47">
        <v>1</v>
      </c>
      <c r="F29" s="14">
        <f>84*2</f>
        <v>168</v>
      </c>
      <c r="G29" s="14">
        <f>5*84</f>
        <v>420</v>
      </c>
      <c r="H29" s="14">
        <v>84</v>
      </c>
      <c r="I29" s="61">
        <f>J29/84</f>
        <v>432.48809523809524</v>
      </c>
      <c r="J29" s="59">
        <v>36329</v>
      </c>
      <c r="K29" s="14"/>
      <c r="L29" s="14" t="s">
        <v>184</v>
      </c>
      <c r="M29" s="10" t="s">
        <v>149</v>
      </c>
      <c r="N29" s="10" t="s">
        <v>153</v>
      </c>
      <c r="O29" s="62" t="s">
        <v>175</v>
      </c>
      <c r="P29" s="39"/>
    </row>
  </sheetData>
  <mergeCells count="5">
    <mergeCell ref="A2:A3"/>
    <mergeCell ref="B2:B3"/>
    <mergeCell ref="C2:K2"/>
    <mergeCell ref="L2:O2"/>
    <mergeCell ref="P2:P3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C1A2AE36DF24BB69CD03F70E20798" ma:contentTypeVersion="37" ma:contentTypeDescription="Create a new document." ma:contentTypeScope="" ma:versionID="0686966876156e2745ef2ad8769a5c90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2c6b4a42-c993-4063-acea-34c90a700329" xmlns:ns7="3df7c09c-9b47-4953-a33c-0cca2b38b9da" targetNamespace="http://schemas.microsoft.com/office/2006/metadata/properties" ma:root="true" ma:fieldsID="fedc8c142ffdf45da589e6d6ade211d0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2c6b4a42-c993-4063-acea-34c90a700329"/>
    <xsd:import namespace="3df7c09c-9b47-4953-a33c-0cca2b38b9da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MediaServiceMetadata" minOccurs="0"/>
                <xsd:element ref="ns6:MediaServiceFastMetadata" minOccurs="0"/>
                <xsd:element ref="ns7:SharedWithUsers" minOccurs="0"/>
                <xsd:element ref="ns7:SharedWithDetails" minOccurs="0"/>
                <xsd:element ref="ns7:SharingHintHash" minOccurs="0"/>
                <xsd:element ref="ns6:MediaServiceDateTaken" minOccurs="0"/>
                <xsd:element ref="ns6:MediaServiceAutoTags" minOccurs="0"/>
                <xsd:element ref="ns6:MediaServiceLocation" minOccurs="0"/>
                <xsd:element ref="ns6:MediaServiceOCR" minOccurs="0"/>
                <xsd:element ref="ns7:Records_x0020_Status" minOccurs="0"/>
                <xsd:element ref="ns7:Records_x0020_Date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9dc6cdac-b98a-4645-9fbd-55fcaacff195}" ma:internalName="TaxCatchAllLabel" ma:readOnly="true" ma:showField="CatchAllDataLabel" ma:web="3df7c09c-9b47-4953-a33c-0cca2b38b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9dc6cdac-b98a-4645-9fbd-55fcaacff195}" ma:internalName="TaxCatchAll" ma:showField="CatchAllData" ma:web="3df7c09c-9b47-4953-a33c-0cca2b38b9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6b4a42-c993-4063-acea-34c90a7003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35" nillable="true" ma:displayName="MediaServiceLocation" ma:internalName="MediaServiceLocation" ma:readOnly="true">
      <xsd:simpleType>
        <xsd:restriction base="dms:Text"/>
      </xsd:simpleType>
    </xsd:element>
    <xsd:element name="MediaServiceOCR" ma:index="3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4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f7c09c-9b47-4953-a33c-0cca2b38b9da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2" nillable="true" ma:displayName="Sharing Hint Hash" ma:hidden="true" ma:internalName="SharingHintHash" ma:readOnly="true">
      <xsd:simpleType>
        <xsd:restriction base="dms:Text"/>
      </xsd:simpleType>
    </xsd:element>
    <xsd:element name="Records_x0020_Status" ma:index="37" nillable="true" ma:displayName="Records Status" ma:default="Pending" ma:internalName="Records_x0020_Status">
      <xsd:simpleType>
        <xsd:restriction base="dms:Text"/>
      </xsd:simpleType>
    </xsd:element>
    <xsd:element name="Records_x0020_Date" ma:index="38" nillable="true" ma:displayName="Records Date" ma:hidden="true" ma:internalName="Records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Records_x0020_Status xmlns="3df7c09c-9b47-4953-a33c-0cca2b38b9da">Pending</Records_x0020_Status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2020-08-31T23:11:22+00:00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Records_x0020_Date xmlns="3df7c09c-9b47-4953-a33c-0cca2b38b9da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C999E6-5605-474D-9CD4-40847A7365D5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BE90DA97-85D9-42D5-B592-3CEC43A083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2c6b4a42-c993-4063-acea-34c90a700329"/>
    <ds:schemaRef ds:uri="3df7c09c-9b47-4953-a33c-0cca2b38b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F466FC-9E17-4BC3-B294-938C567D94FA}">
  <ds:schemaRefs>
    <ds:schemaRef ds:uri="4ffa91fb-a0ff-4ac5-b2db-65c790d184a4"/>
    <ds:schemaRef ds:uri="http://www.w3.org/XML/1998/namespace"/>
    <ds:schemaRef ds:uri="http://schemas.microsoft.com/sharepoint/v3/fields"/>
    <ds:schemaRef ds:uri="http://schemas.microsoft.com/office/infopath/2007/PartnerControls"/>
    <ds:schemaRef ds:uri="2c6b4a42-c993-4063-acea-34c90a700329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3df7c09c-9b47-4953-a33c-0cca2b38b9da"/>
    <ds:schemaRef ds:uri="http://schemas.microsoft.com/sharepoint.v3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63ED1D2D-1300-49D1-B591-EAA9C12570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2022 Allowables NewEq PostContr</vt:lpstr>
      <vt:lpstr>2022 Allowables OldEq PostContr</vt:lpstr>
      <vt:lpstr>2022 Allowables NewEq</vt:lpstr>
      <vt:lpstr>2022 Allowables OldEq</vt:lpstr>
      <vt:lpstr>2016 Allowables NewEq</vt:lpstr>
      <vt:lpstr>2016 Allowables OldEq</vt:lpstr>
      <vt:lpstr>Enc1 Part VI BL Q89</vt:lpstr>
      <vt:lpstr>Part VI BL Q88-90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Raymond, Gabrielle</dc:creator>
  <cp:lastModifiedBy>Raymond, Gabrielle</cp:lastModifiedBy>
  <cp:lastPrinted>2020-12-08T11:48:42Z</cp:lastPrinted>
  <dcterms:created xsi:type="dcterms:W3CDTF">2020-06-04T13:49:56Z</dcterms:created>
  <dcterms:modified xsi:type="dcterms:W3CDTF">2023-08-03T19:03:40Z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0x010100E20C1A2AE36DF24BB69CD03F70E20798</vt:lpwstr>
  </property>
</Properties>
</file>